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4922"/>
  <sheetViews>
    <sheetView workbookViewId="0">
      <selection activeCell="A1" sqref="A1"/>
    </sheetView>
  </sheetViews>
  <sheetFormatPr baseColWidth="8" defaultRowHeight="15"/>
  <sheetData>
    <row r="1">
      <c r="A1" s="1" t="inlineStr">
        <is>
          <t>ID</t>
        </is>
      </c>
      <c r="B1" s="1" t="inlineStr">
        <is>
          <t>Title</t>
        </is>
      </c>
      <c r="C1" s="1" t="inlineStr">
        <is>
          <t>Body</t>
        </is>
      </c>
      <c r="D1" s="1" t="inlineStr">
        <is>
          <t>Score</t>
        </is>
      </c>
      <c r="E1" s="1" t="inlineStr">
        <is>
          <t>Comments</t>
        </is>
      </c>
      <c r="F1" s="1" t="inlineStr">
        <is>
          <t>Link</t>
        </is>
      </c>
      <c r="G1" s="1" t="inlineStr">
        <is>
          <t>Date</t>
        </is>
      </c>
      <c r="H1" s="1" t="inlineStr">
        <is>
          <t>flair</t>
        </is>
      </c>
    </row>
    <row r="2">
      <c r="A2" t="inlineStr">
        <is>
          <t>flhocd</t>
        </is>
      </c>
      <c r="B2" t="inlineStr">
        <is>
          <t>I’m positive that this has been a horrid experience</t>
        </is>
      </c>
      <c r="C2" t="inlineStr">
        <is>
          <t>So, I started feeling off Monday at noon. By Monday evening I had a fever of 101, and a horrid scratchy cough. Tuesday morning I woke up with my body sore and my chest hurting, and could not stop coughing. By Wednesday I’d lost my voice and continued to cough and hurt all over. I learned that I had been exposed to someone with Covid at my community college. It hurts to breathe, I feel like I cannot take a full breath, and I just want this to stop.</t>
        </is>
      </c>
      <c r="D2" t="n">
        <v>1</v>
      </c>
      <c r="E2" t="n">
        <v>83</v>
      </c>
      <c r="F2">
        <f>HYPERLINK("https://www.reddit.com/r/COVID19positive/comments/flhocd/im_positive_that_this_has_been_a_horrid_experience/")</f>
        <v/>
      </c>
      <c r="G2" t="inlineStr">
        <is>
          <t>2020-03-19 13:57:23</t>
        </is>
      </c>
      <c r="H2" t="inlineStr">
        <is>
          <t>Tested Positive - Me</t>
        </is>
      </c>
    </row>
    <row r="3">
      <c r="A3" t="inlineStr">
        <is>
          <t>flhqni</t>
        </is>
      </c>
      <c r="B3" t="inlineStr">
        <is>
          <t>Hey! I have it, but I’m overall healthy and not immunocompromised. Here’s what happened.</t>
        </is>
      </c>
      <c r="C3" t="inlineStr">
        <is>
          <t>My girlfriend and I both tested positive, quick backstory (she was the carrier as she works in pharmacy, had a cough for one day and a mild fever so was sent home, scheduled a tele-doc appointment who said there was a 70% chance she had it so we should both go get tested) - the next day, we got tested at a local practice that offered it. The doctor came in and said we both came back positive. She sat down, went over what to do, how to monitor the symptoms and manage.) 
No medicine. Just a note ordering to self quarantine in home. So here we are. Day 2 officially of 14, but they recommended to go to 20 just to be safe. 
What I felt: 
•Tingling in chest
•Mild cough
•On &amp;amp; off fever
•Exhaustion
•Small muscle aches
My girlfriends symptoms were about double the severity, but still nothing worth hospitalization or medication.
And... That’s it. We are both feeling much better from just staying hydrated and eating a lot. 
Our only concern is preventing spreading of it!
Overall maybe 6-7 days worth of mild symptoms with the worse being on the 4th-5th day. 
She’s getting paid for two weeks + benefits and I work from home so it’s no stress. Thankfully, we have all we need right now and for up to 30 days.
Our stats: 
•Not overweight.
•No underlying conditions. 
•In our 20’s. 
So the general idea, is that if you are like us, and catch it. You will 100% be okay, just be cautious not to give it to others. That’s the mission.</t>
        </is>
      </c>
      <c r="D3" t="n">
        <v>3</v>
      </c>
      <c r="E3" t="n">
        <v>416</v>
      </c>
      <c r="F3">
        <f>HYPERLINK("https://www.reddit.com/r/COVID19positive/comments/flhqni/hey_i_have_it_but_im_overall_healthy_and_not/")</f>
        <v/>
      </c>
      <c r="G3" t="inlineStr">
        <is>
          <t>2020-03-19 14:00:58</t>
        </is>
      </c>
      <c r="H3" t="inlineStr">
        <is>
          <t>Tested Positive - Me</t>
        </is>
      </c>
    </row>
    <row r="4">
      <c r="A4" t="inlineStr">
        <is>
          <t>fli1y9</t>
        </is>
      </c>
      <c r="B4" t="inlineStr">
        <is>
          <t>Tested Positive Yesterday - 7th Day</t>
        </is>
      </c>
      <c r="C4" t="inlineStr">
        <is>
          <t>My experience: 
Started off with:
-REALLY BAD aches &amp;amp; pains (still happening) — like brittle joints and spasms and just tension and pain everywhere 
-Sore throat (stopped around day 4) 
-General fatigue (still happening)
-Very frequent, mild diarrhea (still happening) 
.
DAY THREE OR FOUR: 
-Drainage and thick mucus. Bad congestion. Almost like drowning level.
-Fatigue Worsens 
-Sore throat gone 
.
DAY FIVE:
-Cough 
-Little sleep
.
DAY SIX: 
-Bad cough 
-Almost no sleep
.
TODAY, Day 7 (Now, Medicated)
-Drainage. Not much mucus. 
-Mild cough 
-Aches &amp;amp; pains are still horrible 
-Frequent mild diarrhea 
-Runny nose (NEW!!!!) — it’s like... pouring. Flowing water. 
.
I’ve lost 15 pounds in a week’s time. I’m constantly hydrating. Eating regularly. I have been on medication for about 24 hours now. Highly medicated. It’s its own kind of discomfort. But I’m sleeping again! 
What’s next?!</t>
        </is>
      </c>
      <c r="D4" t="n">
        <v>4</v>
      </c>
      <c r="E4" t="n">
        <v>112</v>
      </c>
      <c r="F4">
        <f>HYPERLINK("https://www.reddit.com/r/COVID19positive/comments/fli1y9/tested_positive_yesterday_7th_day/")</f>
        <v/>
      </c>
      <c r="G4" t="inlineStr">
        <is>
          <t>2020-03-19 14:18:53</t>
        </is>
      </c>
      <c r="H4" t="inlineStr">
        <is>
          <t>Tested Positive - Me</t>
        </is>
      </c>
    </row>
    <row r="5">
      <c r="A5" t="inlineStr">
        <is>
          <t>fliplg</t>
        </is>
      </c>
      <c r="B5" t="inlineStr">
        <is>
          <t>I have not tested positive so please ban bc imma get it soon</t>
        </is>
      </c>
      <c r="C5" t="inlineStr">
        <is>
          <t>Idk just saying imma get tested tomorrow so probs positive</t>
        </is>
      </c>
      <c r="D5" t="n">
        <v>0</v>
      </c>
      <c r="E5" t="n">
        <v>4</v>
      </c>
      <c r="F5">
        <f>HYPERLINK("https://www.reddit.com/r/COVID19positive/comments/fliplg/i_have_not_tested_positive_so_please_ban_bc_imma/")</f>
        <v/>
      </c>
      <c r="G5" t="inlineStr">
        <is>
          <t>2020-03-19 14:56:45</t>
        </is>
      </c>
      <c r="H5" t="inlineStr">
        <is>
          <t>Tested Positive - Me</t>
        </is>
      </c>
    </row>
    <row r="6">
      <c r="A6" t="inlineStr">
        <is>
          <t>flj8sg</t>
        </is>
      </c>
      <c r="B6" t="inlineStr">
        <is>
          <t>Tested Positive - Wild times...</t>
        </is>
      </c>
      <c r="C6" t="inlineStr">
        <is>
          <t>I was teaching a course for a federal agency and one of my students was exposed by someone who attended the church in Georgetown. He came in to class last Tuesday, feeling ill, then got a call that his acquaintance was positive. 
We immediately cancelled the course and sent everyone to quarantine. The student was tested and subsequently came back positive. 
I had to quarantine away from family because my daughter is a preemie and I couldn’t risk further exposing her. About 48 hours later I developed symptoms and subsequently tested positive. 
Managing my symptoms have been a royal mess. My PCP said she “wanted nothing to do with this”. The ERs has no idea what to do when my symptoms worsened and told me “what do you want me to do, there is no cure for this”. So it’s been a mess. When I finally got my positive result suddenly my PCP wanted to treat me. Honestly the thing that’s worked best for me is whiskey believe or not and I hate the stuff. 
The medical community has been chaos. No one knows what to do. The county health department though has been handling my case very well and I have been very pleased with their support. 
Worst cough I’ve ever had and the deepest lung pain. It’s hard to describe- it’s not chest pain in the traditional sense it’s like a deep lung pain and it’s awful. Headache. Rundown. Mild to no fever however. 
I have been starting to feel much better and am just counting down the days to kick this and get back to my wife and baby girl. 
Good luck everyone and stay safe!</t>
        </is>
      </c>
      <c r="D6" t="n">
        <v>3</v>
      </c>
      <c r="E6" t="n">
        <v>58</v>
      </c>
      <c r="F6">
        <f>HYPERLINK("https://www.reddit.com/r/COVID19positive/comments/flj8sg/tested_positive_wild_times/")</f>
        <v/>
      </c>
      <c r="G6" t="inlineStr">
        <is>
          <t>2020-03-19 15:28:09</t>
        </is>
      </c>
      <c r="H6" t="inlineStr">
        <is>
          <t>Tested Positive</t>
        </is>
      </c>
    </row>
    <row r="7">
      <c r="A7" t="inlineStr">
        <is>
          <t>flo5be</t>
        </is>
      </c>
      <c r="B7" t="inlineStr">
        <is>
          <t>Sense of smell / taste</t>
        </is>
      </c>
      <c r="C7" t="inlineStr">
        <is>
          <t>Any experience with this? I’m in day 7 and cannot smell or taste. I found this article [NEW symptoms including lack of taste](https://www.express.co.uk/news/world/1256433/coronavirus-symptoms-latest-uk-covid-19-coronavirus-taste-smell)</t>
        </is>
      </c>
      <c r="D7" t="n">
        <v>1</v>
      </c>
      <c r="E7" t="n">
        <v>2</v>
      </c>
      <c r="F7">
        <f>HYPERLINK("https://www.reddit.com/r/COVID19positive/comments/flo5be/sense_of_smell_taste/")</f>
        <v/>
      </c>
      <c r="G7" t="inlineStr">
        <is>
          <t>2020-03-19 20:46:43</t>
        </is>
      </c>
      <c r="H7" t="inlineStr">
        <is>
          <t>Tested Positive - Friends</t>
        </is>
      </c>
    </row>
    <row r="8">
      <c r="A8" t="inlineStr">
        <is>
          <t>flo7xf</t>
        </is>
      </c>
      <c r="B8" t="inlineStr">
        <is>
          <t>Any positive parents of babies?</t>
        </is>
      </c>
      <c r="C8" t="inlineStr">
        <is>
          <t>I’m the parent of a child under 3mo old. My partner and I are both positive with symptoms and we’re confident the baby has been exposed, but he’s not showing any symptoms currently. Are there any other parents of babies or infants out there who can share their story? 
We’re feeling such guilt about this all happening with our child around, not that we could have predicted it (we had been taking precautions but probably got it from a positive relative).</t>
        </is>
      </c>
      <c r="D8" t="n">
        <v>1</v>
      </c>
      <c r="E8" t="n">
        <v>21</v>
      </c>
      <c r="F8">
        <f>HYPERLINK("https://www.reddit.com/r/COVID19positive/comments/flo7xf/any_positive_parents_of_babies/")</f>
        <v/>
      </c>
      <c r="G8" t="inlineStr">
        <is>
          <t>2020-03-19 20:51:50</t>
        </is>
      </c>
      <c r="H8" t="inlineStr">
        <is>
          <t>Tested Positive</t>
        </is>
      </c>
    </row>
    <row r="9">
      <c r="A9" t="inlineStr">
        <is>
          <t>flujiu</t>
        </is>
      </c>
      <c r="B9" t="inlineStr">
        <is>
          <t>Interview With My Friend Tommaso, Gives Us An Inside Look At How The Coronavirus Has Ravaged His Italian Town</t>
        </is>
      </c>
      <c r="C9" t="inlineStr">
        <is>
          <t>For my podcast [Them, That and This](https://podcasts.apple.com/us/podcast/episode-12-locked-down-in-italy-with-tommaso/id1492352561?i=1000468878500), I interview my good friend Tommaso who lived in Treviso, Italy. He tells me all about how the Coronavirus has ravaged his town, changed attitudes and has even caused some racial tension. This will definitely give us an inside look at our possible future.</t>
        </is>
      </c>
      <c r="D9" t="n">
        <v>1</v>
      </c>
      <c r="E9" t="n">
        <v>3</v>
      </c>
      <c r="F9">
        <f>HYPERLINK("https://www.reddit.com/r/COVID19positive/comments/flujiu/interview_with_my_friend_tommaso_gives_us_an/")</f>
        <v/>
      </c>
      <c r="G9" t="inlineStr">
        <is>
          <t>2020-03-20 05:54:37</t>
        </is>
      </c>
      <c r="H9" t="inlineStr">
        <is>
          <t>Tested Positive</t>
        </is>
      </c>
    </row>
    <row r="10">
      <c r="A10" t="inlineStr">
        <is>
          <t>fm2j0n</t>
        </is>
      </c>
      <c r="B10" t="inlineStr">
        <is>
          <t>Loss of smell and taste - is anyone experiencing this infected with Covid-19?</t>
        </is>
      </c>
      <c r="C10" t="inlineStr">
        <is>
          <t>There are a few articles discussing this, it’s alarming to me because I’m not congested. I had a fever, headaches, and body aches all which have subsided, however I still cannot smell or taste. Any information and feedback greatly appreciated.</t>
        </is>
      </c>
      <c r="D10" t="n">
        <v>1</v>
      </c>
      <c r="E10" t="n">
        <v>114</v>
      </c>
      <c r="F10">
        <f>HYPERLINK("https://www.reddit.com/r/COVID19positive/comments/fm2j0n/loss_of_smell_and_taste_is_anyone_experiencing/")</f>
        <v/>
      </c>
      <c r="G10" t="inlineStr">
        <is>
          <t>2020-03-20 13:52:32</t>
        </is>
      </c>
      <c r="H10" t="inlineStr">
        <is>
          <t>Tested Positive - Me</t>
        </is>
      </c>
    </row>
    <row r="11">
      <c r="A11" t="inlineStr">
        <is>
          <t>fm2jnx</t>
        </is>
      </c>
      <c r="B11" t="inlineStr">
        <is>
          <t>My father</t>
        </is>
      </c>
      <c r="C11" t="inlineStr">
        <is>
          <t>I live in a 2 bedroom apartment with my mom and dad and my sister. My mother sleeps with my dad and they do everything together, my dad got a call today from MountSinai informing him he tested positive for covid19. He’s in 40 and at the moment he seems fine but I’m worried things will start to get complicated after a week or two and I’m also worried about my mother she seems fine and doesn’t have anything at the moment. It’s just very nerve racking to know I’m under the same roof with someone who has covid19. My father is wearing a face mask and gloves and washing his hands but I still get anxious when he gets close I feel like I’m going to get it soon I’m 16 by the way, my mother started disinfecting the house. What I’m trying to say is there any tips or does anyone know what’s going to happen to my family but like I said before my father tested positive but he seems fine at the moment I’m just worried what going to happen to him later on. Thank you for your time and thank you for reading this I would really love to hear back from you guys and stay safe 🤞🏽</t>
        </is>
      </c>
      <c r="D11" t="n">
        <v>1</v>
      </c>
      <c r="E11" t="n">
        <v>24</v>
      </c>
      <c r="F11">
        <f>HYPERLINK("https://www.reddit.com/r/COVID19positive/comments/fm2jnx/my_father/")</f>
        <v/>
      </c>
      <c r="G11" t="inlineStr">
        <is>
          <t>2020-03-20 13:53:32</t>
        </is>
      </c>
      <c r="H11" t="inlineStr">
        <is>
          <t>Tested Positive - Family</t>
        </is>
      </c>
    </row>
    <row r="12">
      <c r="A12" t="inlineStr">
        <is>
          <t>fm6k1z</t>
        </is>
      </c>
      <c r="B12" t="inlineStr">
        <is>
          <t>Not a club I wanted to join...</t>
        </is>
      </c>
      <c r="C12" t="inlineStr">
        <is>
          <t>I’m kind of afraid of what this means for me right now, but I have corona virus. It started with a sore throat, and then it was a minor cough. Then it turned into fits of coughing and I felt so hot. I woke up in the middle of the night and my duvet was just soaked through with sweat. Then it was freezing. My pulse feels so hard and fast, but laying down helps with that. I called my doctor and was given prednisone, hydrocodone cough syrup, steroidal nasal spray, my regular asthma meds and biaxin to prevent a secondary infection.
I can’t really fill my lungs all the way because I start coughing again. But the meds are really helping. The fever is still there, but I can get through a lot of the day easier. I don’t want to panic about thinking if I end up in the hospital what that will mean. My best friend is a nurse and she is helping me stay calm and keep focused on getting better. I can’t tell my family, my mother is hysterical enough as it is.. my spouse is here taking care of me, but I’m really worried what that means for him... Hour by hour I guess, right?</t>
        </is>
      </c>
      <c r="D12" t="n">
        <v>1</v>
      </c>
      <c r="E12" t="n">
        <v>155</v>
      </c>
      <c r="F12">
        <f>HYPERLINK("https://www.reddit.com/r/COVID19positive/comments/fm6k1z/not_a_club_i_wanted_to_join/")</f>
        <v/>
      </c>
      <c r="G12" t="inlineStr">
        <is>
          <t>2020-03-20 18:02:58</t>
        </is>
      </c>
      <c r="H12" t="inlineStr">
        <is>
          <t>Tested Positive - Me</t>
        </is>
      </c>
    </row>
    <row r="13">
      <c r="A13" t="inlineStr">
        <is>
          <t>fm9ap5</t>
        </is>
      </c>
      <c r="B13" t="inlineStr">
        <is>
          <t>Fiancé has it, anyone else in this situation?</t>
        </is>
      </c>
      <c r="C13" t="inlineStr">
        <is>
          <t>I have half the house in quarantine mode, I’m in the basement. I make him food put it at the bottom of the steps. He works at a hospital and still has to go to work... but he’s touched the fridge and other surfaces I spray it down after but what’s the point? I don’t see a way that this can continue without getting it. Has anyone else been in this scenario? I feel like I’m fighting a lot and I’m just going to get it anyway... and idk what’s going to happen it’s been two days I just want to hug him.</t>
        </is>
      </c>
      <c r="D13" t="n">
        <v>1</v>
      </c>
      <c r="E13" t="n">
        <v>28</v>
      </c>
      <c r="F13">
        <f>HYPERLINK("https://www.reddit.com/r/COVID19positive/comments/fm9ap5/fiancé_has_it_anyone_else_in_this_situation/")</f>
        <v/>
      </c>
      <c r="G13" t="inlineStr">
        <is>
          <t>2020-03-20 21:23:41</t>
        </is>
      </c>
      <c r="H13" t="inlineStr">
        <is>
          <t>Tested Positive</t>
        </is>
      </c>
    </row>
    <row r="14">
      <c r="A14" t="inlineStr">
        <is>
          <t>fma7ga</t>
        </is>
      </c>
      <c r="B14" t="inlineStr">
        <is>
          <t>Medical Doctor here. Treatment question.</t>
        </is>
      </c>
      <c r="C14" t="inlineStr">
        <is>
          <t>Did you or anyone you know get treated with Plaquenil (Hydroxychloroquine) and/or Azithromycin? Did it help or not? How so?</t>
        </is>
      </c>
      <c r="D14" t="n">
        <v>1</v>
      </c>
      <c r="E14" t="n">
        <v>3</v>
      </c>
      <c r="F14">
        <f>HYPERLINK("https://www.reddit.com/r/COVID19positive/comments/fma7ga/medical_doctor_here_treatment_question/")</f>
        <v/>
      </c>
      <c r="G14" t="inlineStr">
        <is>
          <t>2020-03-20 22:41:56</t>
        </is>
      </c>
      <c r="H14" t="inlineStr">
        <is>
          <t>Tested Positive - Friends</t>
        </is>
      </c>
    </row>
    <row r="15">
      <c r="A15" t="inlineStr">
        <is>
          <t>fmb7yx</t>
        </is>
      </c>
      <c r="B15" t="inlineStr">
        <is>
          <t>Can someone who is positive tell me if these symptoms seem familiar</t>
        </is>
      </c>
      <c r="C15" t="inlineStr">
        <is>
          <t>So last night i had a light cough. And it didnt feel like my usual too much mucous in throat cough. It did feel like it was coming more from the lungs. It stayed persistent but the urge to cough is still very light. And i also noticed my chest feels different. Im not sure how to properly describe it besides heavy and tight. When i take deep breaths it does feel like my lungs are working extra hard. Also i have a dry throat despite drinking water regularly.
So i have suspicion that i just have a light cough due to seasonal allergies and my anxiety is making the dry throat and chest tighten.
However i want to be safe. As although im young and consider myself to be pretty healthy, i want to keep my family safe. 
Do these symptoms resemble what you felt during the early stages? 
I cant afford to rent out a hotel for 2 weeks and have no idea how to isolate myself from my family if i am in fact positive. Also how are people tested to determine whether we have the virus. Eg. Blood test, mouth swab etc.</t>
        </is>
      </c>
      <c r="D15" t="n">
        <v>1</v>
      </c>
      <c r="E15" t="n">
        <v>5</v>
      </c>
      <c r="F15">
        <f>HYPERLINK("https://www.reddit.com/r/COVID19positive/comments/fmb7yx/can_someone_who_is_positive_tell_me_if_these/")</f>
        <v/>
      </c>
      <c r="G15" t="inlineStr">
        <is>
          <t>2020-03-21 00:17:23</t>
        </is>
      </c>
      <c r="H15" t="inlineStr">
        <is>
          <t>Tested Positive - Me</t>
        </is>
      </c>
    </row>
    <row r="16">
      <c r="A16" t="inlineStr">
        <is>
          <t>fmbcih</t>
        </is>
      </c>
      <c r="B16" t="inlineStr">
        <is>
          <t>Discord server for people that wants it</t>
        </is>
      </c>
      <c r="C16" t="inlineStr">
        <is>
          <t>https://discordapp.com/invite/CRMMVjr
Found this discord and is fairly good and active and has alot of members.
It helps when you're in direct chat with others</t>
        </is>
      </c>
      <c r="D16" t="n">
        <v>1</v>
      </c>
      <c r="E16" t="n">
        <v>2</v>
      </c>
      <c r="F16">
        <f>HYPERLINK("https://www.reddit.com/r/COVID19positive/comments/fmbcih/discord_server_for_people_that_wants_it/")</f>
        <v/>
      </c>
      <c r="G16" t="inlineStr">
        <is>
          <t>2020-03-21 00:30:59</t>
        </is>
      </c>
      <c r="H16" t="inlineStr">
        <is>
          <t>Tested Positive</t>
        </is>
      </c>
    </row>
    <row r="17">
      <c r="A17" t="inlineStr">
        <is>
          <t>fmby87</t>
        </is>
      </c>
      <c r="B17" t="inlineStr">
        <is>
          <t>WATCH, SHARE, AND SELF-ISOLATE NOW!</t>
        </is>
      </c>
      <c r="C17" t="inlineStr">
        <is>
          <t>[https://www.youtube.com/watch?v=jUnVxjaWIBM](https://www.youtube.com/watch?v=jUnVxjaWIBM)</t>
        </is>
      </c>
      <c r="D17" t="n">
        <v>1</v>
      </c>
      <c r="E17" t="n">
        <v>2</v>
      </c>
      <c r="F17">
        <f>HYPERLINK("https://www.reddit.com/r/COVID19positive/comments/fmby87/watch_share_and_selfisolate_now/")</f>
        <v/>
      </c>
      <c r="G17" t="inlineStr">
        <is>
          <t>2020-03-21 01:35:24</t>
        </is>
      </c>
      <c r="H17" t="inlineStr">
        <is>
          <t>Tested Positive</t>
        </is>
      </c>
    </row>
    <row r="18">
      <c r="A18" t="inlineStr">
        <is>
          <t>fmd8qk</t>
        </is>
      </c>
      <c r="B18" t="inlineStr">
        <is>
          <t>24 yo M in London, self-diagnosed Corona, symptoms 2 weeks in!</t>
        </is>
      </c>
      <c r="C18" t="inlineStr">
        <is>
          <t>At this point, I don't know what to do.
Symptoms started
* Tuesday, \~ 11 days ago.
Runny nose, sore throat, very mild.
* Friday - 8 days ago (symptoms intensify)
Had to leave work due to fever, went home, had chills and dry cough coming from throat. Took ibuprofen, 1 tablet.
* Last Weekend
I could start feeling the virus making it's way down to my lungs. Cough went away. Still very managable. General flue like symptoms, keeping the temperature down using 1 paracetamol tablet.
* Monday
Fever went away, I still felt weak, I thought this was the recovery point. I started coughing up sputum from my lungs. Yellow / green phleghm.
* Tuesday
Hell on earth. I woke 38-39C, shaking, instantly took Paracetomol and survived that day. I had the driest throat, sputum has disappeared. I now have shortness of breath and pain near my heart when I breathe. Temperature went up to 40C, after which I had to take 2x Paracetomol and Ibuprofen.
* Wed, Thursday, Friday
No more taking meds, temperature has been low in the mornings, climbing to 38C every evening. I can feel fine mentally, but my lungs feel like rubber. Cough re-appeared, this time coming from lungs. No more sputum.  I think I have \~ 50% of my normal capacity. Now I have headaches, fever, sore teeth.
Every morning I wake up with super dry throat and sore tonsils. (Until I drink water)
All in all, NHS refused me on 10+ occasions. Even at 40C, with pneumonia symptoms.
Hopefully I will get better. The only health condition that I have is post nasal drip. Which is actually kind of dangerous for pneumonia that I'm experiencing.</t>
        </is>
      </c>
      <c r="D18" t="n">
        <v>1</v>
      </c>
      <c r="E18" t="n">
        <v>59</v>
      </c>
      <c r="F18">
        <f>HYPERLINK("https://www.reddit.com/r/COVID19positive/comments/fmd8qk/24_yo_m_in_london_selfdiagnosed_corona_symptoms_2/")</f>
        <v/>
      </c>
      <c r="G18" t="inlineStr">
        <is>
          <t>2020-03-21 03:52:22</t>
        </is>
      </c>
      <c r="H18" t="inlineStr">
        <is>
          <t>Tested Positive</t>
        </is>
      </c>
    </row>
    <row r="19">
      <c r="A19" t="inlineStr">
        <is>
          <t>fmef7h</t>
        </is>
      </c>
      <c r="B19" t="inlineStr">
        <is>
          <t>I am 99.9% sure Covid19 almost killed me last month. I was in the ICU in critical condition for almost a week. I am 28/F/USA high risk. Here is my story..</t>
        </is>
      </c>
      <c r="C19" t="inlineStr">
        <is>
          <t>Ohioian here..  on Feb 10th I went to the ER for diabetic ketoacidosis because I had a viral infection causing my blood sugars to go crazy and I was severely dehydrated. I thought I was getting pnemunia because of this awful dry cough like I'd never experienced before. The CT scan showed almost nothing but possibly starting in lower right lobe. I was discharged after 3 days with viral infection. (And the c diff I contracted there) Started feeling better when I got home.. then suddenly 3 days after discharge I took a turn for the worse. By Feb 22nd I couldn't take care of myself or my kids so I ended up in the ICU with SEVERE pnemunia both lungs every lobe infected. Atypical awful lung CT findings they blamed on vaping (I do not vape). I was also septic.  My symptoms? Intermittent fever of 103/104 that came on suddenly and fucked me up big time. Delirium and hallucinations. Heart rate was super high, 220 at one point and never below 130.  And a horrible dry cough/sore throat that turned into "likely bacterial pnemuina". The findings of my CT scans of my lungs are identical to those of COVID-19'S patients. I am 28, I do have a compromised immune system and type 1 diabetes. I have never felt this bad in my entire life. I lost 20 pounds and practically the entire month of February. I tested negative for the flu 3 times before I got a positive result from a lung culture they did which also showed staphylococcus aures (which they did because I was so severe with no obvious explanation)normally my pulse ox is 98/99 I required oxygen the entire time with it going as low as 86 I think and now a month and a half later my pulse ox is still only 93 and I have a productive cough.  Both my kids got sick as well but it was more like a severe cold or very mild flu for them. Apparently I had the flu that turned into bacterial pnemunia, but I think it was COVID-19.. I am hoping the antibody test that was just approved will provide some answers for me. I'm quarantined currently because of how high risk I am, and would love to not be panicking every day if I already had it!!</t>
        </is>
      </c>
      <c r="D19" t="n">
        <v>1</v>
      </c>
      <c r="E19" t="n">
        <v>60</v>
      </c>
      <c r="F19">
        <f>HYPERLINK("https://www.reddit.com/r/COVID19positive/comments/fmef7h/i_am_999_sure_covid19_almost_killed_me_last_month/")</f>
        <v/>
      </c>
      <c r="G19" t="inlineStr">
        <is>
          <t>2020-03-21 05:45:49</t>
        </is>
      </c>
      <c r="H19" t="inlineStr">
        <is>
          <t>Tested Positive</t>
        </is>
      </c>
    </row>
    <row r="20">
      <c r="A20" t="inlineStr">
        <is>
          <t>fmfhol</t>
        </is>
      </c>
      <c r="B20" t="inlineStr">
        <is>
          <t>To those who tested positive</t>
        </is>
      </c>
      <c r="C20" t="inlineStr">
        <is>
          <t>What is the first symptoms you feel and what is the worst case you encounter? I think im positive on coronavirus. I have sore throat for almost two days and i have difficulty on breathing. Can you give me advise on how should i act?</t>
        </is>
      </c>
      <c r="D20" t="n">
        <v>1</v>
      </c>
      <c r="E20" t="n">
        <v>30</v>
      </c>
      <c r="F20">
        <f>HYPERLINK("https://www.reddit.com/r/COVID19positive/comments/fmfhol/to_those_who_tested_positive/")</f>
        <v/>
      </c>
      <c r="G20" t="inlineStr">
        <is>
          <t>2020-03-21 07:08:06</t>
        </is>
      </c>
      <c r="H20" t="inlineStr">
        <is>
          <t>Tested Positive</t>
        </is>
      </c>
    </row>
    <row r="21">
      <c r="A21" t="inlineStr">
        <is>
          <t>fmfjx6</t>
        </is>
      </c>
      <c r="B21" t="inlineStr">
        <is>
          <t>My British friend was the first COVID-19 positive Brit in Italy. Today he is walking a full marathon in his tiny apartment to raise money for Crisis, supporting other vulnerable people in such situations. UK. Read his story and view updates on the link.</t>
        </is>
      </c>
      <c r="C21" t="inlineStr">
        <is>
          <t>https://www.facebook.com/donate/146983539938128/</t>
        </is>
      </c>
      <c r="D21" t="n">
        <v>1</v>
      </c>
      <c r="E21" t="n">
        <v>4</v>
      </c>
      <c r="F21">
        <f>HYPERLINK("https://www.reddit.com/r/COVID19positive/comments/fmfjx6/my_british_friend_was_the_first_covid19_positive/")</f>
        <v/>
      </c>
      <c r="G21" t="inlineStr">
        <is>
          <t>2020-03-21 07:12:35</t>
        </is>
      </c>
      <c r="H21" t="inlineStr">
        <is>
          <t>Tested Positive - Friends</t>
        </is>
      </c>
    </row>
    <row r="22">
      <c r="A22" t="inlineStr">
        <is>
          <t>fmfumc</t>
        </is>
      </c>
      <c r="B22" t="inlineStr">
        <is>
          <t>Covid in young adults</t>
        </is>
      </c>
      <c r="C22" t="inlineStr">
        <is>
          <t>https://www.google.com/amp/s/www.inquirer.com/health/coronavirus/coronavirus-smoking-vaping-marijuana-risk-death-covid-20200320.html%3foutputType=amp
“And vaping may interfere with neutrophil function, some studies suggest. Scientists at Chapel Hill have shown that e-cigarette use suppresses the activity of immune- and inflammatory-response genes in nasal cells—more so even than smoking.”
this from an article online.
i am 19 and vaped aince i was 17. last semester i
quit for 10 weeks but got back on until 2 weeks ago i quit again. i have done a lot of research on how lung heal and i was wondering if it completely reset due to these three months of relapse or if they are still on the come up.
i have heard a lot of young people have been on ventilators due to corona and i want to make sure that isnt me! please give some feedback!</t>
        </is>
      </c>
      <c r="D22" t="n">
        <v>1</v>
      </c>
      <c r="E22" t="n">
        <v>3</v>
      </c>
      <c r="F22">
        <f>HYPERLINK("https://www.reddit.com/r/COVID19positive/comments/fmfumc/covid_in_young_adults/")</f>
        <v/>
      </c>
      <c r="G22" t="inlineStr">
        <is>
          <t>2020-03-21 07:34:26</t>
        </is>
      </c>
      <c r="H22" t="inlineStr">
        <is>
          <t>Tested Positive - Friends</t>
        </is>
      </c>
    </row>
    <row r="23">
      <c r="A23" t="inlineStr">
        <is>
          <t>fmg34k</t>
        </is>
      </c>
      <c r="B23" t="inlineStr">
        <is>
          <t>Coronian Rhapsody (the flair is wrong, just trying to brighten up your day)</t>
        </is>
      </c>
      <c r="C23" t="inlineStr">
        <is>
          <t>🎶 Is this a sore throat 🤒 ?
Is this just allergies 🤧? 
Caught 🆘 in a lockdown 🔒 
No escape from reality
Don’t touch your eyes 👀
Just hand sanitize 🧼 quicklyyyyy 
I’m just a poor boy 👦 with no job security
Because of easy spread, even though
Washed 🧼 your hands 🤚laying low
Every time I blow my nose 👃, doesn’t really look good 👍to me... toooo meee 🎵</t>
        </is>
      </c>
      <c r="D23" t="n">
        <v>1</v>
      </c>
      <c r="E23" t="n">
        <v>22</v>
      </c>
      <c r="F23">
        <f>HYPERLINK("https://www.reddit.com/r/COVID19positive/comments/fmg34k/coronian_rhapsody_the_flair_is_wrong_just_trying/")</f>
        <v/>
      </c>
      <c r="G23" t="inlineStr">
        <is>
          <t>2020-03-21 07:50:48</t>
        </is>
      </c>
      <c r="H23" t="inlineStr">
        <is>
          <t>Tested Positive</t>
        </is>
      </c>
    </row>
    <row r="24">
      <c r="A24" t="inlineStr">
        <is>
          <t>fmgcmg</t>
        </is>
      </c>
      <c r="B24" t="inlineStr">
        <is>
          <t>I'm starting to hope that this has been circulating longer then we're aware in the US.</t>
        </is>
      </c>
      <c r="C24" t="inlineStr">
        <is>
          <t>I live in the midwest, and I have an 18 month old daughter. First I am a smoker I'm 29 and a male. Maybe almost a month ago already my daughter and I went to the store and as soon as I put her in the cart she just leaned forward and licked the bar where you push it. I knew that I had just watched my kid catch a cold. Sure shit a few days later she burns a small fever is kinda stuffy and we have to use the sucky thing. Anyway so I catch whatever bug she had. Now I've had bronchitis a few times and I usually catch a cold once a year. It always settles in my chest. This time it was just a bit of a sore throat, like one day of diarrhea, just body aches and fatigue. The most mild cold I have ever had. It was gone in a few days. I got my fingers crossed that was it and I'm already in the clear.</t>
        </is>
      </c>
      <c r="D24" t="n">
        <v>1</v>
      </c>
      <c r="E24" t="n">
        <v>18</v>
      </c>
      <c r="F24">
        <f>HYPERLINK("https://www.reddit.com/r/COVID19positive/comments/fmgcmg/im_starting_to_hope_that_this_has_been/")</f>
        <v/>
      </c>
      <c r="G24" t="inlineStr">
        <is>
          <t>2020-03-21 08:08:11</t>
        </is>
      </c>
      <c r="H24" t="inlineStr">
        <is>
          <t>Tested Positive - Family</t>
        </is>
      </c>
    </row>
    <row r="25">
      <c r="A25" t="inlineStr">
        <is>
          <t>fmgo5v</t>
        </is>
      </c>
      <c r="B25" t="inlineStr">
        <is>
          <t>Blood types and risk</t>
        </is>
      </c>
      <c r="C25" t="inlineStr">
        <is>
          <t>For those who have tested positive, please share your blood type if you know it. This format would be helpful:
-Tested positive (or assumed positive due to symptoms)
-age
-blood type
-description of symptoms/severity of symptoms
-recovery status (still symptomatic? Almost better? Totally recovered?)</t>
        </is>
      </c>
      <c r="D25" t="n">
        <v>1</v>
      </c>
      <c r="E25" t="n">
        <v>15</v>
      </c>
      <c r="F25">
        <f>HYPERLINK("https://www.reddit.com/r/COVID19positive/comments/fmgo5v/blood_types_and_risk/")</f>
        <v/>
      </c>
      <c r="G25" t="inlineStr">
        <is>
          <t>2020-03-21 08:29:12</t>
        </is>
      </c>
      <c r="H25" t="inlineStr">
        <is>
          <t>Tested Positive</t>
        </is>
      </c>
    </row>
    <row r="26">
      <c r="A26" t="inlineStr">
        <is>
          <t>fmgs8l</t>
        </is>
      </c>
      <c r="B26" t="inlineStr">
        <is>
          <t>Someone I know tested positive for COVID-19 what should I do?</t>
        </is>
      </c>
      <c r="C26" t="inlineStr">
        <is>
          <t>As the post says my friend tested positive for Cocoa-19 here in College Station Tx. I picked him up from his job last week and took him home. He texted me this morning panicking and needed support. He’s been feeling extremely sick so he got tested and came back positive this morning. What should I do? I’m not really scared I’m 22. But at the same time I am. Appreciate all feedback.</t>
        </is>
      </c>
      <c r="D26" t="n">
        <v>1</v>
      </c>
      <c r="E26" t="n">
        <v>8</v>
      </c>
      <c r="F26">
        <f>HYPERLINK("https://www.reddit.com/r/COVID19positive/comments/fmgs8l/someone_i_know_tested_positive_for_covid19_what/")</f>
        <v/>
      </c>
      <c r="G26" t="inlineStr">
        <is>
          <t>2020-03-21 08:36:34</t>
        </is>
      </c>
      <c r="H26" t="inlineStr">
        <is>
          <t>Tested Positive - Friends</t>
        </is>
      </c>
    </row>
    <row r="27">
      <c r="A27" t="inlineStr">
        <is>
          <t>fmgtso</t>
        </is>
      </c>
      <c r="B27" t="inlineStr">
        <is>
          <t>Disposable Medical Porducts</t>
        </is>
      </c>
      <c r="C27" t="inlineStr">
        <is>
          <t>Hi guys, I am representing a Medical Supplies Manufacturer in China. We produce several kinds of medical suppliers, specialize in manufacturing disposable medical products and forehead thermometer for overseas markets. We have all the required certificates of qualification. Email me at [shengxiang2017@163.com](mailto:shengxiang2017@163.com) or PM me for more information!</t>
        </is>
      </c>
      <c r="D27" t="n">
        <v>1</v>
      </c>
      <c r="E27" t="n">
        <v>3</v>
      </c>
      <c r="F27">
        <f>HYPERLINK("https://www.reddit.com/r/COVID19positive/comments/fmgtso/disposable_medical_porducts/")</f>
        <v/>
      </c>
      <c r="G27" t="inlineStr">
        <is>
          <t>2020-03-21 08:39:23</t>
        </is>
      </c>
      <c r="H27" t="inlineStr">
        <is>
          <t>Tested Positive</t>
        </is>
      </c>
    </row>
    <row r="28">
      <c r="A28" t="inlineStr">
        <is>
          <t>fmh6yb</t>
        </is>
      </c>
      <c r="B28" t="inlineStr">
        <is>
          <t>My symptom progression...</t>
        </is>
      </c>
      <c r="C28" t="inlineStr">
        <is>
          <t>Since there is very little information out there, I decided to post my symptom progression to anyone interested.
Female, age 38. MS and asthma. Taking advair and albuterol. Living in NYS.
I started jotting down how I felt once I realized something was off. Here is my symptom journal...
Day 1 3/14/20
Headache, sore throat. The sore throat feeling also is in the back of my nose, maybe in my sinus? Could be allergies? No fever. 
Day 2 3/15/20
Sore throat is worse, kinda feel like something is in my sinuses... they kinda feel blocked. Uncomfortable feeling in the back of my head, base of my skull. No fever. 
Day 3 3/16/20
Throat still scratchy but better, definitely feels like strep behind my nose though. Started feeling achy and very tired. No fever. 
Day 4 3/17/20
Very difficult to get up for work, extremely exhausted. Didn't sleep well, couldn't get comfortable. Headache, aches, pain in the base of skull, continued "strep in nose" feeling. No fever, self isolating. 
Day 5 3/18/20
All previous symptoms with the addition of a mild, nonproductive cough. No fever
Day 6 3/19/20
NYS health Department called. Had prolonged exposure to a positive case. Placed on quarantine, they aren't coming to test. Told to call my doctor. Cough has escalated, difficulty walking up and down stairs. No fever. 
Day 7 3/20/20
Shortness of breath, heaviness in chest, pain in left lung when I breathe. I didn't sleep last night... kept coughing. Low grade fever 99.2. Doctor sending me for evaluation. 
At evaluation my blood pressure was low, heart rate was 139, oxygen levels low. They gave me a breathing treatment and was told to stay under quarantine. "High probability" of Covid but cannot test me because my temperature wasn't above 101. Eval looked like a war zone. 
------------
Here we are at day 8, I haven't made an entry yet. I will say last week (maybe the 12th or so) I did have a stomach thing that started this off. I didn't connect any dots, but in case it's relevant, here you go. 
Still no mentionable fever. Heart rate resting at 115, spikes over 150 when I walk. Chest still heavy, sore throat is gone, still strep feeling behind nose. Woke up in a huge coughing fit, but after I cleared my lungs I was better. I feel out of it, little bit of confusion... things just feeling off, not sure how to describe that. 
Either way, hope this helps someone.</t>
        </is>
      </c>
      <c r="D28" t="n">
        <v>1</v>
      </c>
      <c r="E28" t="n">
        <v>300</v>
      </c>
      <c r="F28">
        <f>HYPERLINK("https://www.reddit.com/r/COVID19positive/comments/fmh6yb/my_symptom_progression/")</f>
        <v/>
      </c>
      <c r="G28" t="inlineStr">
        <is>
          <t>2020-03-21 09:02:49</t>
        </is>
      </c>
      <c r="H28" t="inlineStr">
        <is>
          <t>Tested Positive - Me</t>
        </is>
      </c>
    </row>
    <row r="29">
      <c r="A29" t="inlineStr">
        <is>
          <t>fmhbep</t>
        </is>
      </c>
      <c r="B29" t="inlineStr">
        <is>
          <t>I suspect I got infected, but not sure if it is anxiety</t>
        </is>
      </c>
      <c r="C29" t="inlineStr">
        <is>
          <t>I did not have any fever at all, I started feeling slightly out of breath about a week ago and a person from my family is suspected but can't test. I thought initially it was due to allergies and my nose was full, and normally I use medication to unclog my nose and it usually works perfectly it felt really odd when it did NOTHING to help the feeling of cloggyness and short of breath.
But someone also said this could be anxiety, as I have no other telltale symptoms. I also get extra worried because the government is asking for people who are short of breath to go to the ER, but for the past 4 days it hasn't got worse but hasn't got better either. It is definitely something I never felt before, like my lungs are filling up but I'm still short of breath.
Is this similar to what you guys who tested positive are feeling?</t>
        </is>
      </c>
      <c r="D29" t="n">
        <v>1</v>
      </c>
      <c r="E29" t="n">
        <v>2</v>
      </c>
      <c r="F29">
        <f>HYPERLINK("https://www.reddit.com/r/COVID19positive/comments/fmhbep/i_suspect_i_got_infected_but_not_sure_if_it_is/")</f>
        <v/>
      </c>
      <c r="G29" t="inlineStr">
        <is>
          <t>2020-03-21 09:10:24</t>
        </is>
      </c>
      <c r="H29" t="inlineStr">
        <is>
          <t>Tested Positive - Family</t>
        </is>
      </c>
    </row>
    <row r="30">
      <c r="A30" t="inlineStr">
        <is>
          <t>fmhfdd</t>
        </is>
      </c>
      <c r="B30" t="inlineStr">
        <is>
          <t>A free community game for those in self-isolation</t>
        </is>
      </c>
      <c r="C30" t="inlineStr">
        <is>
          <t>[https://imgur.com/gallery/GbffzHM](https://imgur.com/gallery/GbffzHM)</t>
        </is>
      </c>
      <c r="D30" t="n">
        <v>1</v>
      </c>
      <c r="E30" t="n">
        <v>2</v>
      </c>
      <c r="F30">
        <f>HYPERLINK("https://www.reddit.com/r/COVID19positive/comments/fmhfdd/a_free_community_game_for_those_in_selfisolation/")</f>
        <v/>
      </c>
      <c r="G30" t="inlineStr">
        <is>
          <t>2020-03-21 09:17:11</t>
        </is>
      </c>
      <c r="H30" t="inlineStr">
        <is>
          <t>Tested Positive</t>
        </is>
      </c>
    </row>
    <row r="31">
      <c r="A31" t="inlineStr">
        <is>
          <t>fmhzpp</t>
        </is>
      </c>
      <c r="B31" t="inlineStr">
        <is>
          <t>Positives: Could you have it without a cough?</t>
        </is>
      </c>
      <c r="C31" t="inlineStr">
        <is>
          <t>Wednesday night I started feeling awful. Temperature was 99.5 for a while. Body aches and fatigue. No cough. No sore throat. 
Thursday I had 99.5 consistently during the day. Body aches and extreme fatigue. No cough. No sore throat. 
Friday I had no fever. Body aches still there but not sure if it’s just because I’m in bed. No sore throat. No cough. 
Today I woke up better with more energy. No fever. No sore throat. No cough. But still tired and feeling exhausted. 
What are your thoughts? My only exposure was a visit to the store on Monday. During the last 3 weeks I’ve been in isolation. Am I making this up? Anxiety?</t>
        </is>
      </c>
      <c r="D31" t="n">
        <v>1</v>
      </c>
      <c r="E31" t="n">
        <v>25</v>
      </c>
      <c r="F31">
        <f>HYPERLINK("https://www.reddit.com/r/COVID19positive/comments/fmhzpp/positives_could_you_have_it_without_a_cough/")</f>
        <v/>
      </c>
      <c r="G31" t="inlineStr">
        <is>
          <t>2020-03-21 09:52:17</t>
        </is>
      </c>
      <c r="H31" t="inlineStr">
        <is>
          <t>Tested Positive</t>
        </is>
      </c>
    </row>
    <row r="32">
      <c r="A32" t="inlineStr">
        <is>
          <t>fmiqpr</t>
        </is>
      </c>
      <c r="B32" t="inlineStr">
        <is>
          <t>Day 6 Symptoms List + Suggestions . 59(F) Auto Immune: Sjogrens Syndrome, Raynauds, SVT (Tachy heart up to 223PBM) Extreme Panic Attacks. Avid runner. Vancouver Island BC Canada</t>
        </is>
      </c>
      <c r="C32" t="inlineStr">
        <is>
          <t>*Monday march. 16 (alone + confined since Saturday night, will be alone until Thursday night)
Note( these things all come in WAVES, all day and night, every day)
-Breathing issues. Hard to catch full deep breath. Scary (feels like asthma flare)
-Cough trying to clear bottom of lungs, can’t clear it feeling
-Low grade fever
-Super tired...exhausted, extreme brain fog. 
Fell asleep watching tv which I never do
Had a hot bath with Epson. (Felt really good!)
-Pits/glands were Really sore. (Did not notice until I was towel drying, lower, closer to rib cage than shoulder gland area, VERY tender) (keep an eye for this folks, might be a good indicator)
Heating pad on chest all day. 
-Temp 99.1         
-clear drippy nose  ( like a faucet , would suddenly turn on, then off.random).           
*Tuesday March 17
Fell asleep watching tv again ( which I never EVER do, passed out)
-Breathing difficult same as yesterday 
-No appetite AT ALL
-Very dizzy almost passed out leaning down for something (fell to my knees actually and had to stay there a minute)
-HR 80
-Coughing to clear a bit of phlegm in bottom of lungs
-Diarrhea all day
Took Meg vitamins including
Zinc citrate
Fish oil and coQ 10
Multi
B1000
Cold FX
EMergenC
Probiotic
Hot Epson bath (sooo good)
 took some benedryl  thinking allergies.  Nope, nice try woman. 
-Super tired 
Heating pad 
-Temp 99.0+
-Weird stabbing pain in eyes a few times (sjogrens?)
-intermittent nose drip, clear (from day one) faucet
*Wednesday March 18
-Breathing better ish
Took vitamins as above
Heating pad all day.
-BP 78
-Not stuffy, no runny nose
-Temp 99.0 and .   98.2
No appetite diarrhea still...like what? 
 Fine until 830pm
-Ahem in throat (can’t clear bottom of lungs, like I’m trying to give a speech, ahem, ahem.)
-A little tightness in breathing (not being able to fully “catch” a full breath)
-Headache(constant, dull with the odd knife stab, maybe 5 of them)
-Exhausted 
*Thursday March 19
-Woke up 1am
-Nausea 
-Feel weird 
-Exhausted tired 
-Breathing fine 
-HR 62
-Slight temp but feel fevery, hot, firey 
Wiped all surfaces w bleach.  Realize I got “the sick” and I’m guilt bleaching at 1am.
-9:00 am started getting lung congestion
-Slight, moderate breathing issues (meaning catching full breath)
-Coughing a bit of stuff, throat clearing 
-HR 76 
Canned chicken noodle soup (NOT a good idea. Too much sodium dammit)
-BP 139/89. HR 85
-141/90 HR 79
30 mins later
-140/90. 81 
-super tired 
-Chills
-Diarrhea (no food in me, how does THAT work)
(Hot epson/magnesium bath) 
Made banana and powdered PB ice “cream” to up my potassium to counter that salt. Cold food feels not horrible. But no real appetite 
-COMES IN WAVES
-4:22pm 141/91 hr69.    
(Husband comes home from his job, yay I have someone. We have bleach, we have N-95s we have gloves. We are ALWAYS ready. He’s a retired Firefighter, CBRN trainer. He knows the drill, sort of. Even he is.....concerned)
-Exhausted bed 9 pm
Woke at 11:30 (this was the WORST of it. I was terrified! I have Never felt anything like this in my life. I did not have a cough at this point, lungs were fine-ish. It felt like my body was in rejection mode and I had no control.i woke up and wandered around my kitchen in circles trying to figure out what I was supposed to do.  After 30 mins of confusion, I woke my husband. I have NEver ever woken him up for anything like this. He threw on his clothes, (FFer instinct, battle ready, my hero)(gloves and N95 for both of us but I can’t catch breath wearing it)
-EXTREME Nausea 
-Feel horrible. Absolutely shit. Scary. 
-Weird dreams. (Since day 1)
-Super thirsty I mean DESERT ISLAND with only a fetid swamp thirsty. ( I think of Survivor, the old ones with normal people)
-temp 96.5 but shivers, (heating pad helps for this!!!)
-Waves of super nausea (didn’t throw up but then there was nothing in there)
-12:20 getting worse?
-Loose bm 
High BP and hr
-160/104 hr 79
-171/96 hr 96
Waited over an hour on 811 Healthline to see if I should perish at home. Should I go to ER?????????????? (That’s how scared I was)
-1:48 nausea subsiding (I rode out the wave!!)
Bed at 3
Awake at 9am
*Friday March 20
-Slept hard 
-Crazy dreams
-Woke up w headache. 
-I feel hot, hard to move. 
-Achy.  Tylenol times two. All vitamins and zinc 
-99.2 temp
-153/98 hr 69
-Chills had an Epson bath. (It helped. But watch fainting). 
-Down 2 lbs. 
plain toasted bagel
Lots of water and tea. 
-Ringing in ears (since day one on and off)
-can’t taste for last two days. Yet no plugged sinuses. 
Taking minerals and vitamins an zinc daily. I said that already
-brain fog apparently ( like auto immune flare but times 100)
So tired 3:11pm
Sleep by 930
Woke at 3am 
-feverish
- bit stuffy in sinus but ok once I sat up
- Shitty taste in mouth 
- Very weak
Just read a local Facebook page. Locals are in panic mode speculating it may be here or nearby. I want to shout to them “wake the frick up, of course it is?!” But what a stigma.  I will stay quiet and confined in my own bedroom and bathroom at the mercy of my really attractive nurse who refuses to put on his full firefighter uniform. 
*Saturday March 21 happy Spring yay😐 it’s sunny...but I’m not. 
-127/90 HR 74 temp 99.8
Fell back to sleep listening to headphones/YouTube stories (THIS!!)
Woke 9:10am
Feeling like I might make it after all! (Concern is that day 5. + 8 seem to be milestone days. This is day 6)
-very sore, achy
-bit of lung congestion
-bit of sinus pain
-Headache 
-dry eyes throughout this (Sjogrens)
-dizzy still. Even just sitting in bed, weird. 
Able to brush teeth, mouthwash. (Yuck mouth feels gross but with Sjogrens it’s NOt an option to not have good dental hygiene.)
Will stay in bed once again (we are still in N95 bleach glove mode, I am banished to the outer kingdom)
My sexy man-nurse IS wearing his FFer jacket, not  his call out gear, but I approve. 
Again this comes in WAVES. 
I hope this helps. STAY HOME. It’s a good time to make some healthy choices, eat well, LOTS of rest, self care, connect with loved ones on phone or video (I don’t really have anyone so it’s been tough that way)
Put a pause on certain habits, especially things like smoking, vaping, drinking hard etc. (Ex smoker) 
LOWER STRESS!!!! Today and every day! 
If you think going out and ONLY hanging with friends is a good idea, think again, you ARE going to get this ass kicker and you may be responsible for the health and possible death of someone you may or may not know. 
I wish everyone a safe journey. I will update if anything changes for sure. 
But take care and be kind to yourself.  Lots of layover from BC Canada</t>
        </is>
      </c>
      <c r="D32" t="n">
        <v>1</v>
      </c>
      <c r="E32" t="n">
        <v>131</v>
      </c>
      <c r="F32">
        <f>HYPERLINK("https://www.reddit.com/r/COVID19positive/comments/fmiqpr/day_6_symptoms_list_suggestions_59f_auto_immune/")</f>
        <v/>
      </c>
      <c r="G32" t="inlineStr">
        <is>
          <t>2020-03-21 10:38:05</t>
        </is>
      </c>
      <c r="H32" t="inlineStr">
        <is>
          <t>Tested Positive - Me</t>
        </is>
      </c>
    </row>
    <row r="33">
      <c r="A33" t="inlineStr">
        <is>
          <t>fmiwit</t>
        </is>
      </c>
      <c r="B33" t="inlineStr">
        <is>
          <t>What was it like having a mild case of COVID19</t>
        </is>
      </c>
      <c r="C33" t="inlineStr">
        <is>
          <t>I have read a lot about people with very minor symptoms testing positive. Is there anyone here who has had such a case, and if so what is it like?</t>
        </is>
      </c>
      <c r="D33" t="n">
        <v>1</v>
      </c>
      <c r="E33" t="n">
        <v>4</v>
      </c>
      <c r="F33">
        <f>HYPERLINK("https://www.reddit.com/r/COVID19positive/comments/fmiwit/what_was_it_like_having_a_mild_case_of_covid19/")</f>
        <v/>
      </c>
      <c r="G33" t="inlineStr">
        <is>
          <t>2020-03-21 10:47:52</t>
        </is>
      </c>
      <c r="H33" t="inlineStr">
        <is>
          <t>Tested Positive</t>
        </is>
      </c>
    </row>
    <row r="34">
      <c r="A34" t="inlineStr">
        <is>
          <t>fmjdcn</t>
        </is>
      </c>
      <c r="B34" t="inlineStr">
        <is>
          <t>Does anybody have any heart conditions that could give me advice?</t>
        </is>
      </c>
      <c r="C34" t="inlineStr">
        <is>
          <t>I (23F) haven’t tested positive but am in an area with high infection rates and have cardiomyopathy. I have no symptoms but I have always had trouble breathing and pressure/pain in my chest/back because of my heart problem. If I do get sick, how would I know when my symptoms require medical attention? I’m very young and don’t really know much about this. Any help would be appreciated.</t>
        </is>
      </c>
      <c r="D34" t="n">
        <v>1</v>
      </c>
      <c r="E34" t="n">
        <v>2</v>
      </c>
      <c r="F34">
        <f>HYPERLINK("https://www.reddit.com/r/COVID19positive/comments/fmjdcn/does_anybody_have_any_heart_conditions_that_could/")</f>
        <v/>
      </c>
      <c r="G34" t="inlineStr">
        <is>
          <t>2020-03-21 11:15:29</t>
        </is>
      </c>
      <c r="H34" t="inlineStr">
        <is>
          <t>Tested Positive - Friends</t>
        </is>
      </c>
    </row>
    <row r="35">
      <c r="A35" t="inlineStr">
        <is>
          <t>fmjfbb</t>
        </is>
      </c>
      <c r="B35" t="inlineStr">
        <is>
          <t>Plaquenil: supply shortage and demand uptick at your local pharmacy</t>
        </is>
      </c>
      <c r="C35" t="inlineStr">
        <is>
          <t xml:space="preserve"> Plaquenil: supply shortage and demand uptick at your local pharmacy
President Trump announced yesterday the potential combatant for novel Coronavirus with early research that Plaquenil, a drug originally developed to combat malaria, in combination with antibiotics *may* minimize the COVID19 and its effects.
Since that news broke, there has seemingly been a large uptick of M.D.’s self-prescribing Plaquenil in volume, according to varying pharmacy sources in Chicagoland area. 
“First, do no harm” is the Hippocratic Oath medical professionals take as they take their first step into becoming medical experts. However, stockpiling a drug to better serve themselves, or families… or whomever else they are looking to serve — undoubtedly violates such an oath.
Certain instances of doctors self prescribing the drug in the last few days has included unpleasant exchanges. Pharmacists, within their duties, have asked standard questions when dispensing the drugs — including their exposure or tests for COVID19. It seems those doctors have gotten considerably defensive in such exchanges.
Multiple pharmacies in Chicago are on backorder for the drug at this time. It is evident that certain individuals are ordering Plaquenil in bulk in order to hedge for themselves, but subsequently hurting those who in fact need the malaria drug immediately, or will need it.</t>
        </is>
      </c>
      <c r="D35" t="n">
        <v>1</v>
      </c>
      <c r="E35" t="n">
        <v>2</v>
      </c>
      <c r="F35">
        <f>HYPERLINK("https://www.reddit.com/r/COVID19positive/comments/fmjfbb/plaquenil_supply_shortage_and_demand_uptick_at/")</f>
        <v/>
      </c>
      <c r="G35" t="inlineStr">
        <is>
          <t>2020-03-21 11:18:53</t>
        </is>
      </c>
      <c r="H35" t="inlineStr">
        <is>
          <t>Tested Positive - Friends</t>
        </is>
      </c>
    </row>
    <row r="36">
      <c r="A36" t="inlineStr">
        <is>
          <t>fmjsz2</t>
        </is>
      </c>
      <c r="B36" t="inlineStr">
        <is>
          <t>Covid-19 positive without fever or cough (asthmatic)</t>
        </is>
      </c>
      <c r="C36" t="inlineStr">
        <is>
          <t>Hello! I just did an AMA (am still doing it) on the Coronavirus Asthma subreddit, I can share it here too if you’re interested - feel free to ask me questions if you like! Lots of free time! And I hope this can help some of the more anxious of you here. 
I began developing symptoms last Sunday. Extreme fatigue, aching joints, shortness of breath, severe headache, and more. However the NHS states that you can only have coronavirus if you have a fever and a bad cough, so despite me being fairly ill, I was actually told on the phone that it may be anxiety (lol) or that it may be the flu, bronchitis etc. however the breathing problems were and still are debilitating. It feels like there’s a pile of bricks on my chest. I was steaming for half an hour the other day and it didn’t do anything. 
Just got diagnosed following 2 nights of no sleep as it felt like I’d stop breathing if I fell asleep. Lying down is out of the question, I have to sleep with five pillows so we’ll see how that works tonight! However they said I’m extremely healthy especially for an asthmatic and I have a strong immune system! They’ve given me steroids and just an inhaler and I’m also taking paracetamol a couple times a day just to help things. The paramedics I spoke to said that avoiding ibuprofen is a myth and that it absolutely works. Also that it’s most likely I’m going to be immune and have a stronger immune system following this. 
Overall I feel very lucky! So if you have asthma and you’re worried I promise it’s hard but totally manageable if you have patience and a positive attitude.</t>
        </is>
      </c>
      <c r="D36" t="n">
        <v>1</v>
      </c>
      <c r="E36" t="n">
        <v>59</v>
      </c>
      <c r="F36">
        <f>HYPERLINK("https://www.reddit.com/r/COVID19positive/comments/fmjsz2/covid19_positive_without_fever_or_cough_asthmatic/")</f>
        <v/>
      </c>
      <c r="G36" t="inlineStr">
        <is>
          <t>2020-03-21 11:41:30</t>
        </is>
      </c>
      <c r="H36" t="inlineStr">
        <is>
          <t>Tested Positive - Me</t>
        </is>
      </c>
    </row>
    <row r="37">
      <c r="A37" t="inlineStr">
        <is>
          <t>fmlctm</t>
        </is>
      </c>
      <c r="B37" t="inlineStr">
        <is>
          <t>Hydroxychloroquine?</t>
        </is>
      </c>
      <c r="C37" t="inlineStr">
        <is>
          <t>Nice people, is there anyone here that is using hydroxychloroquine as treatment? How are you doing? Do you feel that it helped?
Thank you!</t>
        </is>
      </c>
      <c r="D37" t="n">
        <v>1</v>
      </c>
      <c r="E37" t="n">
        <v>3</v>
      </c>
      <c r="F37">
        <f>HYPERLINK("https://www.reddit.com/r/COVID19positive/comments/fmlctm/hydroxychloroquine/")</f>
        <v/>
      </c>
      <c r="G37" t="inlineStr">
        <is>
          <t>2020-03-21 13:07:20</t>
        </is>
      </c>
      <c r="H37" t="inlineStr">
        <is>
          <t>Tested Positive - Family</t>
        </is>
      </c>
    </row>
    <row r="38">
      <c r="A38" t="inlineStr">
        <is>
          <t>fmn714</t>
        </is>
      </c>
      <c r="B38" t="inlineStr">
        <is>
          <t>32 Healthy Male with COVID-19</t>
        </is>
      </c>
      <c r="C38" t="inlineStr">
        <is>
          <t>I’m posting this to help inform anyone that is curious about how CV has progressed in a seemingly healthy young male. 
I’m 32 5’8” 145 lbs. I exercise regularly, eat mostly a whole foods plant based diet, practice daily meditation, and have no major health concerns. 
Day 1
Went to bed and began to have a mild fever and started sweating a bit
Day 2 
Similar as day 1 with a bit of a mild sore throat
Day 3 
Same as day 2
Day 4
Same as day 3
Day 5
I no longer had a fever but my sore throat seemed to get a bit worse. It was mostly noticeable when I was swallowing. I began drinking lots and lots of hot tea. This helped sooth my throat but it definitely still hurt to swallow.
Day 6
Same as day 5
Day 7
Same as day 6
Day 8
Symptoms began to dissipate a bit. My sore throat was almost completely gone.
Day 9
I got very little sleep and felt very anxious. I was tired and my head felt fuzzy all day long as my mind was racing and I was a bit dizzy. My sore throat was back to how it was on day 7.
Day 10
Felt tired and lethargic throughout the day. My sore throat was the same as day 9.
Day 11
Same as day 10
Day 12
I feel a bit dazed and dizzy today. I’ve started to develop a bit of a dry cough that feels like strep throat. My sore throat is still here.
I will give more updates as my symptoms develop and/or dissipate.</t>
        </is>
      </c>
      <c r="D38" t="n">
        <v>1</v>
      </c>
      <c r="E38" t="n">
        <v>27</v>
      </c>
      <c r="F38">
        <f>HYPERLINK("https://www.reddit.com/r/COVID19positive/comments/fmn714/32_healthy_male_with_covid19/")</f>
        <v/>
      </c>
      <c r="G38" t="inlineStr">
        <is>
          <t>2020-03-21 14:33:49</t>
        </is>
      </c>
      <c r="H38" t="inlineStr">
        <is>
          <t>Tested Positive - Me</t>
        </is>
      </c>
    </row>
    <row r="39">
      <c r="A39" t="inlineStr">
        <is>
          <t>fmnual</t>
        </is>
      </c>
      <c r="B39" t="inlineStr">
        <is>
          <t>Symptoms from the past week.</t>
        </is>
      </c>
      <c r="C39" t="inlineStr">
        <is>
          <t>I'm asthmatic but I don't have an inhaler. I'm often prone to allergies. My wife is experiencing similar symptoms which leads me to think we're both infected.
The first day I noticed anything wrong was on **March 16th** where I could feel intense fatigue after eating. I know it's apparently common for people (1/3 of the people experience this according to Google) after eating, but it's not something I normally have at all, so it stood out to me.
During the evening I ended up having severe vertigo, chills and nausea, I didn't throw up but it hit me out of nowhere so I decided to go to bed to catch some rest. I felt restless, was sweating and my stomach was bothering me greatly. Without exaggerating I felt like dying. The thing is I did not even consider COVID19 at this point because in mind COVID19 symptoms were pulmonary. I had intense vivid dreams that night but still was able to sleep okay for the most part.
The day after (**March 17th**), I felt unusual fatigue and body aches all over. My left nostril felt completely closed up (especially when lying down) and the ganglions in my neck felt swollen on that side. Swallowing hurt my throat in what I could call a "piercing, stinging way".
I felt like having a fever a lot of the time, but my temperature has always stayed around 36.5°C more or less.
I had lost a lot of appetite as well. After eating half my plate I felt full and as if I couldn't get anything down anymore, which was very unusual for me.
Since then (**March 18th ~ March 21st**, today), my digestive problems mostly disappeared (with some intestinal pains here and there but nothing drastic).
Body aches and severe fatigue remained. Chest pain is still present and I now have (**March 21st**) a harder time breathing in deeply. I feel like I have to mindfully put efforts into breathing in and getting air to the bottom of my lungs. It's as if my upper chest feels slightly compressed. I know it is not due to stress either because I'm actually relatively relaxed.
I sleep well and feel rather normal in the morning, but a few hours later I'm back feeling incredibly tired. Eating both tires me out but also gives me energy for a few hours, before I'm back feeling tired again.
Lastly, all throughout, I've had a white tongue, but it's getting slightly better as time goes by (probably coinciding with my digestive problems getting better).
This is only a self-diagnosis. I hope my post wasn't too all over the place and hope it's useful in any way. Take care everyone.</t>
        </is>
      </c>
      <c r="D39" t="n">
        <v>1</v>
      </c>
      <c r="E39" t="n">
        <v>3</v>
      </c>
      <c r="F39">
        <f>HYPERLINK("https://www.reddit.com/r/COVID19positive/comments/fmnual/symptoms_from_the_past_week/")</f>
        <v/>
      </c>
      <c r="G39" t="inlineStr">
        <is>
          <t>2020-03-21 15:02:33</t>
        </is>
      </c>
      <c r="H39" t="inlineStr">
        <is>
          <t>Tested Positive</t>
        </is>
      </c>
    </row>
    <row r="40">
      <c r="A40" t="inlineStr">
        <is>
          <t>fmpp2d</t>
        </is>
      </c>
      <c r="B40" t="inlineStr">
        <is>
          <t>39F caught it in the ER after surgery</t>
        </is>
      </c>
      <c r="C40" t="inlineStr">
        <is>
          <t>I’ll first say I’m not confirmed positive but am personally positive (as is my doctor) I have it. Last week I had to have emergency surgery for a kidney stone. I was in the ER twice in one week and in the hospital for a day. The last trip to the ER was Thursday and things had taken a dramatic turn from my previous visit a few days before. There was now a containment area with nurses and doctors in full head to toe protective gear and lots of sick people. I was kept in a different part of the ER but they wheeled me through containment four times to have different imaging. They wouldn’t give me a mask because they were saving them for sick patients. I was terrified and pulled my sweatshirt over my face. 
I was fine for five days and then noticed my daughters both had low fevers (99.8) and by the end of the day, I did too. Two days later and i had sore throat, body aches, lots of fatigue and a light cough (from my throat). 
My daughters have pretty much only had a fever. My oldest mild cough and “feeling gross” but other than that, just the fever. Thank goodness.
I’m now on day four of 100 fever. It’s opposite of what I usually experience in that I feel suddenly like a furnace switching on in my body. Like this deep internal heat and that’s when my temperature is rising (hasn’t risen yet above 100 though) and then I’ll get chills and goosebumps and that’s when it’s going down. Usually it’s the opposite. I’ve been so tired and just staying in bed mostly and taking vitamin D and zinc.
I felt a lot better today and got up and helped put groceries away and started to get that burning hot feeling again. Today, chest pain started. The area around my sternum feels inflamed. Kind of like deep strep throat.
My doctor did teleconference with me and told me that it’s most likely I have it. I waited 3 hours for a test but they wouldn’t test me because I’m not over 65 and they have so few tests.
I’m hoping that it continues to be this mild and doesn’t get worse but it definitely seems unpredictable. I have POTS and my daughter has asthma. We’ve been self isolated since I was in the ER.</t>
        </is>
      </c>
      <c r="D40" t="n">
        <v>1</v>
      </c>
      <c r="E40" t="n">
        <v>3</v>
      </c>
      <c r="F40">
        <f>HYPERLINK("https://www.reddit.com/r/COVID19positive/comments/fmpp2d/39f_caught_it_in_the_er_after_surgery/")</f>
        <v/>
      </c>
      <c r="G40" t="inlineStr">
        <is>
          <t>2020-03-21 16:44:03</t>
        </is>
      </c>
      <c r="H40" t="inlineStr">
        <is>
          <t>Tested Positive - Me</t>
        </is>
      </c>
    </row>
    <row r="41">
      <c r="A41" t="inlineStr">
        <is>
          <t>fmpt5f</t>
        </is>
      </c>
      <c r="B41" t="inlineStr">
        <is>
          <t>Grandmother in law tested positive. What's the likelihood we have it?</t>
        </is>
      </c>
      <c r="C41" t="inlineStr">
        <is>
          <t>My grandmother in law came home from a flight out of country on Monday night. My fiancé drove her home in my grandmother's car. Did not touch her. This was before she had symptoms. She said people on the planes seemed sick. 
I work with many clients who are high risk. I live with my fiancé who drove her home. We do not have any symptoms yet. Should we push for testing? Is it likely that we have it? It is now about 5 days since my fiancé took her home. I have already informed my employer of the situation. 
My grandmother in law said she was not contagious at the time, but with so much different information, I don't know what to believe.</t>
        </is>
      </c>
      <c r="D41" t="n">
        <v>1</v>
      </c>
      <c r="E41" t="n">
        <v>4</v>
      </c>
      <c r="F41">
        <f>HYPERLINK("https://www.reddit.com/r/COVID19positive/comments/fmpt5f/grandmother_in_law_tested_positive_whats_the/")</f>
        <v/>
      </c>
      <c r="G41" t="inlineStr">
        <is>
          <t>2020-03-21 16:50:41</t>
        </is>
      </c>
      <c r="H41" t="inlineStr">
        <is>
          <t>Tested Positive - Family</t>
        </is>
      </c>
    </row>
    <row r="42">
      <c r="A42" t="inlineStr">
        <is>
          <t>fms9ae</t>
        </is>
      </c>
      <c r="B42" t="inlineStr">
        <is>
          <t>Positive 1 day out and 5 since symptoms</t>
        </is>
      </c>
      <c r="C42" t="inlineStr">
        <is>
          <t>So I had a fever for a few days and it felt like the worst flu in the world.  That fever is gone and I’m still coughing, very congested, lost all sense of smell and taste.  Now I’m feeling a little winded, seems like my chest is tight and this weird sensation on my skin on my chest and stomach.  It’s like a neuralgia pain.  Going to see how I am in the morning.  Don’t think I need to make the already crazy burnt out hospital deal with me but also not sure when or if I should consider going.  I think after the fever goes you are supposed to start getting better?</t>
        </is>
      </c>
      <c r="D42" t="n">
        <v>1</v>
      </c>
      <c r="E42" t="n">
        <v>22</v>
      </c>
      <c r="F42">
        <f>HYPERLINK("https://www.reddit.com/r/COVID19positive/comments/fms9ae/positive_1_day_out_and_5_since_symptoms/")</f>
        <v/>
      </c>
      <c r="G42" t="inlineStr">
        <is>
          <t>2020-03-21 19:30:34</t>
        </is>
      </c>
      <c r="H42" t="inlineStr">
        <is>
          <t>Tested Positive - Me</t>
        </is>
      </c>
    </row>
    <row r="43">
      <c r="A43" t="inlineStr">
        <is>
          <t>fmvglj</t>
        </is>
      </c>
      <c r="B43" t="inlineStr">
        <is>
          <t>Let’s honor our selfless Covid-19 Heroes.</t>
        </is>
      </c>
      <c r="C43" t="inlineStr">
        <is>
          <t>r/Covid19Heroes</t>
        </is>
      </c>
      <c r="D43" t="n">
        <v>1</v>
      </c>
      <c r="E43" t="n">
        <v>2</v>
      </c>
      <c r="F43">
        <f>HYPERLINK("https://www.reddit.com/r/COVID19positive/comments/fmvglj/lets_honor_our_selfless_covid19_heroes/")</f>
        <v/>
      </c>
      <c r="G43" t="inlineStr">
        <is>
          <t>2020-03-21 23:32:51</t>
        </is>
      </c>
      <c r="H43" t="inlineStr">
        <is>
          <t>Tested Positive - Family</t>
        </is>
      </c>
    </row>
    <row r="44">
      <c r="A44" t="inlineStr">
        <is>
          <t>fmza7b</t>
        </is>
      </c>
      <c r="B44" t="inlineStr">
        <is>
          <t>Airway Clearance Breathing Techniques ACBT to help clear your lungs more efficiently.</t>
        </is>
      </c>
      <c r="C44" t="inlineStr">
        <is>
          <t>Hi Everyone, This is something I feel people should know about especially since the effort of coughing is so draining on the body. This technique is taught by Physio’s to help you clear your secretions in the lungs.
Breathing Control (BC):
This is your normal breathing rate and volume, try breathing with the lower chest using your diaphragm, keeping your shoulders and upper chest relaxed. This is used to allow you to recover from the more active parts of the techniques relieves breathlessness, oxygen desaturation and bronchospasm.
Thoracic Expansion Exercises (TEE):
These are deep breathing exercises where you focus on the slow and controlled inspiration through your nose. This helps open the the collateral channels of breathing in the alveoli and helps the air get around the secretions.
You may want to try a 3 second hold at the end of the breath with the throat open to further increase the ability for the air to get around these secretions.
Limit the Forced expansions exercises to 3-4 times. If you need to you can intersperse the TEE with BC.
Forced Expiration Technique (FET)
This is the combination of two forced breaths out called huffs. The first breath is from a full inspiration you breath out like you are steaming up the mirror (in video). The second huff is from a normal breath in and you breath out again like steaming up the mirror but can be a little more forceful.
It is ok to cough if you need to but maybe try a huff first to clear the secretions.
[ACBT Video](https://youtu.be/XvorhwGZGm8)https://images.app.goo.gl/qB3uvdhoaFZsX1ou6</t>
        </is>
      </c>
      <c r="D44" t="n">
        <v>1</v>
      </c>
      <c r="E44" t="n">
        <v>27</v>
      </c>
      <c r="F44">
        <f>HYPERLINK("https://www.reddit.com/r/COVID19positive/comments/fmza7b/airway_clearance_breathing_techniques_acbt_to/")</f>
        <v/>
      </c>
      <c r="G44" t="inlineStr">
        <is>
          <t>2020-03-22 05:36:29</t>
        </is>
      </c>
      <c r="H44" t="inlineStr">
        <is>
          <t>Tested Positive</t>
        </is>
      </c>
    </row>
    <row r="45">
      <c r="A45" t="inlineStr">
        <is>
          <t>fn0rfz</t>
        </is>
      </c>
      <c r="B45" t="inlineStr">
        <is>
          <t>Asthma sufferer + day 10 experience + potential positive progress.</t>
        </is>
      </c>
      <c r="C45" t="inlineStr">
        <is>
          <t>Thought I'd give my personal account of symptoms for anyone who finds my experience of interest. 
I'll preface by saying; I havn't been tested, although, I'm 99% sure that what I have contracted is covid 19 or a relative strain of the virus. It's now been 8 days since first symptoms showing.
I have been a sufferer of asthma since childhood.
Asthma Issues I've had include fluid on the lungs and the usual aggravation from allergies, exercise and coincidence with sicknesses. I am prescribed regular inhaler medication to keep it in check. Im male and 25.
Initial symptoms appeared on 12/03 - 
Experienced a shortness of breath, a feeling of disorientation, slight sore throat, slight running nose but no urge cough. I know what an asthma attack/aggravation feels like and this felt nothing alike. 
My usual run-ins with asthma symptoms are thankfully infrequent, though, with the news of covid being relevant, I restocked on preventer and reliever medication. Neither medication seemed to shift the shortness of breath. I went into self isolation at this point although suspecting the worst I didnt feel as awful as I was expecting given the news so felt optimistic.
13/03-
I developed a fever alongside previous symptoms. Body aches were also now present. Still what seemed to be mild comparative to my usual reactions to a bad seasonal flu. Not a single cough though.
In the evening of the 13th my chest issues really started to develop to the point where i grew concerned. Felt like someone was sat on my chest or what I can only describe as my lungs being 1/2 full of liquid. 
14/03 -
I'd say I felt somewhat better at this point felt gleeful that I'd got away lightly. Symptoms were still present but felt positive. I decided to work out indoors with some mild bodyweight exercises. Perhaps to convince myself i was on the mend. In hindsight it was a shit idea and probably wore me down further.
16/03-
Skipped a few days as symptoms progressed. Tiredness fatigue and dizziness increased. My face and ears felt itchy with fever. Throat sore.
My breathing got more restrictive still. Now I was unable to take full breaths without experiencing a burning chest pain.  when I did gasp for a full breath; I didn't feel satisfied that I was receiving enough oxygen. Like being at a high altitude. A burning sensation in the lungs only soothed by breathing as shallow as possible. My lungs were making popping noises.
19/03 -
Relucatantly I caved and phoned 111. At this point, I was apprehensive that I may have developed pneumonia. The 111 doctor advised me I'd be hospitalised if my breathing continued to worsen.
I couldnt really care for going to hospital to deal with this. Im 25, relatively fit and although asthma works against me I'd rather not endanger nhs staff and others by coming out of isolation or taking up much needed space that someone more vulnerable than myself could benefit from. So I stayed put.
Today I consulted my local doctor who has perscribed anti-biotics(not that I can get out to get them.) I assume its an attempt to throw what he can at my lungs to help, considering not much is yet understood and no clear treatment prescribed.
My lungs today feel ravaged though my breathing seemingly less restricted than yesterday. I suspect a potential long term recovery in my lung function is on the cards.
 I still have a residual fever and now pins and needles and coldness of my extremities. Not sure it's over for me yet, but I'd like to think I'm on the home stretch so to speak. Exhausted though.
21/03 - 
Things took a dire turn. Felt like my body was giving all it had to shut this shit down in an all out war. Completely delirious. My lungs actually had good flow which was the only positive. One point cold shaking uncontrollably to the next feeling way over heated.
 It got so bad I think mentally I was prepared for death. I would lay down to sleep but repeatedly wake with heart racing to 180bpm range. Concerned that I'd stop breathing. Extremities felt constricted. Heart strained. Lungs seemed to be taking in enough air though chest and rib cage was in pain.
22/03 - 
I got 2 hours sleep at 8am. Woke to the tail end of this all out internal shit show. At the time of posting this it's as if my fever has just stopped almost entirely. I'm dazed and confused but it's a 90% improvement in the last 12 hours. I hope I've kicked this virus finally.
 Lungs seem under capacity yet I have no struggle breathing in and out in its limited capacity.
This illness does not feel like anything I've experienced before it attacks the lungs so harshly initially and I'm so exhausted at this point yet so much more hopeful for my health than a day ago.
Stay safe, be kind</t>
        </is>
      </c>
      <c r="D45" t="n">
        <v>1</v>
      </c>
      <c r="E45" t="n">
        <v>2</v>
      </c>
      <c r="F45">
        <f>HYPERLINK("https://www.reddit.com/r/COVID19positive/comments/fn0rfz/asthma_sufferer_day_10_experience_potential/")</f>
        <v/>
      </c>
      <c r="G45" t="inlineStr">
        <is>
          <t>2020-03-22 07:32:24</t>
        </is>
      </c>
      <c r="H45" t="inlineStr">
        <is>
          <t>Tested Positive</t>
        </is>
      </c>
    </row>
    <row r="46">
      <c r="A46" t="inlineStr">
        <is>
          <t>fn1hko</t>
        </is>
      </c>
      <c r="B46" t="inlineStr">
        <is>
          <t>Day 5 of this.</t>
        </is>
      </c>
      <c r="C46" t="inlineStr">
        <is>
          <t>I’ll start by saying my state is really short on tests and very overwhelmed right now, so they didn’t test me, but had an over-the-phone consult with me and said that because of my symptoms, it’s very likely that I have it and to self-quarantine.
Day 1: Very sore throat developed. Fast onset of upper-respiratory issues. Sinuses filled up quick with goop, sneezing, headaches from it. I used one of those humidifiers that spouts a big column of steam and damn near turns the room into a sauna. It helped immensely but mucus production never slowed. 
Day 2: More of the same, skin and body/joint aches began. 
Day 3: Pretty constant low grade fever that didn’t exceed 101°F. I let it stay because I know fevers can be a good thing. I began to feel my lungs filling with some sort of fluid and I started to have trouble breathing. Called doctor. They told me to monitor symptoms and to please not go to the ER as they are having to send people home already.
Night 3: I thought it was going to be the end for me. My lungs had filled so much. I made sure not to take any cough suppressant, with Sudafed being the only OTC. I have an auto-immune disease and have recently had brain surgery so I think this hit me very hard. My lungs had probably 10-20% capacity left. Every breath was hard, I felt like I was being suffocated. If I sat up for two long, the muscles of my back and abdomen would consume too much oxygen and my fingers/toes/scalp would begin to tingle and then burn and I would feel like I was going to faint. I just wasn’t getting enough air. My breathing was loud and labored. I had to work hard to keep my panic down so I could control my breathing. I called the doctor. She prescribed me an inhaler and a cough suppressant that I could pick up in the morning and said I most likely have coronavirus. 
Day 4: I took the inhaler but I thought the cough suppressant wasn’t wise, seeing as I needed to cough up that crap. The inhaler helped loosen up the stuff in my lungs immensely, but the coughing was violent and painful. The fever remained and I let it stay. The pain in my joints remained, my skin still hurt. 
Day 5: Fever lifted, sinuses began to clear on their own. Lungs are starting to clear and the soreness has as well. I think I’m on the up and up.
My boyfriend who lives with me got a sore throat two days before I did, but it cleared and that was his only symptom. So far he seems unaffected by any of the things that happened to me. I don’t know for sure if I had Coronavirus but I’ll say that I’ve never had a *flu* that tried to suffocate me like this sickness did. 
Stay safe out there, folks.</t>
        </is>
      </c>
      <c r="D46" t="n">
        <v>1</v>
      </c>
      <c r="E46" t="n">
        <v>2</v>
      </c>
      <c r="F46">
        <f>HYPERLINK("https://www.reddit.com/r/COVID19positive/comments/fn1hko/day_5_of_this/")</f>
        <v/>
      </c>
      <c r="G46" t="inlineStr">
        <is>
          <t>2020-03-22 08:30:01</t>
        </is>
      </c>
      <c r="H46" t="inlineStr">
        <is>
          <t>Tested Positive - Me</t>
        </is>
      </c>
    </row>
    <row r="47">
      <c r="A47" t="inlineStr">
        <is>
          <t>fn2v99</t>
        </is>
      </c>
      <c r="B47" t="inlineStr">
        <is>
          <t>TV Just Crapped Out [Venting, not serious]</t>
        </is>
      </c>
      <c r="C47" t="inlineStr">
        <is>
          <t>Day 11 of Quarantine with me and the family, and our TV just went kaput.  All things considered, we're very lucky nobody in the house is having severe symptoms, we're well-stocked with food and coloring books, and we are able to work from home (for now).  The manufacturer would fix it under warranty, but they can't come until the quarantine is over, and we have no idea how long that will actually be.  
Just a shitty exclamation point on a whole chapter of shit.  
How is your day going today?</t>
        </is>
      </c>
      <c r="D47" t="n">
        <v>1</v>
      </c>
      <c r="E47" t="n">
        <v>3</v>
      </c>
      <c r="F47">
        <f>HYPERLINK("https://www.reddit.com/r/COVID19positive/comments/fn2v99/tv_just_crapped_out_venting_not_serious/")</f>
        <v/>
      </c>
      <c r="G47" t="inlineStr">
        <is>
          <t>2020-03-22 09:59:58</t>
        </is>
      </c>
      <c r="H47" t="inlineStr">
        <is>
          <t>Tested Positive - Me</t>
        </is>
      </c>
    </row>
    <row r="48">
      <c r="A48" t="inlineStr">
        <is>
          <t>fn4inl</t>
        </is>
      </c>
      <c r="B48" t="inlineStr">
        <is>
          <t>"likely COVID", refused testing. My symptoms so far [MtF, 19]</t>
        </is>
      </c>
      <c r="C48" t="inlineStr">
        <is>
          <t>## Day 1 of symptoms:
Overwhelming fatigue, headache, bit of a sore throat, felt fine overall
## Days 2-4:
Sore throat intensifies, light dry infrequent cough
## Day 5:
Start getting light, intermittent stabbing/burning pains in the very bottom of my ribcage, heavier on the left side compared to the right side, all previous symptoms persist, fatigue improves
## Day 6:
Lung pains become constant, start getting light rattling/wheezing sensation when breathing in
## Day 7:
Rattling/wheezing sensation gets worse, sore throat suddenly very painful, lung pains intensify, call nurse line and get told to go to the ER
At the ER they took a chest x-ray, tested me for strep and mono but not COVID-19 since they were running short on test kits. Strep and mono came back negative. Doctor told me I likely had COVID-19 since it manifests itself inconsistently in patients my age. Got told to take paracetamol, self-quarantine for 14 days, get plenty of rest/fluids/sleep
## Day 8:
Wake up feeling a bit better, rattling sensation seems to have improved, lung pains still as intense as day 7
## Day 9 (today):
Sore throat seems to be clearing up, cough became a bit "wetter", still feeling intense chest pain
## Some notes:
Never had a noticeable fever (unfortunately I don't have a thermometer, but they took my temperature at the ER and it was normal), no shortness of breath, and my cough has been very intermittent so far. Willing to answer all questions, hopefully this helps someone.</t>
        </is>
      </c>
      <c r="D48" t="n">
        <v>1</v>
      </c>
      <c r="E48" t="n">
        <v>3</v>
      </c>
      <c r="F48">
        <f>HYPERLINK("https://www.reddit.com/r/COVID19positive/comments/fn4inl/likely_covid_refused_testing_my_symptoms_so_far/")</f>
        <v/>
      </c>
      <c r="G48" t="inlineStr">
        <is>
          <t>2020-03-22 11:32:50</t>
        </is>
      </c>
      <c r="H48" t="inlineStr">
        <is>
          <t>Tested Positive - Me</t>
        </is>
      </c>
    </row>
    <row r="49">
      <c r="A49" t="inlineStr">
        <is>
          <t>fn525g</t>
        </is>
      </c>
      <c r="B49" t="inlineStr">
        <is>
          <t>How to sleep? Desperate for rest</t>
        </is>
      </c>
      <c r="C49" t="inlineStr">
        <is>
          <t>I tested presumptive positive, waiting on actual test results. my husband came into direct contact at work, I'm immunocompromised, symptoms for me at first were diminished appetite, (I forgot to eat for 2 days) I should have known then that something was WAY wrong. General tiredness. Then a horrible fever that is persisted for 5 days now between 101.0 -101.9  thankfully I've gotten off easy respiratory wise so far, i just feel out of breath walking to the bathroom and have a slight cough / sore throat (no desperate coughing fits). 
My question for those going through this is how do you sleep? My fever dreams are awful when I do sleep, and once I am in a fever ridden dream state that's when I apparently need to cough. My body aches are so bad I can't get comfortable to rest.  Has anyone found anything that helps them actually sleep? I'm taking Tylenol for my fever but I'm still not able to get comfortable to actually sleep for more than about 15 minutes. I'm afraid anything that helps me sleep will depress my respiratory system and make bad things worse.</t>
        </is>
      </c>
      <c r="D49" t="n">
        <v>1</v>
      </c>
      <c r="E49" t="n">
        <v>2</v>
      </c>
      <c r="F49">
        <f>HYPERLINK("https://www.reddit.com/r/COVID19positive/comments/fn525g/how_to_sleep_desperate_for_rest/")</f>
        <v/>
      </c>
      <c r="G49" t="inlineStr">
        <is>
          <t>2020-03-22 12:03:15</t>
        </is>
      </c>
      <c r="H49" t="inlineStr">
        <is>
          <t>Tested Positive - Me</t>
        </is>
      </c>
    </row>
    <row r="50">
      <c r="A50" t="inlineStr">
        <is>
          <t>fn6mnz</t>
        </is>
      </c>
      <c r="B50" t="inlineStr">
        <is>
          <t>Covid Virus Check!!</t>
        </is>
      </c>
      <c r="C50" t="inlineStr">
        <is>
          <t>[https://youtu.be/Z8nCbkux\_xA](https://youtu.be/Z8nCbkux_xA)</t>
        </is>
      </c>
      <c r="D50" t="n">
        <v>1</v>
      </c>
      <c r="E50" t="n">
        <v>3</v>
      </c>
      <c r="F50">
        <f>HYPERLINK("https://www.reddit.com/r/COVID19positive/comments/fn6mnz/covid_virus_check/")</f>
        <v/>
      </c>
      <c r="G50" t="inlineStr">
        <is>
          <t>2020-03-22 13:31:25</t>
        </is>
      </c>
      <c r="H50" t="inlineStr">
        <is>
          <t>Tested Positive - Friends</t>
        </is>
      </c>
    </row>
    <row r="51">
      <c r="A51" t="inlineStr">
        <is>
          <t>fn91tg</t>
        </is>
      </c>
      <c r="B51" t="inlineStr">
        <is>
          <t>Tested positive-now what??</t>
        </is>
      </c>
      <c r="C51" t="inlineStr">
        <is>
          <t>Hey guys. I just tested positive for COVID-19. I’m a single mom of a two year old. I  just moved here so have no family around here, and I don’t know anyone. I’m just wondering what to expect? I’m very worried about my son because if anything happens to me I don’t know who would take care of him. Is this illness debilitating enough that I won’t be able to care for him? I feel like trash now but I’m able to manage. Is it going to get worse?</t>
        </is>
      </c>
      <c r="D51" t="n">
        <v>1</v>
      </c>
      <c r="E51" t="n">
        <v>105</v>
      </c>
      <c r="F51">
        <f>HYPERLINK("https://www.reddit.com/r/COVID19positive/comments/fn91tg/tested_positivenow_what/")</f>
        <v/>
      </c>
      <c r="G51" t="inlineStr">
        <is>
          <t>2020-03-22 15:54:44</t>
        </is>
      </c>
      <c r="H51" t="inlineStr">
        <is>
          <t>Tested Positive - Me</t>
        </is>
      </c>
    </row>
    <row r="52">
      <c r="A52" t="inlineStr">
        <is>
          <t>fnaagr</t>
        </is>
      </c>
      <c r="B52" t="inlineStr">
        <is>
          <t>I haven’t pooped in five days.</t>
        </is>
      </c>
      <c r="C52" t="inlineStr">
        <is>
          <t>So yeah I haven’t pooped in five days. Has anyone else experienced this at all? are you having bowel movements? I know too much info but I’m concerned</t>
        </is>
      </c>
      <c r="D52" t="n">
        <v>1</v>
      </c>
      <c r="E52" t="n">
        <v>2</v>
      </c>
      <c r="F52">
        <f>HYPERLINK("https://www.reddit.com/r/COVID19positive/comments/fnaagr/i_havent_pooped_in_five_days/")</f>
        <v/>
      </c>
      <c r="G52" t="inlineStr">
        <is>
          <t>2020-03-22 17:12:57</t>
        </is>
      </c>
      <c r="H52" t="inlineStr">
        <is>
          <t>Tested Positive - Me</t>
        </is>
      </c>
    </row>
    <row r="53">
      <c r="A53" t="inlineStr">
        <is>
          <t>fnbf57</t>
        </is>
      </c>
      <c r="B53" t="inlineStr">
        <is>
          <t>Finance has fever, cough, body ache etc...I have no symptoms.</t>
        </is>
      </c>
      <c r="C53" t="inlineStr">
        <is>
          <t xml:space="preserve">   She got tested and was negative for flu. Awaiting the results, 3 to 8 days. Meanwhile I am home with her for the past 2 days and have been living with her and have no symptoms what so ever. We have not been practice any distancing.
     Has anybody been exposed like this and not gotten it? What are the chances it is not COVID19. Anybody been found to be immune? 
   I am a Physical therapist that is supposed to Return to work on Wednesday. My boss will push me to come back. I err on the side of caution and say I will not come back until the results are back.</t>
        </is>
      </c>
      <c r="D53" t="n">
        <v>1</v>
      </c>
      <c r="E53" t="n">
        <v>3</v>
      </c>
      <c r="F53">
        <f>HYPERLINK("https://www.reddit.com/r/COVID19positive/comments/fnbf57/finance_has_fever_cough_body_ache_etci_have_no/")</f>
        <v/>
      </c>
      <c r="G53" t="inlineStr">
        <is>
          <t>2020-03-22 18:27:08</t>
        </is>
      </c>
      <c r="H53" t="inlineStr">
        <is>
          <t>Tested Positive - Family</t>
        </is>
      </c>
    </row>
    <row r="54">
      <c r="A54" t="inlineStr">
        <is>
          <t>fnbm61</t>
        </is>
      </c>
      <c r="B54" t="inlineStr">
        <is>
          <t>NBA Star Rudy Gobert (who tested positive) posts that loss of smell and taste is definitely a symptom</t>
        </is>
      </c>
      <c r="C54" t="inlineStr">
        <is>
          <t>Not sure if this is allowed, but Rudy Gobert, who tested positive, just posted [this tweet](https://twitter.com/rudygobert27/status/1241811796891066368?s=21) saying that he is experiencing loss of taste and smell. 
I know that I’ve seen a few people questioning if that’s a symptom, so I figured another person who’s experienced this would be helpful to those wondering.</t>
        </is>
      </c>
      <c r="D54" t="n">
        <v>1</v>
      </c>
      <c r="E54" t="n">
        <v>2</v>
      </c>
      <c r="F54">
        <f>HYPERLINK("https://www.reddit.com/r/COVID19positive/comments/fnbm61/nba_star_rudy_gobert_who_tested_positive_posts/")</f>
        <v/>
      </c>
      <c r="G54" t="inlineStr">
        <is>
          <t>2020-03-22 18:40:22</t>
        </is>
      </c>
      <c r="H54" t="inlineStr">
        <is>
          <t>Tested Positive</t>
        </is>
      </c>
    </row>
    <row r="55">
      <c r="A55" t="inlineStr">
        <is>
          <t>fnbsde</t>
        </is>
      </c>
      <c r="B55" t="inlineStr">
        <is>
          <t>99.9% sure I have it now.</t>
        </is>
      </c>
      <c r="C55" t="inlineStr">
        <is>
          <t>My friend has been sick for 2 weeks now, told me she and her husband were having difficulty breathing on Wednesday, on Friday the were admitted to the ER, CT scan showed she had pneumonia, the same for her husband. She was on oxygen and antibiotics, she’s pulling through, her husband didn’t make it, he passed today- both test results confirmed positive for Covid-19. Ive been having symptoms and a fever since Wednesday- today is day 4, my throat is starting to feel like there’s a knot and I keep clearing my throat. It started with diarrhea and chills, then fever, body ache, then more fever body aches shortness of breathe, migraines, now the difficulty swallowing and short, tight breathes. I have asthma. I’m worried, I’m saddened and I’m scared. My fiancé and I are officially quarantined. We reached out to everyone we’ve been in contact with. Can someone who has had it and recovered (anyone with asthma) please leave me note, give me some hope. Stay safe guys. Sending everyone much love and peace in these trying times.</t>
        </is>
      </c>
      <c r="D55" t="n">
        <v>1</v>
      </c>
      <c r="E55" t="n">
        <v>191</v>
      </c>
      <c r="F55">
        <f>HYPERLINK("https://www.reddit.com/r/COVID19positive/comments/fnbsde/999_sure_i_have_it_now/")</f>
        <v/>
      </c>
      <c r="G55" t="inlineStr">
        <is>
          <t>2020-03-22 18:52:29</t>
        </is>
      </c>
      <c r="H55" t="inlineStr">
        <is>
          <t>Tested Positive - Friends</t>
        </is>
      </c>
    </row>
    <row r="56">
      <c r="A56" t="inlineStr">
        <is>
          <t>fnm2sq</t>
        </is>
      </c>
      <c r="B56" t="inlineStr">
        <is>
          <t>I tested positive this morning.</t>
        </is>
      </c>
      <c r="C56" t="inlineStr">
        <is>
          <t>I hadn’t been feeling well for a while, so I finally was able to schedule an appointment with my doctor to run some tests and got a positive diagnosis for COVID. I was given an oxygen tank and orders to sequester myself. I currently have a dry cough and a fever of about 103, so it’s a miracle I made it home safe.</t>
        </is>
      </c>
      <c r="D56" t="n">
        <v>1</v>
      </c>
      <c r="E56" t="n">
        <v>127</v>
      </c>
      <c r="F56">
        <f>HYPERLINK("https://www.reddit.com/r/COVID19positive/comments/fnm2sq/i_tested_positive_this_morning/")</f>
        <v/>
      </c>
      <c r="G56" t="inlineStr">
        <is>
          <t>2020-03-23 08:44:20</t>
        </is>
      </c>
      <c r="H56" t="inlineStr">
        <is>
          <t>Tested Positive - Me</t>
        </is>
      </c>
    </row>
    <row r="57">
      <c r="A57" t="inlineStr">
        <is>
          <t>fnonq0</t>
        </is>
      </c>
      <c r="B57" t="inlineStr">
        <is>
          <t>What medicines/treatments are given to positive patients? Let's share our experience</t>
        </is>
      </c>
      <c r="C57" t="inlineStr">
        <is>
          <t>Hi, this is a question for those tested positive and Doctors too. 
It would be helpful to understand how the issue is being tackled around the world and according to severity of the case.  
Thank you. 
Many prayers and love to everyone, sadly that's all I can do right now. 
________
&amp;gt;my point of view: 
a close person got into contact with someone positive (end of February/early  March) 
First tampon was negative but she had high fever so they gave her 2antibiotics: FIDATO, TRISSIL.
Second tampon test last week, results came back today-positive. 
Doctors switched her to KLACID (is it for kids?) and AUGMENTIN
Symptoms: no respiratory issues. 
Very high fever for almost 15 days. Back pain.</t>
        </is>
      </c>
      <c r="D57" t="n">
        <v>1</v>
      </c>
      <c r="E57" t="n">
        <v>2</v>
      </c>
      <c r="F57">
        <f>HYPERLINK("https://www.reddit.com/r/COVID19positive/comments/fnonq0/what_medicinestreatments_are_given_to_positive/")</f>
        <v/>
      </c>
      <c r="G57" t="inlineStr">
        <is>
          <t>2020-03-23 11:06:11</t>
        </is>
      </c>
      <c r="H57" t="inlineStr">
        <is>
          <t>Tested Positive - Friends</t>
        </is>
      </c>
    </row>
    <row r="58">
      <c r="A58" t="inlineStr">
        <is>
          <t>fnps51</t>
        </is>
      </c>
      <c r="B58" t="inlineStr">
        <is>
          <t>Bummer</t>
        </is>
      </c>
      <c r="C58" t="inlineStr">
        <is>
          <t>I spent the past 5 days telling my bf it’s just bronchitis and I don’t need to sleep on a different level of the house and have you deliver me food. Well well we’ll, this is a bummer. Also, out of PTO today so hooray two weeks unpaid.</t>
        </is>
      </c>
      <c r="D58" t="n">
        <v>1</v>
      </c>
      <c r="E58" t="n">
        <v>19</v>
      </c>
      <c r="F58">
        <f>HYPERLINK("https://www.reddit.com/r/COVID19positive/comments/fnps51/bummer/")</f>
        <v/>
      </c>
      <c r="G58" t="inlineStr">
        <is>
          <t>2020-03-23 12:05:28</t>
        </is>
      </c>
      <c r="H58" t="inlineStr">
        <is>
          <t>Tested Positive - Me</t>
        </is>
      </c>
    </row>
    <row r="59">
      <c r="A59" t="inlineStr">
        <is>
          <t>fnrhhd</t>
        </is>
      </c>
      <c r="B59" t="inlineStr">
        <is>
          <t>Well crap</t>
        </is>
      </c>
      <c r="C59" t="inlineStr">
        <is>
          <t>So my husband was just telling me today: this is the weirdest flu I’ve ever had! 
I (30F) was lucky enough to get tested (because of my job), which is very difficult in my country right now. I wanted to write down my own symptoms since noticing I had a slight fever when my husband told me he had a fever. 
I am now on day 4, symptoms started friday. 
I had a mild fever day 1, (37,7) coughing started throughout the day, was a dry cough.
Day 2 I got a fever and coughed more and I got muscle ache all over my body. Woke up with a hell of a headache. 
The night between 2 and 3 was rough, woke up a lot and had a lot of pain in my neck. Also got the cough I get when I get bronchitis. It passed during the night.
Day 3 was the worst day yet. Woke up with muscle ache in my entire body and a headache. Coughing pretty much gone but I was getting woozy and some shortness of breath when increasing activity (still have 2 kids running around age 3 and 21 months). Also got a higher fever, 38,8. (Husband had 39,3 at one point).
Also got a stuffy nose. Don’t feel like eating. 
Day 4 (Today) I am feeling a bit better. Temp is down to 38, body doesn’t ache as much. Still have the shortness of breath and dizziness when doing too much at once. Still have a stuffy nose and still don’t have an appetite. 
Husband is now experiencing loss of smell and taste which I noticed more people were having. He also had some diarrhea last Tuesday. He noticed something was off on Thursday and got a fever on Friday. 
Our kids just have a cough and a runny nose. My youngest one has some sort of asthma and we do use an inhaler every night for the past week.</t>
        </is>
      </c>
      <c r="D59" t="n">
        <v>1</v>
      </c>
      <c r="E59" t="n">
        <v>115</v>
      </c>
      <c r="F59">
        <f>HYPERLINK("https://www.reddit.com/r/COVID19positive/comments/fnrhhd/well_crap/")</f>
        <v/>
      </c>
      <c r="G59" t="inlineStr">
        <is>
          <t>2020-03-23 13:39:50</t>
        </is>
      </c>
      <c r="H59" t="inlineStr">
        <is>
          <t>Tested Positive - Me</t>
        </is>
      </c>
    </row>
    <row r="60">
      <c r="A60" t="inlineStr">
        <is>
          <t>fnvb0l</t>
        </is>
      </c>
      <c r="B60" t="inlineStr">
        <is>
          <t>Sister Tested Positive With Chron’s Disease</t>
        </is>
      </c>
      <c r="C60" t="inlineStr">
        <is>
          <t>My sister just tested positive for Coronavirus. I wouldn’t be worried about her cause she’s a 30 year old female but she also suffers from Krohn’s disease. 
There’s not much data or even anecdotal information i could find on what complications could be ahead for her, so wanted to see if anyone here also has Crohn’s or a similar autoimmune disease and could share their experience? 
Any help is much appreciated!!</t>
        </is>
      </c>
      <c r="D60" t="n">
        <v>1</v>
      </c>
      <c r="E60" t="n">
        <v>12</v>
      </c>
      <c r="F60">
        <f>HYPERLINK("https://www.reddit.com/r/COVID19positive/comments/fnvb0l/sister_tested_positive_with_chrons_disease/")</f>
        <v/>
      </c>
      <c r="G60" t="inlineStr">
        <is>
          <t>2020-03-23 17:23:13</t>
        </is>
      </c>
      <c r="H60" t="inlineStr">
        <is>
          <t>Tested Positive - Family</t>
        </is>
      </c>
    </row>
    <row r="61">
      <c r="A61" t="inlineStr">
        <is>
          <t>fnw93d</t>
        </is>
      </c>
      <c r="B61" t="inlineStr">
        <is>
          <t>Day 8 update - Asthmatic, COVID+</t>
        </is>
      </c>
      <c r="C61" t="inlineStr">
        <is>
          <t>Hey all,
I promised to give updates. I’m still not feeling great. I’m out of prednisone now and wondering if I should ask for more. It really helped keep my breathing clearer and stave off the coughing fits. The coughs are somewhat less prolonged. I tried to do some minor exercise... just stretching/yoga. But my head is just pounding. It feels like I’m underwater. 
The hydrocodone cough syrup is a life saver right now. If you can phone in to your doctor I really, really recommend asking for it. I can sleep almost entirely through the night with a moderate dose (2 tsp ~ 10mg). Under advice of a doctor here I’ve upped my ventolin to 6 times a day and it does help quite a bit. Fluids... I’m sick of drinking water... Gatorade is okay. Helps to freeze it a bit and eat it like a snow cone. I’m still sweating through the night and wake up feeling like the Sahara desert crapped in my mouth... sorry... that’s about the best visual. Dry is the theme of the past few days... my nostrils are dry and chapped, my lips, my skin even feels dry and not as elastic. I know I’m a bit dehydrated but trying my best. 
My partner still doesn’t have symptoms! I’m so happy about that!! Like over the moon! I know that doesn’t mean he isn’t carrying the virus and we’re taking that very seriously. We ordered some food delivery boxes. That’s been great! Neither of us want to deal with the chaos of asking friends and family to go to grocery stores for us. With community transmission, I absolutely don’t want them going out. Everyone is Skyping me and keeping me company. I’m begging them to stay home. Forget about work... money will come... it’s not worth going to grab a freaking latte in a pandemic! I’m a bit mad when I see people going out anyway... I know, it’s scary and denial is easy.. but I just want to shake them! I’m not even the worst off with this virus. I’d say all in all I’ve been very very lucky that I’m still breathing on my own and functioning. Lots of people are suffering way worse than I am.. but I still feel like garbage. I wish people would just listen! Sorry to rant... 
I’m doing okay! That’s the main take away.</t>
        </is>
      </c>
      <c r="D61" t="n">
        <v>1</v>
      </c>
      <c r="E61" t="n">
        <v>58</v>
      </c>
      <c r="F61">
        <f>HYPERLINK("https://www.reddit.com/r/COVID19positive/comments/fnw93d/day_8_update_asthmatic_covid/")</f>
        <v/>
      </c>
      <c r="G61" t="inlineStr">
        <is>
          <t>2020-03-23 18:24:15</t>
        </is>
      </c>
      <c r="H61" t="inlineStr">
        <is>
          <t>Tested Positive - Me</t>
        </is>
      </c>
    </row>
    <row r="62">
      <c r="A62" t="inlineStr">
        <is>
          <t>fnwh8p</t>
        </is>
      </c>
      <c r="B62" t="inlineStr">
        <is>
          <t>My results were tested with both the slow and quick test with conflicting results. In other words, a rare false-negative result due to the severity of symptoms according to the physician.</t>
        </is>
      </c>
      <c r="C62" t="inlineStr">
        <is>
          <t>This may get removed or it may not but hear me out as the result answered why I was so sick.
I just received the most confusing news. After waiting 8 days for my test results, they came back. I will probably not be counted among the positive results. The doctor said that the new quick test came back negative; however, the slower more thorough one came back as essentially POSITIVE for COVID-19 of indeterminate origin. The doctor had not seen anything like it and was confused. This doctor then said, in his words, that it is most likely one of the rare false-negatives. I posted here previously trying to ask people how they received their results as I had expected a 3 day wait and it had been over a week.
My test took nearly twice as long as everyone else's in my state as well. I just got told to remain under quarentine, probably for another two weeks.  The doctor said I may even be tested again due to the strange test results. We'll see but considering I had all the classic symptoms: Fever, dry cough, and shortness of breath as well as contact with people who traveled back from South Korea and Florida, it is likely a positive. Everyone in contact with me is already under quarentine for the past two weeks due to suspicion.
This is the sickest I have ever been in my life. I was hospitalized three times in a week and I could barely lift myself from a chair. I am lucky it did not progress to pnuemonia. For anyone wondering how they received their results, the state sent it back to the ordering physician who then reported it to me. I was also told that you normally do not receive a personal call for a negative result.
Only good news out of this is that I have made it past the critical stages of the illness and have begun recovering although I am still weak. It feels like I got hit by a bus.
For anyone wanting to know my county in Oklahoma, I live in Cleveland county which is the middle of an outbreak with the second-highest reported cases in the state so far and right next to our epicenter of cases.
To everyone awaiting their results or trying not get tested, I wish you luck.</t>
        </is>
      </c>
      <c r="D62" t="n">
        <v>1</v>
      </c>
      <c r="E62" t="n">
        <v>29</v>
      </c>
      <c r="F62">
        <f>HYPERLINK("https://www.reddit.com/r/COVID19positive/comments/fnwh8p/my_results_were_tested_with_both_the_slow_and/")</f>
        <v/>
      </c>
      <c r="G62" t="inlineStr">
        <is>
          <t>2020-03-23 18:38:51</t>
        </is>
      </c>
      <c r="H62" t="inlineStr">
        <is>
          <t>Tested Positive</t>
        </is>
      </c>
    </row>
    <row r="63">
      <c r="A63" t="inlineStr">
        <is>
          <t>fnygbf</t>
        </is>
      </c>
      <c r="B63" t="inlineStr">
        <is>
          <t>Stigma</t>
        </is>
      </c>
      <c r="C63" t="inlineStr">
        <is>
          <t>Other positive folks - are you telling people beyond those that you should (you came in contact with them)? I feel like being positive is stigmatized. Like people will wonder what you were careless about to get it.</t>
        </is>
      </c>
      <c r="D63" t="n">
        <v>1</v>
      </c>
      <c r="E63" t="n">
        <v>3</v>
      </c>
      <c r="F63">
        <f>HYPERLINK("https://www.reddit.com/r/COVID19positive/comments/fnygbf/stigma/")</f>
        <v/>
      </c>
      <c r="G63" t="inlineStr">
        <is>
          <t>2020-03-23 20:57:33</t>
        </is>
      </c>
      <c r="H63" t="inlineStr">
        <is>
          <t>Tested Positive - Me</t>
        </is>
      </c>
    </row>
    <row r="64">
      <c r="A64" t="inlineStr">
        <is>
          <t>fo6x9u</t>
        </is>
      </c>
      <c r="B64" t="inlineStr">
        <is>
          <t>Seattle area research for a vaccine</t>
        </is>
      </c>
      <c r="C64" t="inlineStr">
        <is>
          <t>Saw this on Twitter...
https://twitter.com/HelenChuMD/status/1242215732949086208?s=19</t>
        </is>
      </c>
      <c r="D64" t="n">
        <v>1</v>
      </c>
      <c r="E64" t="n">
        <v>3</v>
      </c>
      <c r="F64">
        <f>HYPERLINK("https://www.reddit.com/r/COVID19positive/comments/fo6x9u/seattle_area_research_for_a_vaccine/")</f>
        <v/>
      </c>
      <c r="G64" t="inlineStr">
        <is>
          <t>2020-03-24 08:25:40</t>
        </is>
      </c>
      <c r="H64" t="inlineStr">
        <is>
          <t>Tested Positive - Me</t>
        </is>
      </c>
    </row>
    <row r="65">
      <c r="A65" t="inlineStr">
        <is>
          <t>fobulg</t>
        </is>
      </c>
      <c r="B65" t="inlineStr">
        <is>
          <t>Did anyone else feel a bit of relief? Like at this point, at least the bated breath is over, and I can take proper precautions</t>
        </is>
      </c>
      <c r="C65" t="inlineStr">
        <is>
          <t>Title says all</t>
        </is>
      </c>
      <c r="D65" t="n">
        <v>1</v>
      </c>
      <c r="E65" t="n">
        <v>26</v>
      </c>
      <c r="F65">
        <f>HYPERLINK("https://www.reddit.com/r/COVID19positive/comments/fobulg/did_anyone_else_feel_a_bit_of_relief_like_at_this/")</f>
        <v/>
      </c>
      <c r="G65" t="inlineStr">
        <is>
          <t>2020-03-24 12:54:19</t>
        </is>
      </c>
      <c r="H65" t="inlineStr">
        <is>
          <t>Tested Positive - Me</t>
        </is>
      </c>
    </row>
    <row r="66">
      <c r="A66" t="inlineStr">
        <is>
          <t>fog729</t>
        </is>
      </c>
      <c r="B66" t="inlineStr">
        <is>
          <t>Day 6- swollen glands. Is this me getting better?</t>
        </is>
      </c>
      <c r="C66" t="inlineStr">
        <is>
          <t>The past two days have been the worst, I’ve been struggling to catch a breath to the point of not getting words out. It came on in waves. I did get checked out. 
NHS won’t test but doctor told me to treat it as if I’m positive. 
Last time I had shivers was yesterday day time then a few hours later my glands suddenly swelled up. Today (day 7) I’ve been a bit better, just purely exhausted and out of it. Still a few breathing difficulties but mainly when I move around. Is this a sign for me getting better? Roll on being able to go upstairs for a piss without keeling over out of breath!</t>
        </is>
      </c>
      <c r="D66" t="n">
        <v>1</v>
      </c>
      <c r="E66" t="n">
        <v>7</v>
      </c>
      <c r="F66">
        <f>HYPERLINK("https://www.reddit.com/r/COVID19positive/comments/fog729/day_6_swollen_glands_is_this_me_getting_better/")</f>
        <v/>
      </c>
      <c r="G66" t="inlineStr">
        <is>
          <t>2020-03-24 16:58:37</t>
        </is>
      </c>
      <c r="H66" t="inlineStr">
        <is>
          <t>Tested Positive - Me</t>
        </is>
      </c>
    </row>
    <row r="67">
      <c r="A67" t="inlineStr">
        <is>
          <t>fog8re</t>
        </is>
      </c>
      <c r="B67" t="inlineStr">
        <is>
          <t>Tested Positive Symptoms Breakdown</t>
        </is>
      </c>
      <c r="C67" t="inlineStr">
        <is>
          <t>Hey everyone I created a throwaway to tell you about my journey so far.
I will give you a backround of myself aswell 
27 Male- In excellent shape (gym 5-6 days a week for last 3 years), No prior health problems, I get a cold once a year (if that). Minor allergies (pollen, Pine), 6'2, 210 lbs  
It all started around March 12th- Extreme fatigue, and very sore (I thought I wasnt getting enough sleep)
March 13th- Extreme Fatigue, body Very Sore (had 3 double expresso and still extremely tired)
March 14th- Fatigue, Soreness ( I knew something was up just didnt know that these were symptoms)
March 15th- Fatigue, Soreness, Cough (very minor cough started, i was joking around with friends that I had coronavirus)
March 16th-Really bad body aches, the fatigue stepped it up 10x, minor cough (still went to work)
March 17th-Fever started 100.3, chills, body aches, fatigue 
March 18th- Fever 100.2, chills, body aches, fatigue (Found a loophole and got tested) 
March 19th- NO FEVER, body aches worsen, fatigue, but now the worst part tightness in my chest
March 20th- woke up in the middle of the night with pain in my lower back, shortness of breath, chest tightness, coughing alot more 
March 21st- \*\*\*\*THE WORST DAY IVE EVER HAD IN MY LIFE\*\*\*\* Having trouble breathing, A LOT OF TIGHTNESS IN MY CHEST. Body aches.  (luckily i have a friend who is a Physicians assistant come to my house and check my lungs which allievated a lot of my anxiety.  Lungs were clear and I was not going to make an uneccessay trip to the ER)
March 22nd-Tightness in my chest, trouble breathing, head feeling foggy, lost all sense of smell and taste (thankgod today was a better day, my anxiety had me freaking out and I thought it was all over)
March 23rd- Seemed to be on the mend, Still tightness in my chest, trouble breathing, head feeling very foggy, when I get up too fast I am dizzy and out of breath (still a better day than the 21st so I am in good spirits)
March 24th- Test results finally came back positive after a long wait, Tightness in my chest still, fatigue, head very foggy, NO SENSE OF SMELL AT ALL, I also developed a weird tickle in my sinuses. (ill take no sense of smell over the trouble i had breathing)
&amp;amp;#x200B;
I will continue to update if you want but these have been my day by days.  Honestly to kill time Ive been playing a lot of video games to help with the anxiety and listening to "chill piano playlists". 
If you have any questions feel free to pm me. 
&amp;amp;#x200B;
Waiting for the tightness in my chest to disapear.  Ive lost a total of 10lbs but i did not lose my appetite which is weird.  Ive been eating like a freak and drinking a lot of water.
&amp;amp;#x200B;
\*\*NO I WILL NOT SEND YOU A RECORDING OF MY COUGH\*\* sorry</t>
        </is>
      </c>
      <c r="D67" t="n">
        <v>1</v>
      </c>
      <c r="E67" t="n">
        <v>289</v>
      </c>
      <c r="F67">
        <f>HYPERLINK("https://www.reddit.com/r/COVID19positive/comments/fog8re/tested_positive_symptoms_breakdown/")</f>
        <v/>
      </c>
      <c r="G67" t="inlineStr">
        <is>
          <t>2020-03-24 17:01:25</t>
        </is>
      </c>
      <c r="H67" t="inlineStr">
        <is>
          <t>Tested Positive - Me</t>
        </is>
      </c>
    </row>
    <row r="68">
      <c r="A68" t="inlineStr">
        <is>
          <t>fogb9j</t>
        </is>
      </c>
      <c r="B68" t="inlineStr">
        <is>
          <t>A question for those that have tested positive that take ace inhibitors for hypertension</t>
        </is>
      </c>
      <c r="C68" t="inlineStr">
        <is>
          <t>I have a couple of friends and co-workers that have tested positive or self isolating.
I have taken off of work because I have read that people with hypertension are at greater risk of a more severe infection and the same goes if you are taking an ace inhibitor.  My vacation time I'm using is running out and I'd like to know if anyone can verify that hypertension or using an ace inhibitor caused them to have a more serious bout or not. There are contradicting articles about this topic and they all seem like they are from reputable sources. Any info is greatly appreciated. Thank you and I wish you all a swift recovery.</t>
        </is>
      </c>
      <c r="D68" t="n">
        <v>1</v>
      </c>
      <c r="E68" t="n">
        <v>18</v>
      </c>
      <c r="F68">
        <f>HYPERLINK("https://www.reddit.com/r/COVID19positive/comments/fogb9j/a_question_for_those_that_have_tested_positive/")</f>
        <v/>
      </c>
      <c r="G68" t="inlineStr">
        <is>
          <t>2020-03-24 17:05:44</t>
        </is>
      </c>
      <c r="H68" t="inlineStr">
        <is>
          <t>Tested Positive - Friends</t>
        </is>
      </c>
    </row>
    <row r="69">
      <c r="A69" t="inlineStr">
        <is>
          <t>foidle</t>
        </is>
      </c>
      <c r="B69" t="inlineStr">
        <is>
          <t>Been exposed, no symptoms yet. What should I do?</t>
        </is>
      </c>
      <c r="C69" t="inlineStr">
        <is>
          <t>Of course I'll be quarantining myself, but I'm wondering if there's anything I can do to either prevent myself from getting sick, make it better for myself, anything really. Is there anything that I can do?</t>
        </is>
      </c>
      <c r="D69" t="n">
        <v>1</v>
      </c>
      <c r="E69" t="n">
        <v>19</v>
      </c>
      <c r="F69">
        <f>HYPERLINK("https://www.reddit.com/r/COVID19positive/comments/foidle/been_exposed_no_symptoms_yet_what_should_i_do/")</f>
        <v/>
      </c>
      <c r="G69" t="inlineStr">
        <is>
          <t>2020-03-24 19:20:52</t>
        </is>
      </c>
      <c r="H69" t="inlineStr">
        <is>
          <t>Tested Positive - Friends</t>
        </is>
      </c>
    </row>
    <row r="70">
      <c r="A70" t="inlineStr">
        <is>
          <t>foiymi</t>
        </is>
      </c>
      <c r="B70" t="inlineStr">
        <is>
          <t>My play by play symptoms</t>
        </is>
      </c>
      <c r="C70" t="inlineStr">
        <is>
          <t>Inspired by ascrumner, and an outlet to distract myself, I've decided to write my symptoms.
Me: 32 year old female
Childhood asthma, but only acts up when really sick. For example last time I used my inhaler was over a year ago.
All started the 19th, sore throat, runny nose. Didn't think anything of it until I realized how swollen my throat/neck (?) Glands were. I've been able to avoid coughing by drinking a lot of lemon water. Anytime I felt a inkling, I would immediately take a sip.
I wouldn't have thought anything of it, but my dad started the same symptoms as me around the same time. 
My stomach began gurgling and churning around the 21st. Had a bit of a wheeze and was worried asthma was acting up. On the 22nd wheezing was gone, felt good for the day.
23rd:  Bad headache in the morning, from the base of my neck, up my head. Coughed until I gagged, but didn't actually throw up. Diarrhea came into play. Headache went away by 1pm. My throat felt mor swollen than sore around 6. Felt queasy after eating dinner. Around 10 got a little harder to breathe, not too bad. Did some breathing exercises and slept. Phlegm changed from green to clear throughout the day.
24th: Woke up with pain on left side , sat up to breathe. Around noon, noted that I had a stuffy nose, breathing easier, greenish phlegm. Played outside with my kids, felt nauseous, but I love them. 9pm hit with nausea, diarrhea, and chills. Sitting on the couch with my family shaking, my poor baby got worried. Hubby sent kids to bed and I laid in bed doing some breathing exercises to keep me calm.
 All symptoms stopped at 10:28. Weirdest thing. 
Now I'm sitting here typing this out with a dry throat, not looking forward to the next dip on this covid roller coaster.
Will update as this progresses.</t>
        </is>
      </c>
      <c r="D70" t="n">
        <v>1</v>
      </c>
      <c r="E70" t="n">
        <v>19</v>
      </c>
      <c r="F70">
        <f>HYPERLINK("https://www.reddit.com/r/COVID19positive/comments/foiymi/my_play_by_play_symptoms/")</f>
        <v/>
      </c>
      <c r="G70" t="inlineStr">
        <is>
          <t>2020-03-24 20:01:38</t>
        </is>
      </c>
      <c r="H70" t="inlineStr">
        <is>
          <t>Tested Positive - Me</t>
        </is>
      </c>
    </row>
    <row r="71">
      <c r="A71" t="inlineStr">
        <is>
          <t>foknzw</t>
        </is>
      </c>
      <c r="B71" t="inlineStr">
        <is>
          <t>How was your symptom, in how many days did you recover after first symptom appear?</t>
        </is>
      </c>
      <c r="C71" t="inlineStr">
        <is>
          <t>Whether you tested or not, if you had any symptoms which are in line with that of covid-19, please vote.
mild - tested/not tested, not hospitalized
severe - tested, may or may not be hospitalized
&amp;amp;#x200B;
[View Poll](https://www.reddit.com/poll/foknzw)</t>
        </is>
      </c>
      <c r="D71" t="n">
        <v>1</v>
      </c>
      <c r="E71" t="n">
        <v>12</v>
      </c>
      <c r="F71">
        <f>HYPERLINK("https://www.reddit.com/r/COVID19positive/comments/foknzw/how_was_your_symptom_in_how_many_days_did_you/")</f>
        <v/>
      </c>
      <c r="G71" t="inlineStr">
        <is>
          <t>2020-03-24 22:11:17</t>
        </is>
      </c>
      <c r="H71" t="inlineStr">
        <is>
          <t>Tested Positive - Family</t>
        </is>
      </c>
    </row>
    <row r="72">
      <c r="A72" t="inlineStr">
        <is>
          <t>fom2xb</t>
        </is>
      </c>
      <c r="B72" t="inlineStr">
        <is>
          <t>The exceptionalism of UAE's actions against the coronavirus</t>
        </is>
      </c>
      <c r="C72" t="inlineStr">
        <is>
          <t>UAE has implemented a proactive system to protect the country against the coronavirus. They even made great efforts for all nationalities on the grounds of humanity. Sheikh Mohammed bin Zayed sponsored the transfer of Yemenis and Sudanese from Wuhan, China. Serbia thanks to the UAE and Sheikh Mohammed bin Zayed for the assistance he provided to tackle the disease, even Croatia lauds the UAE for its contribution. UAE not only cared about its citizen but also helped and saved all people from this epidemic.</t>
        </is>
      </c>
      <c r="D72" t="n">
        <v>1</v>
      </c>
      <c r="E72" t="n">
        <v>3</v>
      </c>
      <c r="F72">
        <f>HYPERLINK("https://www.reddit.com/r/COVID19positive/comments/fom2xb/the_exceptionalism_of_uaes_actions_against_the/")</f>
        <v/>
      </c>
      <c r="G72" t="inlineStr">
        <is>
          <t>2020-03-25 00:20:27</t>
        </is>
      </c>
      <c r="H72" t="inlineStr">
        <is>
          <t>Tested Positive - Friends</t>
        </is>
      </c>
    </row>
    <row r="73">
      <c r="A73" t="inlineStr">
        <is>
          <t>fon5k7</t>
        </is>
      </c>
      <c r="B73" t="inlineStr">
        <is>
          <t>Road to recovery</t>
        </is>
      </c>
      <c r="C73" t="inlineStr">
        <is>
          <t>I just wanted to highlight my symptoms and the road to recovery. Hope this helps someone.
Exposure Day N: Took an international flight (because urgent). Person next to me was returning from UK (possible exposure).
Reach home from airport and self isolate (can’t be overly cautious). Hello 14 days of quarantine.
N+1: complete loss of appetite. Don’t make much of it and only realize in the evening that I don’t have a need to eat. Haven’t passed stool either. I have been on keto on and off so trying to convince myself that it’s normal.
N+2: feel mostly ok, except still not hungry. Sleeplessness sets in too. Mostly inability to fall asleep for longer duration (which I later realize that I have been stopping breathing while asleep and brain shocks me awake). No stool.
N+3: very mild fever. Actually not even detectable except for sweats. Don’t notice it. Loss of appetite is starting to worry me. Frantically search for it and realiZe its a symptom. Start drinking lot of water. Food still tastes (no loss of taste). Check out perfumes. Sense of smell still intact. Mostly sleepless night. 
N+4: can feel feverish. Use temperature gauge and am at 99.9. Getting suspicious. Drink lot of water. I got this. A bit later, I am at 100.4 Fahrenheit. I sure have it. Trouble sleeping all night. Very difficult breathing.
N+5: feeling better in the morning. But am sure I have it. Call in to get to nursing care. (I was self isolating in a room, but breathing difficulties knocked my socks off). No appetite still. No stool. Am sure am gonna die of kidney damage (or poisoning of GI tract). Force myself to eat. Take a laxative. Sleep.
Crazy ass dreams at night. I see friends I haven’t met in forever, cheering me on. Saying they miss me. Happiest dream I had. Feels like farewell. I see myself crossing a railway track with an oncoming train. Feeling a huge wave pushing me back, preventing from crossing. Takes a lot of will and am able to cross. I wake up. Fever is gone and I feel awesome. I feel like pooping. Very little passed but still feel a lot better. Sleep peacefully for a few hours first time in 5 days.
N+6: feeling great. Day was alright. No appetite. No stool. Force myself to eat but no fever. 
Shit hits the fan in the evening. Terribly short of breath. Can’t breath. Use oxygen to stay afloat. Good thing I was in nursing care. Difficult being awake. But not regular sleep. I think I am hallucinating. Feel fever increasing too. Wake up in sometime. First time in 6 days, I need oxygen even while awake. Seem to be losing my voice. Am sure am gonna die. Feel very heavy In chest. Not too much coughing but some dry cough. Frantically start making arrangements for my family members to get financially secure. Check insurance nominees. Share documents with friends. Schedule some recurrent money transfer to family members to get them going before Insurance kicks in. Haven’t passed stool. Have eaten very less. Check my weight. Have lost 8 lbs in 7 days.
Finally fall asleep at 4 am in the morning (with oxygen). Feel very hot, which probably means I am running a fever. Crazy ass dreams. Don’t remember much but feel like my head exploded and I died. And then I wake up around 7 (three hours of sleeping)
N+7: much better as soon as I wake up. Feel like pooping. Pass lot of stool. Yay. Not gonna die of kidney failure now. Labored breathing still. But getting better. By 5 pm I am recovered completely all of a sudden, except for some intermittent coughing. Walk home 3 hours away (as there is a lockdown in my city, and I don’t want to use the isolation ambulance that brought me in. The sick needs the ambulance.) Feel invincible. Feel hungry after a week at dinner time (realize haven’t eaten in 24 hours). Feel very sleepy. Fall asleep and have a very sound sleep. A bit increased heart rate for a few minutes at night, but perfectly bearable.
N+8: feeling great today too. Thankfully no relapse. Need breakfast because am hungry. Normal stool. No labored breathing. Feeling completely better. I am gonna self isolate for 6 more days before deciding to meet my family. Have been very lonely last few days. Can’t wait to see my family in the next room in a week. Have been talking to them over video from the next door for last few days.
Testing: we decided not to test because the kits were in short supply and the care wouldn’t have changed irrespective of the result.
Care: a couple of laxatives, oxygen therapy and tonne of water. 
Don’t worry about the appetite. For me loss of appetite was the first symptom. Which I think is because body realizes it’s fighting something foreign so instructs the brain to not eat anything (as it might be food based). It comes back as soon as you are healthy. I didn’t take fever medicines as I read somewhere that fever is body’s way to kill of antigens. And they were manageable. But I think oxygen was absolutely necessary for my survival, so good thing I checked in.
Stay strong. This too shall pass!</t>
        </is>
      </c>
      <c r="D73" t="n">
        <v>1</v>
      </c>
      <c r="E73" t="n">
        <v>6</v>
      </c>
      <c r="F73">
        <f>HYPERLINK("https://www.reddit.com/r/COVID19positive/comments/fon5k7/road_to_recovery/")</f>
        <v/>
      </c>
      <c r="G73" t="inlineStr">
        <is>
          <t>2020-03-25 02:04:34</t>
        </is>
      </c>
      <c r="H73" t="inlineStr">
        <is>
          <t>Tested Positive - Me</t>
        </is>
      </c>
    </row>
    <row r="74">
      <c r="A74" t="inlineStr">
        <is>
          <t>fonbib</t>
        </is>
      </c>
      <c r="B74" t="inlineStr">
        <is>
          <t>My breakdown by phase</t>
        </is>
      </c>
      <c r="C74" t="inlineStr">
        <is>
          <t>Phase 1: fever 39/105. heartbeat 130. Exhaustion. 4 days. low consistent fever. Ends with horrible muscle pain. Muscle pain only half a day.
Phase 2: get better. no fever. lose thread of conversation. talk to self.
2 days.
Phase 3: cough comes in fast. no fever. exhaustion. horrible cough. shortness of breath. okay in morning, bad at night, really bad feeling of impending doom. duration 4-5 days. pneumonia lottery phase.
Phase 4: feeling better. residual cough. don’t really wanna do anything. exhausted. many days.</t>
        </is>
      </c>
      <c r="D74" t="n">
        <v>1</v>
      </c>
      <c r="E74" t="n">
        <v>71</v>
      </c>
      <c r="F74">
        <f>HYPERLINK("https://www.reddit.com/r/COVID19positive/comments/fonbib/my_breakdown_by_phase/")</f>
        <v/>
      </c>
      <c r="G74" t="inlineStr">
        <is>
          <t>2020-03-25 02:20:13</t>
        </is>
      </c>
      <c r="H74" t="inlineStr">
        <is>
          <t>Tested Positive</t>
        </is>
      </c>
    </row>
    <row r="75">
      <c r="A75" t="inlineStr">
        <is>
          <t>fonn2n</t>
        </is>
      </c>
      <c r="B75" t="inlineStr">
        <is>
          <t>My Experiences So Far (26M with Moderate Asthma)</t>
        </is>
      </c>
      <c r="C75" t="inlineStr">
        <is>
          <t>Hello, first things first, I **don't** have a confirmed diagnosis as here in the UK they are only testing people if I go to the hospital. However
* I have been in contact with someone who has a confirmed diagnosis. 
* I do have most of the symptoms of Coronavirus.
* I have been asked to self-isolate by the NHS.
I'll update the below, if I don't update it all the way, chances are I ended up in Intensive care.
**DAY 1 -** 
Started to get a tickly throat and started to cough more than usual. Realised after going for walk I was short of breath more than usual. No fever. Sneezing a lot more than usual.
**DAY 2 -** 
Pretty much the exact same symptoms as the day prior. Had that kinda feeling of impending doom you get before you get a Flu. Like your body is about to fight something. 
**DAY 3 -**
Oddly it all disappeared and I felt quite good, until the evening where I had sneezing and coughing fit and things started to come back. 
**DAY 4 -** 
Woke up with considerable shortness of breath, I can still say full sentences but feels like I'm breathing heavier and more profound than usual. My temperature has risen but no Fever yet, expecting that to happen shortly. The body feels a bit like its struggling right now. Having to use the inhaler roughly once or twice an hour, seems like the Asthma is closely linked with it right now.
&amp;amp;#x200B;
Fingers crossed things get better!</t>
        </is>
      </c>
      <c r="D75" t="n">
        <v>1</v>
      </c>
      <c r="E75" t="n">
        <v>2</v>
      </c>
      <c r="F75">
        <f>HYPERLINK("https://www.reddit.com/r/COVID19positive/comments/fonn2n/my_experiences_so_far_26m_with_moderate_asthma/")</f>
        <v/>
      </c>
      <c r="G75" t="inlineStr">
        <is>
          <t>2020-03-25 02:50:59</t>
        </is>
      </c>
      <c r="H75" t="inlineStr">
        <is>
          <t>Tested Positive</t>
        </is>
      </c>
    </row>
    <row r="76">
      <c r="A76" t="inlineStr">
        <is>
          <t>foo4rl</t>
        </is>
      </c>
      <c r="B76" t="inlineStr">
        <is>
          <t>Partner’s had a sore throat for 2 days.</t>
        </is>
      </c>
      <c r="C76" t="inlineStr">
        <is>
          <t>I’m kind of mad and kind of scared. My partner has Sjogren’s. We’ve been taking every precaution we can but this morning he told me that his throat has been sore since Monday. I’m panicking a bit at this point. I’m nearing the end of the symptoms and now he may just be getting started.</t>
        </is>
      </c>
      <c r="D76" t="n">
        <v>1</v>
      </c>
      <c r="E76" t="n">
        <v>7</v>
      </c>
      <c r="F76">
        <f>HYPERLINK("https://www.reddit.com/r/COVID19positive/comments/foo4rl/partners_had_a_sore_throat_for_2_days/")</f>
        <v/>
      </c>
      <c r="G76" t="inlineStr">
        <is>
          <t>2020-03-25 03:37:36</t>
        </is>
      </c>
      <c r="H76" t="inlineStr">
        <is>
          <t>Tested Positive - Me</t>
        </is>
      </c>
    </row>
    <row r="77">
      <c r="A77" t="inlineStr">
        <is>
          <t>fora3o</t>
        </is>
      </c>
      <c r="B77" t="inlineStr">
        <is>
          <t>Update to symptom progression</t>
        </is>
      </c>
      <c r="C77" t="inlineStr">
        <is>
          <t>My original post is here 
https://www.reddit.com/r/COVID19positive/comments/fmh6yb/my_symptom_progression/?utm_medium=android_app&amp;amp;utm_source=share
I started to feel better, but pretty quickly yesterday things turned. 
I believe I'm on day 10 now, current symptoms include:
Headache (mild), strep feeling in nose, difficulty catching my breath (while sitting), pain at base of skull, heaviness in chest, cough, heart palpitations, increased heart rate, tightness in throat, loss of taste and smell. Temp is 99.6 (normal 96.2). 
I thought I was heading in the right direction. I'm not sure if my kids are I who are all quarantined together are passing it back and forth (they are asymptomatic), or if I hit another wave.</t>
        </is>
      </c>
      <c r="D77" t="n">
        <v>1</v>
      </c>
      <c r="E77" t="n">
        <v>40</v>
      </c>
      <c r="F77">
        <f>HYPERLINK("https://www.reddit.com/r/COVID19positive/comments/fora3o/update_to_symptom_progression/")</f>
        <v/>
      </c>
      <c r="G77" t="inlineStr">
        <is>
          <t>2020-03-25 07:33:08</t>
        </is>
      </c>
      <c r="H77" t="inlineStr">
        <is>
          <t>Tested Positive - Me</t>
        </is>
      </c>
    </row>
    <row r="78">
      <c r="A78" t="inlineStr">
        <is>
          <t>fosarn</t>
        </is>
      </c>
      <c r="B78" t="inlineStr">
        <is>
          <t>Short term disability</t>
        </is>
      </c>
      <c r="C78" t="inlineStr">
        <is>
          <t>Has anyone attempted to apply for STD after positive diagnosis? I work in healthcare and I’m out of PTO so I’m on unpaid leave at this point. Was wondering if it’s worth trying to file for STD since I do pay for it or just suffer the time without a paycheck. I’m not getting better as fast as I’d hope still spiking a fever day 8 since tested</t>
        </is>
      </c>
      <c r="D78" t="n">
        <v>1</v>
      </c>
      <c r="E78" t="n">
        <v>6</v>
      </c>
      <c r="F78">
        <f>HYPERLINK("https://www.reddit.com/r/COVID19positive/comments/fosarn/short_term_disability/")</f>
        <v/>
      </c>
      <c r="G78" t="inlineStr">
        <is>
          <t>2020-03-25 08:34:26</t>
        </is>
      </c>
      <c r="H78" t="inlineStr">
        <is>
          <t>Tested Positive - Me</t>
        </is>
      </c>
    </row>
    <row r="79">
      <c r="A79" t="inlineStr">
        <is>
          <t>fotdpq</t>
        </is>
      </c>
      <c r="B79" t="inlineStr">
        <is>
          <t>Tested positive.... 21/F</t>
        </is>
      </c>
      <c r="C79" t="inlineStr">
        <is>
          <t>Started Wednesday. High fever and headache. For 6 days now I’ve had a low grade fever 99.7ish. But no cough oddly enough. There’s some SOB and my chest feels a little tight sometimes. I’m on day 7 now and feeling better so from what I’ve seen I might get worse here on out lol. This is the worst</t>
        </is>
      </c>
      <c r="D79" t="n">
        <v>1</v>
      </c>
      <c r="E79" t="n">
        <v>143</v>
      </c>
      <c r="F79">
        <f>HYPERLINK("https://www.reddit.com/r/COVID19positive/comments/fotdpq/tested_positive_21f/")</f>
        <v/>
      </c>
      <c r="G79" t="inlineStr">
        <is>
          <t>2020-03-25 09:36:02</t>
        </is>
      </c>
      <c r="H79" t="inlineStr">
        <is>
          <t>Tested Positive - Me</t>
        </is>
      </c>
    </row>
    <row r="80">
      <c r="A80" t="inlineStr">
        <is>
          <t>fouwzl</t>
        </is>
      </c>
      <c r="B80" t="inlineStr">
        <is>
          <t>Dominic and Laura made me pizza today</t>
        </is>
      </c>
      <c r="C80" t="inlineStr">
        <is>
          <t>This is an update from the Dominic and Laura letter post. I have not "tested positive" because my country doesn't test unless you're hospitalized, but that was the closest available flair.
Sunday evening I took a turn for the worst. My daughter startled me while I was hanging up some clothes and it sent me into a coughing attack. I just couldn't stop coughing and felt my lungs flame up. I called our national healthline, but to summarize what the nurse said-- unless I can't breathe at all, I should just stay home. So I did. Had my ex come pick up our kid and I had a really rough night. The next day, I basically just slept (sitting up because too much coughing laying down). It's lonely without my kiddo, but at least I can focus on getting better. Slowly, slowly I am starting to get better again. Lots of napping and online scrabble ([https://isc.ro/](https://isc.ro/)). My neighbors (whom I've never met) have been awesome and check in with me via sms. Today they made me pizza and left it outside my door. It was delicious. Best neighbors ever!</t>
        </is>
      </c>
      <c r="D80" t="n">
        <v>1</v>
      </c>
      <c r="E80" t="n">
        <v>3</v>
      </c>
      <c r="F80">
        <f>HYPERLINK("https://www.reddit.com/r/COVID19positive/comments/fouwzl/dominic_and_laura_made_me_pizza_today/")</f>
        <v/>
      </c>
      <c r="G80" t="inlineStr">
        <is>
          <t>2020-03-25 11:01:47</t>
        </is>
      </c>
      <c r="H80" t="inlineStr">
        <is>
          <t>Tested Positive - Me</t>
        </is>
      </c>
    </row>
    <row r="81">
      <c r="A81" t="inlineStr">
        <is>
          <t>fovneu</t>
        </is>
      </c>
      <c r="B81" t="inlineStr">
        <is>
          <t>Do I have the Coronavirus?</t>
        </is>
      </c>
      <c r="C81" t="inlineStr">
        <is>
          <t>-Today my mother told me she went to a  testing site this morning since she really wasn’t feeling good.
-My mom was telling me throughout the week she had a small cold but no signs of a fever or sore throat. 
-The Doctor told her it’s definitely the Coronavirus but no signs of a sore throat, which is kinda scary since she’s got a bad sore throat an thinks it’s weird that there isn’t any signs....
-Also I’m never around family only in the morning time an later at night if I’m not busy.
Chances are I might have it? 
I haven’t been around people an work alone. 
Just curious.....</t>
        </is>
      </c>
      <c r="D81" t="n">
        <v>1</v>
      </c>
      <c r="E81" t="n">
        <v>4</v>
      </c>
      <c r="F81">
        <f>HYPERLINK("https://www.reddit.com/r/COVID19positive/comments/fovneu/do_i_have_the_coronavirus/")</f>
        <v/>
      </c>
      <c r="G81" t="inlineStr">
        <is>
          <t>2020-03-25 11:42:24</t>
        </is>
      </c>
      <c r="H81" t="inlineStr">
        <is>
          <t>Tested Positive - Family</t>
        </is>
      </c>
    </row>
    <row r="82">
      <c r="A82" t="inlineStr">
        <is>
          <t>fowlae</t>
        </is>
      </c>
      <c r="B82" t="inlineStr">
        <is>
          <t>Unsure if infected and can't get tested!</t>
        </is>
      </c>
      <c r="C82" t="inlineStr">
        <is>
          <t>Firstly, I'm in the UK where they don't test you unless you're admitted to hospital.
Secondly, I had a sore throat which lasted about a week, this has now gone, I don't have any aches or pains etc though, is it possible I'm one of the lucky ones who showed very little in the way of symptoms?
I have self isolated and am currently working from home too.
Together, we can best it, apart.</t>
        </is>
      </c>
      <c r="D82" t="n">
        <v>1</v>
      </c>
      <c r="E82" t="n">
        <v>3</v>
      </c>
      <c r="F82">
        <f>HYPERLINK("https://www.reddit.com/r/COVID19positive/comments/fowlae/unsure_if_infected_and_cant_get_tested/")</f>
        <v/>
      </c>
      <c r="G82" t="inlineStr">
        <is>
          <t>2020-03-25 12:35:06</t>
        </is>
      </c>
      <c r="H82" t="inlineStr">
        <is>
          <t>Tested Positive - Friends</t>
        </is>
      </c>
    </row>
    <row r="83">
      <c r="A83" t="inlineStr">
        <is>
          <t>fowvml</t>
        </is>
      </c>
      <c r="B83" t="inlineStr">
        <is>
          <t>Posting on behalf of my mom (48F)</t>
        </is>
      </c>
      <c r="C83" t="inlineStr">
        <is>
          <t>She works at a hospital with confirmed cases so we’re not too taken aback. They tested her a couple days ago and she her results came in today. Last week she had allergy-like symptoms: runny nose, a sore throat for a day or so. No coughing. She then felt chills on and off. Fever. She found it hard to eat—zero appetite, couldn’t taste anything, described having “bitter tastebuds.” She feels better now.</t>
        </is>
      </c>
      <c r="D83" t="n">
        <v>1</v>
      </c>
      <c r="E83" t="n">
        <v>14</v>
      </c>
      <c r="F83">
        <f>HYPERLINK("https://www.reddit.com/r/COVID19positive/comments/fowvml/posting_on_behalf_of_my_mom_48f/")</f>
        <v/>
      </c>
      <c r="G83" t="inlineStr">
        <is>
          <t>2020-03-25 12:50:49</t>
        </is>
      </c>
      <c r="H83" t="inlineStr">
        <is>
          <t>Tested Positive - Family</t>
        </is>
      </c>
    </row>
    <row r="84">
      <c r="A84" t="inlineStr">
        <is>
          <t>fp2fjx</t>
        </is>
      </c>
      <c r="B84" t="inlineStr">
        <is>
          <t>For when the symptoms have subsided but still in isolation</t>
        </is>
      </c>
      <c r="C84" t="inlineStr">
        <is>
          <t>I’m a 23 y/o male living with my fiancé. Both of us last week took a test and came back last night officially positive and to remain completely isolated from others for 2 weeks. Honestly I’m just losing my mind. We’ve both been blessed to where symptoms haven’t been too bad and I’ve been able to be in good spirits. Just looking for advice because I desperately miss human contact outside of my apartment.</t>
        </is>
      </c>
      <c r="D84" t="n">
        <v>1</v>
      </c>
      <c r="E84" t="n">
        <v>10</v>
      </c>
      <c r="F84">
        <f>HYPERLINK("https://www.reddit.com/r/COVID19positive/comments/fp2fjx/for_when_the_symptoms_have_subsided_but_still_in/")</f>
        <v/>
      </c>
      <c r="G84" t="inlineStr">
        <is>
          <t>2020-03-25 18:15:22</t>
        </is>
      </c>
      <c r="H84" t="inlineStr">
        <is>
          <t>Tested Positive - Me</t>
        </is>
      </c>
    </row>
    <row r="85">
      <c r="A85" t="inlineStr">
        <is>
          <t>fp3jtq</t>
        </is>
      </c>
      <c r="B85" t="inlineStr">
        <is>
          <t>Did you get pneumonia after initial symptoms ?</t>
        </is>
      </c>
      <c r="C85" t="inlineStr">
        <is>
          <t>Whether they allowed you to test or not -
1.Did you have pneumonia after initial symptoms ?
2. What were your initial symptoms ? And what were symptoms right before getting pneumonia ?
3. How long after initial symptoms did you get pneumonia?
4. Have you recovered ? Partially or completely ? 
5. How many days it took to recover (partially or completely) from pneumonia ?</t>
        </is>
      </c>
      <c r="D85" t="n">
        <v>1</v>
      </c>
      <c r="E85" t="n">
        <v>69</v>
      </c>
      <c r="F85">
        <f>HYPERLINK("https://www.reddit.com/r/COVID19positive/comments/fp3jtq/did_you_get_pneumonia_after_initial_symptoms/")</f>
        <v/>
      </c>
      <c r="G85" t="inlineStr">
        <is>
          <t>2020-03-25 19:29:19</t>
        </is>
      </c>
      <c r="H85" t="inlineStr">
        <is>
          <t>Tested Positive</t>
        </is>
      </c>
    </row>
    <row r="86">
      <c r="A86" t="inlineStr">
        <is>
          <t>fp3r48</t>
        </is>
      </c>
      <c r="B86" t="inlineStr">
        <is>
          <t>Anyone relapse after recovery (16 days in?)</t>
        </is>
      </c>
      <c r="C86" t="inlineStr">
        <is>
          <t>Flew back from Paris 3/8 and felt chest tightness and cough 3/9. Fever in am of 3/10, 99.9. self isolated and mostly had low grade fever (99.3-100.9) and got tested 3/13, positive result a few days later. 
I had really bad headaches day 3-7, some diarrhea day 1-2, runny nose day 2-3, just all over the place. Mostly the fever. I gradually began feeling better probably day 9 or so, no fever from day 10.
Day 15, yesterday, I left isolation and went crazy busy cooking, cleaning a dirty house from two weeks with four kids and a busy husband. Laundry, cleaning etc. felt really tired at night and had body aches. 
Day 16 today felt tired in the morning and throughout day, developed a sore throat in afternoon. Took temp in late afternoon to 99.8 again. Ugh. Back into isolation. Sore throat. 
I’m so disappointed because I tried to be so careful, but i came out and exposed my family to it I guess. The fever had been gone for over five days! I guess this virus stays in your system quite awhile and looks for the slightest weakening in your immune system to regain ground. Ugh. 
Anyone else??</t>
        </is>
      </c>
      <c r="D86" t="n">
        <v>1</v>
      </c>
      <c r="E86" t="n">
        <v>30</v>
      </c>
      <c r="F86">
        <f>HYPERLINK("https://www.reddit.com/r/COVID19positive/comments/fp3r48/anyone_relapse_after_recovery_16_days_in/")</f>
        <v/>
      </c>
      <c r="G86" t="inlineStr">
        <is>
          <t>2020-03-25 19:43:15</t>
        </is>
      </c>
      <c r="H86" t="inlineStr">
        <is>
          <t>Tested Positive - Me</t>
        </is>
      </c>
    </row>
    <row r="87">
      <c r="A87" t="inlineStr">
        <is>
          <t>fp5nz0</t>
        </is>
      </c>
      <c r="B87" t="inlineStr">
        <is>
          <t>I tested positive for Covid-19- healthy 27 F</t>
        </is>
      </c>
      <c r="C87" t="inlineStr">
        <is>
          <t>PLEASE adhere to all social distancing recommendations. You are putting immunocompromised people at risk for fighting for their life.
I tested positive for Covid-19 and my symptoms were very mild and vague:
-generalized fatigue
-generalize body ache
-complete loss of taste and smell
-loss of appetite
-just feel yuck
NO fevers (Tmax 99.1), NO respiratory symptoms and NO sore throat
Be aware if you just don’t feel well. STAY HOME. If you are able to, contact your doctors office or advice hot line to get further support if needed.</t>
        </is>
      </c>
      <c r="D87" t="n">
        <v>1</v>
      </c>
      <c r="E87" t="n">
        <v>154</v>
      </c>
      <c r="F87">
        <f>HYPERLINK("https://www.reddit.com/r/COVID19positive/comments/fp5nz0/i_tested_positive_for_covid19_healthy_27_f/")</f>
        <v/>
      </c>
      <c r="G87" t="inlineStr">
        <is>
          <t>2020-03-25 22:04:38</t>
        </is>
      </c>
      <c r="H87" t="inlineStr">
        <is>
          <t>Tested Positive</t>
        </is>
      </c>
    </row>
    <row r="88">
      <c r="A88" t="inlineStr">
        <is>
          <t>fp9rbg</t>
        </is>
      </c>
      <c r="B88" t="inlineStr">
        <is>
          <t>My father in law</t>
        </is>
      </c>
      <c r="C88" t="inlineStr">
        <is>
          <t>So IDK if this is the best place to post this but here goes. Currently my father in law is in the ICU with the virus he is their most critical patient being on 80% oxygen and a ventilator. Did anyone on here ever get this bad and if so what was the recovery like and how long did it take. He is currently stable but I fear the worst mainly for my wife. He is in his 50's and has fatty liver. Any advice or suggestions would be greatly appreciated.</t>
        </is>
      </c>
      <c r="D88" t="n">
        <v>1</v>
      </c>
      <c r="E88" t="n">
        <v>8</v>
      </c>
      <c r="F88">
        <f>HYPERLINK("https://www.reddit.com/r/COVID19positive/comments/fp9rbg/my_father_in_law/")</f>
        <v/>
      </c>
      <c r="G88" t="inlineStr">
        <is>
          <t>2020-03-26 04:13:33</t>
        </is>
      </c>
      <c r="H88" t="inlineStr">
        <is>
          <t>Tested Positive - Family</t>
        </is>
      </c>
    </row>
    <row r="89">
      <c r="A89" t="inlineStr">
        <is>
          <t>fpa5sz</t>
        </is>
      </c>
      <c r="B89" t="inlineStr">
        <is>
          <t>When will my smell and taste come back?</t>
        </is>
      </c>
      <c r="C89" t="inlineStr">
        <is>
          <t>Tested positive 24th March morning and been warded in the hospital. No fever since 23rd! Cough is pretty much gone. Yesterday, the room was really cold so I had a stuffy nose. Today morning I could still smell and taste my food, however, when it came to dinner time I pretty much couldn’t smell or taste (20% taste maybe?!). So therefore my only symptom is pretty much the loss of smell / taste and a bit of fatigue (because it’s hard to sleep at night here, bright lights, hard bed). 
I was wondering if anyone who has tested positive / recovered with this symptom could let me know how long this will probably last? Eating is one of my favourite things to do and I’m really upset now :(</t>
        </is>
      </c>
      <c r="D89" t="n">
        <v>1</v>
      </c>
      <c r="E89" t="n">
        <v>11</v>
      </c>
      <c r="F89">
        <f>HYPERLINK("https://www.reddit.com/r/COVID19positive/comments/fpa5sz/when_will_my_smell_and_taste_come_back/")</f>
        <v/>
      </c>
      <c r="G89" t="inlineStr">
        <is>
          <t>2020-03-26 04:48:36</t>
        </is>
      </c>
      <c r="H89" t="inlineStr">
        <is>
          <t>Tested Positive - Me</t>
        </is>
      </c>
    </row>
    <row r="90">
      <c r="A90" t="inlineStr">
        <is>
          <t>fpc955</t>
        </is>
      </c>
      <c r="B90" t="inlineStr">
        <is>
          <t>This is like a cold</t>
        </is>
      </c>
      <c r="C90" t="inlineStr">
        <is>
          <t>Yeah isn’t even like flu because i am not coughing, my nose is fine and i can breathe . I have headaches and i can’t smell or taste pretty much anything but i’m fine. How do i know when i’m fully recovered?</t>
        </is>
      </c>
      <c r="D90" t="n">
        <v>1</v>
      </c>
      <c r="E90" t="n">
        <v>2</v>
      </c>
      <c r="F90">
        <f>HYPERLINK("https://www.reddit.com/r/COVID19positive/comments/fpc955/this_is_like_a_cold/")</f>
        <v/>
      </c>
      <c r="G90" t="inlineStr">
        <is>
          <t>2020-03-26 07:18:29</t>
        </is>
      </c>
      <c r="H90" t="inlineStr">
        <is>
          <t>Tested Positive - Me</t>
        </is>
      </c>
    </row>
    <row r="91">
      <c r="A91" t="inlineStr">
        <is>
          <t>fpcn2c</t>
        </is>
      </c>
      <c r="B91" t="inlineStr">
        <is>
          <t>Second Wave</t>
        </is>
      </c>
      <c r="C91" t="inlineStr">
        <is>
          <t>Somebody posted about after 7-8 days disease can go in some cases then come back worse later , resulting in possible death!! Any knowledge I’m thankful ..</t>
        </is>
      </c>
      <c r="D91" t="n">
        <v>1</v>
      </c>
      <c r="E91" t="n">
        <v>8</v>
      </c>
      <c r="F91">
        <f>HYPERLINK("https://www.reddit.com/r/COVID19positive/comments/fpcn2c/second_wave/")</f>
        <v/>
      </c>
      <c r="G91" t="inlineStr">
        <is>
          <t>2020-03-26 07:42:16</t>
        </is>
      </c>
      <c r="H91" t="inlineStr">
        <is>
          <t>Tested Positive - Family</t>
        </is>
      </c>
    </row>
    <row r="92">
      <c r="A92" t="inlineStr">
        <is>
          <t>fpe7cz</t>
        </is>
      </c>
      <c r="B92" t="inlineStr">
        <is>
          <t>Healthy 31M (Blood type A+)</t>
        </is>
      </c>
      <c r="C92" t="inlineStr">
        <is>
          <t>I'm posting this as a bit of relief for myself, but also as info for other people.
Bit of background on myself. I'm a male who is 31 years old - I work in an office job where I run code for the bulk of my time. Everyone at work knows me as the guy who is a fitness freak. It's not uncommon for me to lead several HIIT classes a week, put a decent chunk of kilometers on my running shoes and on my trusted road bike. Here is my journey with covid19 up to this point.
March 7 - I started developing a dry cough and having chest tightness. The dry cough isn't uncommon for me as I have seasonal allergies. The chest tightness immediately stood out as I do have anxiety, but this was a very different feeling. I made note of it. Chest pressure was constant and as if a little kitten was sitting on my chest.
This minor chest kitten continued to sit on me for the next few days, but felt well enough to continue doing sports
March 11-13 - I had offsite meetings at the base of a mountain. I got up at 6:30am and decided I wanted to run up the mountain before breakfast on March 12. Logged about 90mins of cardio and felt great. Repeat on the next day as well.
Again the chest kitten is there but I'm excersising at my normal capacity because physically I feel like I'm not being impeeded.
March 20 - I had been riding my road bike all week as I was working from home at this point. March 20 I felt like the kitten on my chest was a bit heavier and decided I needed a rest day...
March 21 - day begins with me complaining to my wife about how my chest pressure got a lot heavier. She says I should just rest. I message a friend and we start talking and I mention my chest pressure and the pain and he says "yup that's the worst thing about this." I knew he had a sore throat before, but didn't realize he was also experiencing chest pain.
Throughout the day my little chest kitten became bigger and bigger. From kitten to dog to adult standing on the chest to a Gorilla sitting on my chest. I find myself gasping for air multiple times just getting off the couch. In the evening I call the covid hotline for help. They'll send someone over on Monday for the test.
Saturday night is tough as my pain gets worse and worse. The gorilla on my chest won't let up and somehow he found a wrench that he's pushing into my sternum. My hands are on 911, but it's just pain and I'm not struggling for breathe at this point. I tough it out.
March 22 - I manage to sleep a few hours in the morning as my body is exhausted from the pain of last night. When I'm awake I'm just lying in bed with a Gorilla on my chest - just go away. 
March 23 - the guys come over to administer the test. They drive to my house the come up to the door with surgical gear and swab my mouth. I'm instructed to close the door while they remove all surgical gear and I'm supposed to throw it out. 
Day progresses with me gasping for air multiple times and the gorilla on my chest. I've also realized that my lymphnodes are super swollen and painful. This makes it tricky to swallow food and I start getting some acid reflux.
From around 7pm-11pm I go through phases of losing breathe, gasping for air and having it seem like my lungs are on fire. We call the hotline for help and are ready to dial 911 when it seems to improve slowly.
At this point we decide that my wife will no longer sleep in a separate bed. We've packed a hospital go bag and she'll be in bed with me in case I can't get any air she would notice and call 911 right away.
March 24 - I wake up and my lungs are not on fire. The gorilla is smaller as he's turned into a dog now.
March 25 - same thing as the day before. No improvement or worsening. In fact my lungs feel like I can take deep breathes again.
Downside is that throughout the day my left arm goes numb on multiple occasions. Call my doctor and explain it as I'm concerned that this is now impacting my heart. Turns out that it may be related to the lack of oxygen in my blood and my body is focusing on the vital organs. It may also be a rate response from nerves when your body is fighting a virus. Doctor confirms that I've got covid19 and I'm not to leave my place.
March 26 - same thing with my lungs as the day before. My cough seems to be going back and my arm hasn't gone numb. Found out that my friend who had similar symptoms tested negative for covid19, but he'd struggling right now too.
Mentally, this has been taxing. I have no idea if there is permanent damage to my lungs or if I can expect a relapse. The first deterioration was so sudden and unexpected. I'm spending all my time in bed resting and relaxing.
I'm not sure if this is helpful for other people. I never had a fever over the past few weeks and don't know if this will be longer. This is already way longer than the standard length.
Young people don't take this stuff lightly. It hurts like hell - I've torn and operated my ACL and shoulder. Both of these were less painful than what my lungs have gone through.
I wish everyone who has this the best. Everyone who doesn't have it, please practice social distancing. It's not worth it - the damage can be severe for anyone.</t>
        </is>
      </c>
      <c r="D92" t="n">
        <v>6</v>
      </c>
      <c r="E92" t="n">
        <v>53</v>
      </c>
      <c r="F92">
        <f>HYPERLINK("https://www.reddit.com/r/COVID19positive/comments/fpe7cz/healthy_31m_blood_type_a/")</f>
        <v/>
      </c>
      <c r="G92" t="inlineStr">
        <is>
          <t>2020-03-26 09:11:17</t>
        </is>
      </c>
      <c r="H92" t="inlineStr">
        <is>
          <t>Tested Positive - Me</t>
        </is>
      </c>
    </row>
    <row r="93">
      <c r="A93" t="inlineStr">
        <is>
          <t>fpevu7</t>
        </is>
      </c>
      <c r="B93" t="inlineStr">
        <is>
          <t>Awaiting results. Presumed Positive. Going to post this as a journal of my health insofar</t>
        </is>
      </c>
      <c r="C93" t="inlineStr">
        <is>
          <t>My Journey insofar, dates are in Month/Day format. I am 33 years old, Female, in GA, USA. I do not have underlying conditions, but I do have springtime allergies and have a family history of diabetes, high BP/Cholesterol, heart disease, RA, etc. I have O+ blood typing and work in a retail pharmacy.
3/4 started with a sore throat, I thought it was the dry air.
3/5 got a mild fever and the throat felt really sore/raw. I took ibuprofen and hoped the symptoms go away (which they did whenever I took Ibuprofen)
3/6 Woke up with a fever 101+ and felt like every atom around me wanted to stab me. I called off work, went to a retail clinic. Got tested negative for flu as well as strep was told to go home and rest and come back if I felt worse
3/8 I felt worse, way, way worse. I made an appointment and this time I tested positive for Flu, type A. I got prescribed Zofran and Tamiflu (for 5 days) and started it at night
3/9-3/15 With the Tamiflu and lots of ibuprofen I started to feel better but without any ibuprofen, my fever would creep up again. With meds, it was around 100 F, without over 101. It was around this time I wondered if I could have contracted Covid19 alongside the flu. I called around but at that time they weren't testing anyone. I was coughing still, and mostly it was productive. I wanted to stay home till I was 100%, but I work in healthcare and they needed all hands on deck. I was feeling mostly okay, fever was down, but the cough was persistent.
3/16-3/21 I downed some Dayquil, put on a facemask, and went to work. As long as I took some medicine, I was okay. Coughing came and went. I would wash hands frequently and avoid touching anyone. When I got home, I would shower and throw my work clothes in the laundry. I have not touched any of my family members and would stay 6 ft away from them, even when feeling good. I kept to myself and did my own laundry/dishes separately. The coughing would sometimes cause pain in the chest, but I figure it is from allergies/sore throat that's still around from the remnants of the flu. I called the retail clinic and my primary care doctor, both places told me to rest and not come in for testing since they are only testing high-risk patients.
3/22 Since my cough hasn't been going anywhere, anti-allergy meds aren't doing much to help my symptoms and without antipyretics, I have a low-grade fever, I called one more time to the retail clinic where I was flu-positive, but then the only place I could think of to help get some symptoms relief from the chest-aching and cough. The teledoc app asked me about my symptoms and then said: "you should have started to feel better way before." And now I am approved for testing. I call tomorrow to see if there is a viable testing site in my area; otherwise, I call another number and will have to drive 3 hours to go get tested. They say the test results should come back between 24-72 hours.
03/23 I ended up having to drive down 6 hours (round trip) to get my test. I alerted my work/co-workers, and one of my coworkers is also in isolation and getting tested. It was one of those drive-through deals and a nasal swab was done. I was giving a rubric on how to self-isolate/quarantine and came home and rested. The drive wreaked havoc on my fatigued feeling. still taking benadryl at night and allegra in daytime.
03/24 No call came. Felt super fatigued and kept sleeping/resting. Anxiety has been high and I can't tell if my symptoms are allergies, anxiety, or covid. Isolation isn't too bad though I haven't touched anyone in 3 weeks. Fever still about 99.x degrees, took dayquil for fever and the malaise I am feeling. Fever stayed till the evening.
03/25 No call came so I called the testing center. They said there may be a delay and they hope to get my results by 03/26, but it can also take up to 6 days. I will call again on 03/26 in the afternoon if I don't hear from them. I slept on and off for the day, appetite is low. Fever came and I took Mucinex in the morn along with tylenol. Fever broke in early eve. Slept for the night super early.
03/26 Woke up super early and felt my heart racing (again, the anxiety has been through the roof so not sure what is what with me). According to my Oximeter, my SpO2% seems to be good 98%, but pulse rate is a bit high. Fever keeps hovering around 99.4 to high 98.8. I will call the testing center in a bit.</t>
        </is>
      </c>
      <c r="D93" t="n">
        <v>1</v>
      </c>
      <c r="E93" t="n">
        <v>10</v>
      </c>
      <c r="F93">
        <f>HYPERLINK("https://www.reddit.com/r/COVID19positive/comments/fpevu7/awaiting_results_presumed_positive_going_to_post/")</f>
        <v/>
      </c>
      <c r="G93" t="inlineStr">
        <is>
          <t>2020-03-26 09:48:53</t>
        </is>
      </c>
      <c r="H93" t="inlineStr">
        <is>
          <t>Tested Positive - Me</t>
        </is>
      </c>
    </row>
    <row r="94">
      <c r="A94" t="inlineStr">
        <is>
          <t>fpf0p2</t>
        </is>
      </c>
      <c r="B94" t="inlineStr">
        <is>
          <t>Dealing with it alone</t>
        </is>
      </c>
      <c r="C94" t="inlineStr">
        <is>
          <t xml:space="preserve"> 
I drove out here out of an abundance of caution. Didn’t want to risk going straight home, not with dad’s age and health. My friends and I had a get together before I left school. I wasn’t too worried about it- after all, no one there had it, and I was coming out here anyways. So, the plan was to spend a couple weeks out here alone in the boonies, long enough to be sure I wasn’t infected.
When I say out here, I really do mean out here. Woods or fields on three sides, an empty house on the fourth. An empty cabin in the woods. One store near enough, but they were sold out after the supply chains went to hell. Wifi sucked, phone signal was in and out.
At first, the only thing I minded was the loneliness. Had been a week without seeing another human face, which is never fun. I worked out like crazy, watched a ton of Netflix, smoked a ton of weed and drank way too much to kill the boredom. Took long walks in the winter woods, since spring hadn’t had time to make it out here yet and there was most of a foot of snow on the ground.
The economic news wasn’t great either. Any time economists use phrases like “Black Monday” three Mondays in a row you know you’re in deep shit. Unemployment claims for the first week came to almost three and a half million people. I still had a job after graduation, I hoped…anyways, that was my biggest worry.
At first, I put the cough down to the weed. The reason it was getting worse every day was that I was smoking every night. And of course it was a dry cough, it was because the smoke was irritating my throat. Made sense.
Then, when my throat started to hurt and my nose stuffed up, I put it down to allergies. Timing seemed about right. Gotta be allergies. Nothing to worry about. Same with when my eye swelled shut from conjunctivitis. And if the cough was deeper now, and I was starting to cough up thick green mucus, well, that could surely be allergies too, right?
I’ll be honest. There’s nothing quite like being driven to your knees from a coughing fit, and looking down to see your own blood splattered on the floor in front of you, to tell you that you probably aren’t dealing with allergies.
When my first buddy tested positive, I knew that last get together had been a mistake. Started reaching out to other friends who’d been exposed. One was sick, and her boyfriend had lost his sense of smell and taste. Another felt like he had a weight on his chest. More were holed up at home in their rooms, terrified to come near their parents. Two more of us had tested positive but were asymptomatic.
Talked to a doctor over text. Told me to stay out here unless I thought I was about to die. Something real eerie about that. Can’t shake the feeling that the world is ending. And to be honest, part of me worries a little that one of these nights I’ll realize I’m in deep shit and be too far gone to do anything about it.
Just glad dad is safe.</t>
        </is>
      </c>
      <c r="D94" t="n">
        <v>7</v>
      </c>
      <c r="E94" t="n">
        <v>102</v>
      </c>
      <c r="F94">
        <f>HYPERLINK("https://www.reddit.com/r/COVID19positive/comments/fpf0p2/dealing_with_it_alone/")</f>
        <v/>
      </c>
      <c r="G94" t="inlineStr">
        <is>
          <t>2020-03-26 09:55:55</t>
        </is>
      </c>
      <c r="H94" t="inlineStr">
        <is>
          <t>Tested Positive - Me</t>
        </is>
      </c>
    </row>
    <row r="95">
      <c r="A95" t="inlineStr">
        <is>
          <t>fpf7xe</t>
        </is>
      </c>
      <c r="B95" t="inlineStr">
        <is>
          <t>Parent I’m quarantined with likely has COVID-19</t>
        </is>
      </c>
      <c r="C95" t="inlineStr">
        <is>
          <t>I’m 24 years old. I think my mom (52 years old), who i’m living with temporarily may have the virus. She has a fever of 99.8 and a headache. What can I do to stop her from getting worse and how can I prevent the illness from spreading to me?</t>
        </is>
      </c>
      <c r="D95" t="n">
        <v>1</v>
      </c>
      <c r="E95" t="n">
        <v>3</v>
      </c>
      <c r="F95">
        <f>HYPERLINK("https://www.reddit.com/r/COVID19positive/comments/fpf7xe/parent_im_quarantined_with_likely_has_covid19/")</f>
        <v/>
      </c>
      <c r="G95" t="inlineStr">
        <is>
          <t>2020-03-26 10:06:40</t>
        </is>
      </c>
      <c r="H95" t="inlineStr">
        <is>
          <t>Tested Positive - Family</t>
        </is>
      </c>
    </row>
    <row r="96">
      <c r="A96" t="inlineStr">
        <is>
          <t>fpfgpr</t>
        </is>
      </c>
      <c r="B96" t="inlineStr">
        <is>
          <t>Another 20 days of prednisone</t>
        </is>
      </c>
      <c r="C96" t="inlineStr">
        <is>
          <t>Just had my follow up with my family doctor. She’s put me on 20 more days of prednisone with a taper down to 5 mg on the last day. It’s been helping a lot, but I’m worried about the possible side effects. I know, the blackbox warnings are always 1 in a million or more, just have to focus on the fact that I feel better after taking it. It really does keep the coughing fits at bay. 
What’s more scary is that ventolin is on back order.. the entire country has shortages of asthma medication! This is crazy!</t>
        </is>
      </c>
      <c r="D96" t="n">
        <v>3</v>
      </c>
      <c r="E96" t="n">
        <v>12</v>
      </c>
      <c r="F96">
        <f>HYPERLINK("https://www.reddit.com/r/COVID19positive/comments/fpfgpr/another_20_days_of_prednisone/")</f>
        <v/>
      </c>
      <c r="G96" t="inlineStr">
        <is>
          <t>2020-03-26 10:19:21</t>
        </is>
      </c>
      <c r="H96" t="inlineStr">
        <is>
          <t>Tested Positive - Me</t>
        </is>
      </c>
    </row>
    <row r="97">
      <c r="A97" t="inlineStr">
        <is>
          <t>fpfu3v</t>
        </is>
      </c>
      <c r="B97" t="inlineStr">
        <is>
          <t>Positive mom has SOB, incredibly fatigued.. what would you do?</t>
        </is>
      </c>
      <c r="C97" t="inlineStr">
        <is>
          <t>Day 11 since symptoms started. 60 years old. Hoarse consistent cough, when she speaks her SOB is audible in that her voice is lower and she takes more breaths. Doesn’t like getting out of bed atm, doesn’t walk around for more than a minute. She looks visibly exhausted. 
If you were in my position, would your bring your mom to the hospital? She doesn’t think she needs to go.</t>
        </is>
      </c>
      <c r="D97" t="n">
        <v>1</v>
      </c>
      <c r="E97" t="n">
        <v>2</v>
      </c>
      <c r="F97">
        <f>HYPERLINK("https://www.reddit.com/r/COVID19positive/comments/fpfu3v/positive_mom_has_sob_incredibly_fatigued_what/")</f>
        <v/>
      </c>
      <c r="G97" t="inlineStr">
        <is>
          <t>2020-03-26 10:38:27</t>
        </is>
      </c>
      <c r="H97" t="inlineStr">
        <is>
          <t>Tested Positive - Family</t>
        </is>
      </c>
    </row>
    <row r="98">
      <c r="A98" t="inlineStr">
        <is>
          <t>fpje1k</t>
        </is>
      </c>
      <c r="B98" t="inlineStr">
        <is>
          <t>TMI: Anyone else suffering with having their period while simultaneously in the throes of a bad Covid-19 infection?</t>
        </is>
      </c>
      <c r="C98" t="inlineStr">
        <is>
          <t>I have to take blood thickeners each month that I can’t take right now. On top of the whole burning and someone sitting on my chest/unable to breathe sensation I think my body is trying to kill me. Is there anyone else suffering this? Haaaalp</t>
        </is>
      </c>
      <c r="D98" t="n">
        <v>5</v>
      </c>
      <c r="E98" t="n">
        <v>47</v>
      </c>
      <c r="F98">
        <f>HYPERLINK("https://www.reddit.com/r/COVID19positive/comments/fpje1k/tmi_anyone_else_suffering_with_having_their/")</f>
        <v/>
      </c>
      <c r="G98" t="inlineStr">
        <is>
          <t>2020-03-26 13:50:43</t>
        </is>
      </c>
      <c r="H98" t="inlineStr">
        <is>
          <t>Tested Positive</t>
        </is>
      </c>
    </row>
    <row r="99">
      <c r="A99" t="inlineStr">
        <is>
          <t>fpk80w</t>
        </is>
      </c>
      <c r="B99" t="inlineStr">
        <is>
          <t>Can we all just take a moment to discuss how horrible the test for covid-19 is?</t>
        </is>
      </c>
      <c r="C99" t="inlineStr">
        <is>
          <t xml:space="preserve"> it felt like they stuck this swab thing straight back in my nose and touched my throat. 
Still waiting on results, not for sure positive but presumed to be.</t>
        </is>
      </c>
      <c r="D99" t="n">
        <v>1</v>
      </c>
      <c r="E99" t="n">
        <v>20</v>
      </c>
      <c r="F99">
        <f>HYPERLINK("https://www.reddit.com/r/COVID19positive/comments/fpk80w/can_we_all_just_take_a_moment_to_discuss_how/")</f>
        <v/>
      </c>
      <c r="G99" t="inlineStr">
        <is>
          <t>2020-03-26 14:36:33</t>
        </is>
      </c>
      <c r="H99" t="inlineStr">
        <is>
          <t>Tested Positive - Me</t>
        </is>
      </c>
    </row>
    <row r="100">
      <c r="A100" t="inlineStr">
        <is>
          <t>fpn0pq</t>
        </is>
      </c>
      <c r="B100" t="inlineStr">
        <is>
          <t>I am a nurse on an OB/Maternity Floor, I tested positive today. Worst sickness I’ve experienced. Here is my timeline.</t>
        </is>
      </c>
      <c r="C100" t="inlineStr">
        <is>
          <t>Here is my timeline:
3/6&amp;amp;3/7 Flushed Nauseated, diarrhea 
3/10 N/V on My Son’s Birthday (thought I ate something bad)
3/11 or 3/12 cough started, bad headaches
3/13 nasal congestion and coughing, sore throat, h/a 
3/16 Total loss of smell and taste, strangest thing that’s ever happened to me. Short of breath around 6 pm walking back from the heart hospital, but felt okay nothing serious. Checked and my SpO2 was 97%.
3/16-3/17  FEVER 102.0
3/17-3/18 Fever and two “asthma attacks” with vomiting from choking, not nauseated. Really hard to breathe. Didn’t know if I would wake up the next morning. 
3/18 100.4 Fever, slept all day feeling overwhelmingly depressed. Slept on my stomach on cold bathroom floor that night. 
3/19-3/21 Coughing continues, good day, then bad day, chest tightness 
3/21 COVID SWAB DONE 
3/22 My 37th Birthday, Husband showing symptoms 
3/25 Severe Migraine, My son gets a 103 Fever
3/26 TEST CAME BACK POSITIVE. I laid in bed all day coughing, recovering from migraine, husband almost faints from shortness of breath in shower. 
Saga continues...</t>
        </is>
      </c>
      <c r="D100" t="n">
        <v>1</v>
      </c>
      <c r="E100" t="n">
        <v>130</v>
      </c>
      <c r="F100">
        <f>HYPERLINK("https://www.reddit.com/r/COVID19positive/comments/fpn0pq/i_am_a_nurse_on_an_obmaternity_floor_i_tested/")</f>
        <v/>
      </c>
      <c r="G100" t="inlineStr">
        <is>
          <t>2020-03-26 17:22:14</t>
        </is>
      </c>
      <c r="H100" t="inlineStr">
        <is>
          <t>Tested Positive - Me</t>
        </is>
      </c>
    </row>
    <row r="101">
      <c r="A101" t="inlineStr">
        <is>
          <t>fpn0vs</t>
        </is>
      </c>
      <c r="B101" t="inlineStr">
        <is>
          <t>Probably 8 days since infection</t>
        </is>
      </c>
      <c r="C101" t="inlineStr">
        <is>
          <t>Not able to get testing in Massachusetts
March 18: @night.  Diarrhea.
March 19: upset stomach and diarrhea.  Lose of appetite. Loss if smell and taste. Could not ear 
March 20:. Upset stomach.  It was bouncing.  And diarrhea.  Could not eat.
March 21, 22: diarrhea. Could not eat.  I just didn't want food and could only drink milk and water.
March 23: a little diarrhea.  I could eat again. Runny nose  
March 24'. Slept about 15 hours. Felt ok.
March 25: achy but felt good overall
March 26:. Still can't smell.  I can eat regularly Minor diahrea.  Runny nose.  It's 6pm now.
If I try to cough its pretty dry.  I don't really have the urge to cough but it's definitely a bit dry.
No fever yet.
Oxygen levels ok as of now, 8th probable day sine infection.
I'm really hoping to not feel any new symptoms and that the 27 will be symptom free.  I feel good but I see this can take a bad turn at any point.  I'm in the USA and doctors won't test me.  My girlfriend has low functioning lungs and this could be a death sentence but by the time I realized what it could be we had already been close.</t>
        </is>
      </c>
      <c r="D101" t="n">
        <v>1</v>
      </c>
      <c r="E101" t="n">
        <v>9</v>
      </c>
      <c r="F101">
        <f>HYPERLINK("https://www.reddit.com/r/COVID19positive/comments/fpn0vs/probably_8_days_since_infection/")</f>
        <v/>
      </c>
      <c r="G101" t="inlineStr">
        <is>
          <t>2020-03-26 17:22:30</t>
        </is>
      </c>
      <c r="H101" t="inlineStr">
        <is>
          <t>Tested Positive - Me</t>
        </is>
      </c>
    </row>
    <row r="102">
      <c r="A102" t="inlineStr">
        <is>
          <t>fpndxh</t>
        </is>
      </c>
      <c r="B102" t="inlineStr">
        <is>
          <t>Presumed positive - anxiety is driving me insane</t>
        </is>
      </c>
      <c r="C102" t="inlineStr">
        <is>
          <t>Thankfully by some miracle I have a test scheduled for this Saturday. I applied through my states COVID hotline and received a call back to schedule at a drive thru testing site. 
I am a 28 year old female with psoriasis. I’m also overweight but have no other health conditions. 
My very close coworker has tested positive (she got tested due to confirmed exposure at her second job) and now has what just appears to be a light cold with a low grade fever. She’s been quarantined at home for a week and a half (a week before she got her results). Thankfully she is progressing very well. 
I am currently experiencing chest tightness and general fogginess but no other symptoms. I don’t have a thermometer at home (just a cooking thermometer, lol). Occasional throat irritation but it feels like allergies... hoping this is all just anxiety but I’ll find out. If I do have it, it’s worrying me that my symptoms are starting in my chest. 
On one hand, I’m not worried because I’m young and relatively healthy and I know that the odds are in my favor, but on the other hand, I am worried because I’m overweight. I read somewhere that 70% of serious UK cases are obese. And I spoke with my mom on the phone earlier who said that young people are dying from this because they’re learning they have underlying medical conditions and their bodies can’t cope. So that’s been discomforting to think about. 
Just venting really and hopefully looking for some comfort on this subreddit. Anything I should look out for? Anybody else start out with the same symptoms?
Thank you.</t>
        </is>
      </c>
      <c r="D102" t="n">
        <v>1</v>
      </c>
      <c r="E102" t="n">
        <v>15</v>
      </c>
      <c r="F102">
        <f>HYPERLINK("https://www.reddit.com/r/COVID19positive/comments/fpndxh/presumed_positive_anxiety_is_driving_me_insane/")</f>
        <v/>
      </c>
      <c r="G102" t="inlineStr">
        <is>
          <t>2020-03-26 17:44:59</t>
        </is>
      </c>
      <c r="H102" t="inlineStr">
        <is>
          <t>Tested Positive - Friends</t>
        </is>
      </c>
    </row>
    <row r="103">
      <c r="A103" t="inlineStr">
        <is>
          <t>fpq37g</t>
        </is>
      </c>
      <c r="B103" t="inlineStr">
        <is>
          <t>I’m an emergency first responder— my patient from 2 nights ago was tested positive.</t>
        </is>
      </c>
      <c r="C103" t="inlineStr">
        <is>
          <t>Tl;dr— EMT, just notified that my only patient is +, and I have a chronic condition. Freaking out. Pertinent scene/background info below...
&amp;amp;nbsp;
No symptoms, no travel. He was home-bound, minimally ambulatory and required 24/7 care. I have no idea how this guy could have contracted it other than his HHA... his daughter has stage 4 cancer and the question screenings and her own health were fine at the time. 
Unfortunately it’s highly unethical for me to reach out and send condolences because I truly feel for this woman. She’s her father’s POA/healthcare proxy and she cares for him when the HHA isn’t there. There’s no way she’s not positive. 
The reason I feel so badly is because I, too have an underlying medical condition. I ceased immunosuppressive therapy in February, due to all of this. It was just my intuition to keep my leukocyte &amp;amp; neutrophil counts up. So, I entered the guy’s home dispatched for a fall. Just a fall. And he was weak, as all. Said his legs were giving out over the last few days. Said he was tired. The guy is &amp;gt;90.. I mean, he **can’t** leave his home. They called when the falls became a frequent risk. 
So, I’m exposed. I rode in the back with him. Granted, I walked into the home with a standard paper mask, and I once I transferred to the ambulance, I swapped for an N95 and changed gloves &amp;amp; sanitized in between at least 3 times en route to the ED. His temp was only 99.5°F. Ran it 4 times in 20 mins. Our local protocol is 101°F+ as a COVID-19 alert. 
I’m freaking out. I called my PCP, and they’re trying to keep me positive because they said stopping the immunosuppressants was probably a good call. My symptoms with respect to autoimmune are virtually overlap with COVID-19, which is what is making me paranoid. I’m *constantly* lethargic, easily fatigued, GI irritation, nauseous and with a migraine about 5-7/7 days/week. 
I do this to volunteer. I lost my career in it due to disability. So I do not lift. I assess. I think I was the most cautious in my crew. However, I just found out about a few hours ago and my heart is racing. 
Fast. 
I guess I could use some insight and support because I hate to feel guilty about time I genuinely enjoy putting in to volunteer. It’s a small community. Very low volume calls. But I feel...stupid.</t>
        </is>
      </c>
      <c r="D103" t="n">
        <v>1</v>
      </c>
      <c r="E103" t="n">
        <v>25</v>
      </c>
      <c r="F103">
        <f>HYPERLINK("https://www.reddit.com/r/COVID19positive/comments/fpq37g/im_an_emergency_first_responder_my_patient_from_2/")</f>
        <v/>
      </c>
      <c r="G103" t="inlineStr">
        <is>
          <t>2020-03-26 20:48:25</t>
        </is>
      </c>
      <c r="H103" t="inlineStr">
        <is>
          <t>Tested Positive</t>
        </is>
      </c>
    </row>
    <row r="104">
      <c r="A104" t="inlineStr">
        <is>
          <t>fpqpe3</t>
        </is>
      </c>
      <c r="B104" t="inlineStr">
        <is>
          <t>Coworker Diagnosed with Covid19</t>
        </is>
      </c>
      <c r="C104" t="inlineStr">
        <is>
          <t>Just found out from the local news that one of my co-workers has had the virus for the last two weeks. AND both my boyfriend and I work there... At least we haven't been in direct contact with her for a few months (since like August)</t>
        </is>
      </c>
      <c r="D104" t="n">
        <v>1</v>
      </c>
      <c r="E104" t="n">
        <v>1</v>
      </c>
      <c r="F104">
        <f>HYPERLINK("https://www.reddit.com/r/COVID19positive/comments/fpqpe3/coworker_diagnosed_with_covid19/")</f>
        <v/>
      </c>
      <c r="G104" t="inlineStr">
        <is>
          <t>2020-03-26 21:33:48</t>
        </is>
      </c>
      <c r="H104" t="inlineStr">
        <is>
          <t>Tested Positive</t>
        </is>
      </c>
    </row>
    <row r="105">
      <c r="A105" t="inlineStr">
        <is>
          <t>fpu1pe</t>
        </is>
      </c>
      <c r="B105" t="inlineStr">
        <is>
          <t>Coronavirus Survival Guide AND How To PROTECT YOURSELF?</t>
        </is>
      </c>
      <c r="C105" t="inlineStr">
        <is>
          <t>[https://youtu.be/PllhapaIXNM](https://youtu.be/PllhapaIXNM)</t>
        </is>
      </c>
      <c r="D105" t="n">
        <v>1</v>
      </c>
      <c r="E105" t="n">
        <v>2</v>
      </c>
      <c r="F105">
        <f>HYPERLINK("https://www.reddit.com/r/COVID19positive/comments/fpu1pe/coronavirus_survival_guide_and_how_to_protect/")</f>
        <v/>
      </c>
      <c r="G105" t="inlineStr">
        <is>
          <t>2020-03-27 02:33:26</t>
        </is>
      </c>
      <c r="H105" t="inlineStr">
        <is>
          <t>Tested Positive - Family</t>
        </is>
      </c>
    </row>
    <row r="106">
      <c r="A106" t="inlineStr">
        <is>
          <t>fpuzh5</t>
        </is>
      </c>
      <c r="B106" t="inlineStr">
        <is>
          <t>[META?] Enforce/Require verification</t>
        </is>
      </c>
      <c r="C106" t="inlineStr">
        <is>
          <t>You could make a verification process where users have to put a picture of their COVID results and their reddit tag at the same time to make sure that only those who actually have tested positive are writing stories here</t>
        </is>
      </c>
      <c r="D106" t="n">
        <v>1</v>
      </c>
      <c r="E106" t="n">
        <v>6</v>
      </c>
      <c r="F106">
        <f>HYPERLINK("https://www.reddit.com/r/COVID19positive/comments/fpuzh5/meta_enforcerequire_verification/")</f>
        <v/>
      </c>
      <c r="G106" t="inlineStr">
        <is>
          <t>2020-03-27 03:59:52</t>
        </is>
      </c>
      <c r="H106" t="inlineStr">
        <is>
          <t>Tested Positive - Me</t>
        </is>
      </c>
    </row>
    <row r="107">
      <c r="A107" t="inlineStr">
        <is>
          <t>fpxcwb</t>
        </is>
      </c>
      <c r="B107" t="inlineStr">
        <is>
          <t>Just got the call I'm positive</t>
        </is>
      </c>
      <c r="C107" t="inlineStr">
        <is>
          <t>Just received a call from the Irish Health Service and I am positive for tbe virus. 
I had no fever or cough only a bad headache, fatigue and shortness of breath.
Stay safe out there if I can get it without fever and cough which are 2 major indicators it means it's very hard to identify!</t>
        </is>
      </c>
      <c r="D107" t="n">
        <v>1</v>
      </c>
      <c r="E107" t="n">
        <v>184</v>
      </c>
      <c r="F107">
        <f>HYPERLINK("https://www.reddit.com/r/COVID19positive/comments/fpxcwb/just_got_the_call_im_positive/")</f>
        <v/>
      </c>
      <c r="G107" t="inlineStr">
        <is>
          <t>2020-03-27 06:57:06</t>
        </is>
      </c>
      <c r="H107" t="inlineStr">
        <is>
          <t>Tested Positive - Me</t>
        </is>
      </c>
    </row>
    <row r="108">
      <c r="A108" t="inlineStr">
        <is>
          <t>fq1bq0</t>
        </is>
      </c>
      <c r="B108" t="inlineStr">
        <is>
          <t>47 yo F tested positive 3 days ago</t>
        </is>
      </c>
      <c r="C108" t="inlineStr">
        <is>
          <t>I have been sick since the 16th ish. Fever sweating like
Mad and joint pain everywhere. Has anyone gotten over this? I just started coughing when. I take a deep breath. Trying to only take Tylenol if my fever gets real high. I want my body to fight this. Isolation is frightening.</t>
        </is>
      </c>
      <c r="D108" t="n">
        <v>1</v>
      </c>
      <c r="E108" t="n">
        <v>13</v>
      </c>
      <c r="F108">
        <f>HYPERLINK("https://www.reddit.com/r/COVID19positive/comments/fq1bq0/47_yo_f_tested_positive_3_days_ago/")</f>
        <v/>
      </c>
      <c r="G108" t="inlineStr">
        <is>
          <t>2020-03-27 10:30:36</t>
        </is>
      </c>
      <c r="H108" t="inlineStr">
        <is>
          <t>Tested Positive - Me</t>
        </is>
      </c>
    </row>
    <row r="109">
      <c r="A109" t="inlineStr">
        <is>
          <t>fq1s8m</t>
        </is>
      </c>
      <c r="B109" t="inlineStr">
        <is>
          <t>I’m sick with Coronavirus in London, UK. Here is a daily document of my symptoms 💗AMA</t>
        </is>
      </c>
      <c r="C109" t="inlineStr">
        <is>
          <t>Coronavirus:
I am a healthy 26 year old female living in London, UK with no pre-existing medical conditions. I have been documenting my symptoms on the notes of my phone daily in hopes it may help others out there to distinguish coronavirus vs a cold/flu. 
It all started 3 weeks ago when my toddler daughter went to nursery for the first time. She brought home the flu and both my husband and I caught it. I was sick with classical flu symptoms for 10 days, body aches, general headaches, muscle weakness, exhaustion, nasal congestion, sneezing, light fevers etc.- and I just managed to carry on with life despite feeling rotten, definitely a flu versus a cold. I recovered and then got (what I later learnt was) a sinus infection, snot as green/ brown as it comes and impossible to breathe through my nose due to heavy congestion. Then all 3 of us got hit with coronavirus, with my symptoms being the worst and my toddler’s being only just noticeable.  Something to note, since getting flu over 3 weeks ago, I have not left my house ONCE! So I must have caught coronavirus from either my husband, toddler or food/grocery/amazon deliveries. 
Wednesday 18th March:
I woke up with a sore, aching body that I thought was from working out at home the day prior. But it felt odd, the pains were in my bones, specifically my hips and knees, and by the evening my throat was sore and I had almost lost my voice. I thought potentially I hadn’t recovered from the flu and was having a second wind. 
Thursday 19th March:
I woke up to the worst headache of my life. I felt like my brain was going to explode in my skull. Like it was too big for my skull and was pushing against, swelling in my head. The pain was most noticeable at the back of my head by my neck and the front of my forehead, but was all over as if I were wearing a motorcycle helmet that was 10 sizes too small. My throat felt swollen and I was struggling to swallow. My temperature all day was 38 degrees Celsius. I took paracetemal and Nuforen Plus (which is ibuprofen + codeine) and it didn’t take one bit of the pain away. I thought I was going to die and said to my husband that if the pain doesn’t disappear by the next morning I had to go to hospital, as nothing was helping this excruciating pain. We have been advised by our government to stay away from the hospitals here due to coronavirus overcrowding and I thought to myself that if this ISN’T coronavirus, then going to hospital will only make me catch it. So I gave myself 12 hours to see what happened. I had chills and hot flushes with a constant temperature of 38 degrees Celsius all day.
Friday 19th March:
I woke up and the headache was gone! But I now have green / brown snot and cannot breathe through my nose. My sore throat starts to disappear. 
Saturday &amp;amp; Sunday 20th - 21st March: 
Feel tired but better, green snot and congestion still there. Sore throat disappears. Have diarreah all of Sunday and have no sense of taste and smell both days. 
Monday &amp;amp; Tuesday 22nd - 23rd March: 
Extremely tired and sore throat gets progressively worse. Green brown snot still there. My bones start aching again in my hips and knees. I weigh 120 pounds and feel the same pain in my hips (almost like the sciatic nerve pain I had when 9 months pregnant). Pain even when lying down. Extremely odd. 
The whites of my eyes are red and I wake up with a small white gunk in my eyes. My face is also swollen. 
Wednesday 25th March: *** lung symptoms develop
I wake up at 5am GASPING for air. I can’t breathe. As if someone has held me underwater and I’m trying to breathe. My nose is completely congested and my lungs feel like an elephant is sitting on them. I can only make small breaths in and out. My lungs feel like they are half the size they usually are. 
I immediately email my private GP and ask her to call me ASAP and finally realise that this isn’t the end of a lingering flu. 
The whites of my eyes are red still. 
I spend the day panting. The best way to describe it is as if I’ve run up a flight of stairs and am trying to gasp for air at the top- but constantly. Even when I’m lying down. I now know this is the classical shortness of breath in coronavirus. 
After a lengthy FaceTime with my GP, she says I must have caught a sinus infection after having the flu and have now got coronavirus, which gets clarified later with positive test. She prescribes me Azithromycin 250mg x2 once daily for 5 days for the sinus infection and a steroid nasal spray (Flixonase Aqueous Nasal Spray) to help open up my nasal passages for breathing. 
For coronavirus help, she prescribes me an inhaler to help open up my lungs when I am struggling to breathe (Ventolin Evohaler). 
My husband picks up the meds at the pharmacy and the inhaler helps my breathing dramatically when I am gasping for air. 
Temperature sits at 38 degrees Celsius all day. 
Thursday 26th March:
Sinuses already starting to feel better following antibiotics. I can finally breathe through my nose after using steroid nose spray plus Sudafed nose spray. I have absolutely no appetite all day and have to force myself to eat. 
Friday 27th March:
Woke up at 10am exhausted. Had no appetite but forced myself to eat half a bagel. Went back to sleep and woke up at 2pm feeling extremely hot. My temperature is 38.5 degrees all day, which doesn’t go down with paracetemal. 
Same tightness in chest, dull headache, have slight tinnitus in both ears and phlem at the back of my throat. Breathing feels better when inhaler is used. Extreme exhaustion, can barely keep my eyes open all day. 
It’s 5pm now and I’m ready to go back to sleep but feel so hot. When I walk around the house, I pant as if I’ve run a marathon. 
No cough has developed yet. 
I have never felt more ill and truly understand how this can kill healthy people. The hype is sadly real 😔 Hope this helps someone out there 💗 Stay safe, stay healthy, sanitise EVERYTHING!</t>
        </is>
      </c>
      <c r="D109" t="n">
        <v>6</v>
      </c>
      <c r="E109" t="n">
        <v>184</v>
      </c>
      <c r="F109">
        <f>HYPERLINK("https://www.reddit.com/r/COVID19positive/comments/fq1s8m/im_sick_with_coronavirus_in_london_uk_here_is_a/")</f>
        <v/>
      </c>
      <c r="G109" t="inlineStr">
        <is>
          <t>2020-03-27 10:52:45</t>
        </is>
      </c>
      <c r="H109" t="inlineStr">
        <is>
          <t>Tested Positive - Me</t>
        </is>
      </c>
    </row>
    <row r="110">
      <c r="A110" t="inlineStr">
        <is>
          <t>fq280y</t>
        </is>
      </c>
      <c r="B110" t="inlineStr">
        <is>
          <t>26yo Female. Tested Positive</t>
        </is>
      </c>
      <c r="C110" t="inlineStr">
        <is>
          <t>First symptoms: "oh this is just allergies" light coughing.
Symptoms that made me get tested: Mild Sore throat, a tickle at the bottom of my lungs when taking deeper breaths, body aches.
A week later: I am short of breath all the time. Walked from the shower to the kitchen and it feels like I did flights of stairs. Pulse oximeter says I am fine though.</t>
        </is>
      </c>
      <c r="D110" t="n">
        <v>3</v>
      </c>
      <c r="E110" t="n">
        <v>43</v>
      </c>
      <c r="F110">
        <f>HYPERLINK("https://www.reddit.com/r/COVID19positive/comments/fq280y/26yo_female_tested_positive/")</f>
        <v/>
      </c>
      <c r="G110" t="inlineStr">
        <is>
          <t>2020-03-27 11:13:56</t>
        </is>
      </c>
      <c r="H110" t="inlineStr">
        <is>
          <t>Tested Positive - Me</t>
        </is>
      </c>
    </row>
    <row r="111">
      <c r="A111" t="inlineStr">
        <is>
          <t>fq3o7a</t>
        </is>
      </c>
      <c r="B111" t="inlineStr">
        <is>
          <t>My wife is confirmed positive</t>
        </is>
      </c>
      <c r="C111" t="inlineStr">
        <is>
          <t>She’s a nurse and my fear was realized. We are both 40 in good health. Have a four year old that don’t understand we can’t hug and kiss her. My wife feels fine except for a lil ahem kinda cough. Started with a fever on Sunday after work. She likely caught it from her exposure to her Covid patients she was treating. The gear ain’t enough but that’s for another story. Me I’ve had headaches and some diarrhea on two separate occasions but otherwise I feel fine. I can’t get a test since I don’t have a fever. I’m scared for us. Take care of each other and stay inside. 
Oh btw both type O blood. Live in Queens New York 
Anyone can share any tips on what to do if anything I appreciate it.</t>
        </is>
      </c>
      <c r="D111" t="n">
        <v>1</v>
      </c>
      <c r="E111" t="n">
        <v>33</v>
      </c>
      <c r="F111">
        <f>HYPERLINK("https://www.reddit.com/r/COVID19positive/comments/fq3o7a/my_wife_is_confirmed_positive/")</f>
        <v/>
      </c>
      <c r="G111" t="inlineStr">
        <is>
          <t>2020-03-27 12:23:24</t>
        </is>
      </c>
      <c r="H111" t="inlineStr">
        <is>
          <t>Tested Positive - Family</t>
        </is>
      </c>
    </row>
    <row r="112">
      <c r="A112" t="inlineStr">
        <is>
          <t>fq3rt7</t>
        </is>
      </c>
      <c r="B112" t="inlineStr">
        <is>
          <t>18 year old Male Tested Positive</t>
        </is>
      </c>
      <c r="C112" t="inlineStr">
        <is>
          <t>I was on Spain and had an international travel to my country on the 13th of march, All international travelers were asked to be on an obligatory quarantine for 2 weeks to prevent the spread of a possible infection, I accepted this and went to my house using mask to prevent any possible infection to my family. Before traveling I've had some mild cough for about a week.
On the 15th I woke up feeling really tired and weird, my mom told me to measure my temperature and I was at 38.2 Celsius degrees, my mom got worried and called the people in charge so I could have a test, I took an acetaminophen and took a cold bath, after that I never had more fever. On the afternoon I was tested and I felt really good, but still having this mild cough. then on the 18th I was called and appeared to be the first person with Covid on my "State" which was actually really weird because I always thought  my mom was exaggerating.
All I've felt on the past 2 weeks is mild cough, and I feel like my heart was pumping on all my chest most of the time, which is a really weird sensation but it isn't hurting and is pretty tolerable. Also if I try   to hold on my breath I feel like my chest starts vibrating which is uncomfortable but again, pretty tolerable.
I actually feel really good and I've been studying virtually for all of this days,  my country is on an obligatory quarantine until the 13th of April which makes me stay home if I am still able to spread it, the only thing im worried about is that even though I stayed the whole time on my room, I would have spread the virus to my family, they got tested the last Sunday but hasn't received any results. if you have any questions feel free to ask them below, I will be answering them.</t>
        </is>
      </c>
      <c r="D112" t="n">
        <v>1</v>
      </c>
      <c r="E112" t="n">
        <v>12</v>
      </c>
      <c r="F112">
        <f>HYPERLINK("https://www.reddit.com/r/COVID19positive/comments/fq3rt7/18_year_old_male_tested_positive/")</f>
        <v/>
      </c>
      <c r="G112" t="inlineStr">
        <is>
          <t>2020-03-27 12:28:19</t>
        </is>
      </c>
      <c r="H112" t="inlineStr">
        <is>
          <t>Tested Positive - Me</t>
        </is>
      </c>
    </row>
    <row r="113">
      <c r="A113" t="inlineStr">
        <is>
          <t>fq48iv</t>
        </is>
      </c>
      <c r="B113" t="inlineStr">
        <is>
          <t>My mom tested positive for coronavirus</t>
        </is>
      </c>
      <c r="C113" t="inlineStr">
        <is>
          <t>Should I be worried? She says she's just fatigued and slightly out of breath but she's 46 and has had tuberculosis in the past.</t>
        </is>
      </c>
      <c r="D113" t="n">
        <v>1</v>
      </c>
      <c r="E113" t="n">
        <v>6</v>
      </c>
      <c r="F113">
        <f>HYPERLINK("https://www.reddit.com/r/COVID19positive/comments/fq48iv/my_mom_tested_positive_for_coronavirus/")</f>
        <v/>
      </c>
      <c r="G113" t="inlineStr">
        <is>
          <t>2020-03-27 12:51:33</t>
        </is>
      </c>
      <c r="H113" t="inlineStr">
        <is>
          <t>Tested Positive - Family</t>
        </is>
      </c>
    </row>
    <row r="114">
      <c r="A114" t="inlineStr">
        <is>
          <t>fq4vhu</t>
        </is>
      </c>
      <c r="B114" t="inlineStr">
        <is>
          <t>Preventing pneumonia</t>
        </is>
      </c>
      <c r="C114" t="inlineStr">
        <is>
          <t>I got the call that I’m positive. Current symptoms are quite mild: low grade fever, sore throat, no cough yet. I am bracing myself for things to worsen...
My question is, what if any, evidence is out there about ways to prevent pneumonia with COVID-19. I do realize that this is a respiratory illness and there is likely nothing that can stop the virus from traveling to the lungs. But curious to hear other ideas/thoughts about ways to make it less destructive. 
So far I’ve read:
1. Drink a lot of fluids 
2. Practice diaphragmatic breathing (not to prevent pneumonia, but more as a way to stop panicking and hyperventilating and making things worse)
3. Spend as much time as possible being vertical. Sleep with your neck propped up to prevent fluid from settling.</t>
        </is>
      </c>
      <c r="D114" t="n">
        <v>1</v>
      </c>
      <c r="E114" t="n">
        <v>54</v>
      </c>
      <c r="F114">
        <f>HYPERLINK("https://www.reddit.com/r/COVID19positive/comments/fq4vhu/preventing_pneumonia/")</f>
        <v/>
      </c>
      <c r="G114" t="inlineStr">
        <is>
          <t>2020-03-27 13:22:42</t>
        </is>
      </c>
      <c r="H114" t="inlineStr">
        <is>
          <t>Tested Positive - Me</t>
        </is>
      </c>
    </row>
    <row r="115">
      <c r="A115" t="inlineStr">
        <is>
          <t>fq7y3a</t>
        </is>
      </c>
      <c r="B115" t="inlineStr">
        <is>
          <t>Symptoms, hallucinations, dreams - a diary</t>
        </is>
      </c>
      <c r="C115" t="inlineStr">
        <is>
          <t>I’ve just very recently made a recovery. Here is a video and piece of music inspired by the symptoms, hallucinations and dreams I had over the eight days. My diary. Not suitable for youngsters.
https://youtu.be/uy6w_eh9t6U</t>
        </is>
      </c>
      <c r="D115" t="n">
        <v>1</v>
      </c>
      <c r="E115" t="n">
        <v>3</v>
      </c>
      <c r="F115">
        <f>HYPERLINK("https://www.reddit.com/r/COVID19positive/comments/fq7y3a/symptoms_hallucinations_dreams_a_diary/")</f>
        <v/>
      </c>
      <c r="G115" t="inlineStr">
        <is>
          <t>2020-03-27 15:59:20</t>
        </is>
      </c>
      <c r="H115" t="inlineStr">
        <is>
          <t>Tested Positive - Me</t>
        </is>
      </c>
    </row>
    <row r="116">
      <c r="A116" t="inlineStr">
        <is>
          <t>fq8ntg</t>
        </is>
      </c>
      <c r="B116" t="inlineStr">
        <is>
          <t>My [23m] entire (overweight) family [60, 55, 25] have been quarantining for the last 12 days. About 3-4 days ago we all started showing symptoms. So far they've been mild. How long until we can start feeling like we're in the clear? When are the symptoms most likely to get worse?</t>
        </is>
      </c>
      <c r="C116" t="inlineStr">
        <is>
          <t>We got tested Wednesday. So far we all have mild symptoms (cough, slight fever of 101, aches and fatigue), although my mom and I each completely lost our sense of smell about 3 days ago.
Right now I am absolutely miserable not knowing whether the symptoms will worsen. I'm prepared if they do, but I was really hoping someone could offer some insight on when I can actually start relaxing. Today everyone was feeling better than yesterday, and no one is having trouble breathing or pressure. 
I've been trying to find info on when we can know whether this is a mild case or severe. I understand some people have the symptoms almost go away and then get hit by a harsh second wave, but I wasn't sure how common that was.
Can anyone tell me when I can start feeling like we're not at risk?
#Timeline:
Sunday the 15th my dad flies home to Canada via JFK in New York. He self isolates and we quarantine at home. 
No symptoms until the 22nd, when my mom starts feeling punky and gets a small cough. By the next day we all feel cruddy.
Tuesday the 24th my mom says she can't smell anything, a couple hours later I realize I can't smell anything either.
Get tested Wednesday the 25th, mom and sister have headache, dad has been feeling tired but that's it. I have a temperature of 100.6
Thursday the 26th, I have aches, fatigue, slight cough, no fever. My dad has a fever of 101.5, slight cough, fatigue, no breathing troubles. My mom and sister has temperature just above 100, slight coughs, aches and fatigue, but no breathing issues or chest pain.
Today, 27th, similar to yesterday but slightly improved. Still no breathing problems or high fever. My dad feels clammy but fever is down to 100. 
Now we're all tired and we're all pretty miserable. Been watching reruns of shows and a few old movies all day. We've been getting outside (private property) and walking around with the dogs a few times a day, but besides that we've just been trying to keep it off our minds.
Hope you all are dealing with this well. We'll get through it.</t>
        </is>
      </c>
      <c r="D116" t="n">
        <v>1</v>
      </c>
      <c r="E116" t="n">
        <v>13</v>
      </c>
      <c r="F116">
        <f>HYPERLINK("https://www.reddit.com/r/COVID19positive/comments/fq8ntg/my_23m_entire_overweight_family_60_55_25_have/")</f>
        <v/>
      </c>
      <c r="G116" t="inlineStr">
        <is>
          <t>2020-03-27 16:37:15</t>
        </is>
      </c>
      <c r="H116" t="inlineStr">
        <is>
          <t>Tested Positive</t>
        </is>
      </c>
    </row>
    <row r="117">
      <c r="A117" t="inlineStr">
        <is>
          <t>fqbzu4</t>
        </is>
      </c>
      <c r="B117" t="inlineStr">
        <is>
          <t>My experience so far. Confirmed positive, possibly day 6 or 7.</t>
        </is>
      </c>
      <c r="C117" t="inlineStr">
        <is>
          <t>22nd March: Super itchy throat! Like something was tickling me and forcing me to cough to relieve the itch. No other symptoms. 
23rd March: Itchy throat and cough, developed a fever of 37.9 in the afternoon. Swab test done at 4pm. 
24th March: 10am confirmed positive. Admitted to hospital. I live in a country where every positive case is isolated in the hospital, no matter mild or severe. No more fever, cough subsiding with cough syrup. 
25th March: No fever and cough although swab test confirms still negative. 
26th March: No fever, no more cough. Nose gets stuffy, not like blocked because I can still breathe through it, just stuffy, not clear as it usually is. Begins to lose sense of smell and therefore taste. 
27th March: No fever, no cough. Nose still slightly stuffy. Still no smell / taste. 
28th March: Same.. woke up and ate breakfast. Still no smell, no taste. 
I am lucky that my symptoms are mild and I am feeling really fine! It’s just the loss of smell and taste that’s really frustrating (day 3 of this). Read that it takes 7-14 days to come back. I will update on this as I’ve seen many people talking about this. 
Apart from that, I am wondering, my doctors are prescribing Telfast for my stuffy / blocked nose! Is anyone taking it? Do you have other recommendations? Telfast doesn’t seem to work very well on me.</t>
        </is>
      </c>
      <c r="D117" t="n">
        <v>1</v>
      </c>
      <c r="E117" t="n">
        <v>51</v>
      </c>
      <c r="F117">
        <f>HYPERLINK("https://www.reddit.com/r/COVID19positive/comments/fqbzu4/my_experience_so_far_confirmed_positive_possibly/")</f>
        <v/>
      </c>
      <c r="G117" t="inlineStr">
        <is>
          <t>2020-03-27 19:58:35</t>
        </is>
      </c>
      <c r="H117" t="inlineStr">
        <is>
          <t>Tested Positive - Me</t>
        </is>
      </c>
    </row>
    <row r="118">
      <c r="A118" t="inlineStr">
        <is>
          <t>fqcev6</t>
        </is>
      </c>
      <c r="B118" t="inlineStr">
        <is>
          <t>The World Enemy Are The Antichrist, Authorities, Governments, And Not The Corona Virus NCOV</t>
        </is>
      </c>
      <c r="C118" t="inlineStr">
        <is>
          <t>**The World Enemy Are The Antichrist, Authorities, Governments, And Not The Corona Virus NCOV**
The real world common enemy are the authorities, governments, royal families and antichrist in general. They only care for their secret societies group and do not care for the people.  
 The have absolutely zero life survival fighting spirit.
They have called this is a war but they already surrendered before going into the battle.
Why I have said that?  
 Look at the Euro 2020 and Tokyo Olympic 2020.Those events need only around 1 month from start to finish.And we are you just in the third months of the year 2020. It is too early to make any decision.
So if the Corona Virus NCOV problems solved within the next 6 months or so, you can still able to have both Euro 2020 and Tokyo Olympic 2020 happen in real 2020, but not in 2021 like they have re-scheduled.
What a bunch of pathetic coward leaders &amp;amp; governments who only care about money business.
Speaking about the new Corona Virus NCOV.  
 **The fact is that I already have perfect public cur &amp;amp; solution for everybody.**
I just want the authorities &amp;amp; governments have a public official uncensored platform to share it freely online, so no any entities can steal it.
All of them are refusing to talk. They think they can continue “enslave” people, they think they are “smarter” than the rest and the “cure &amp;amp; solution” will come out from the “lower grade” entities and then they will claim the credit public.
But the fact is that all the smart people already laugh behind the screen and waiting for the “opportunity” to show up their talents, from both East and West.
If those antichrist do not wake up from those illusion then they are all deserve to be dead.
The NCOV do not go into every house to infect people, people are misunderstanding that powerful natural component. If you do not wake up and study them and treat them as a crazy powerful friend, then there is no way for you to survive out of this global crazy epidemic event.
Best Regard,  
 **The Savior Messiah Mahdi Maitreya Kalki Buddha Whatever-Name**
**Source &amp;amp; Other Uncensored Truth News: https://theworld.data.blog**</t>
        </is>
      </c>
      <c r="D118" t="n">
        <v>1</v>
      </c>
      <c r="E118" t="n">
        <v>4</v>
      </c>
      <c r="F118">
        <f>HYPERLINK("https://www.reddit.com/r/COVID19positive/comments/fqcev6/the_world_enemy_are_the_antichrist_authorities/")</f>
        <v/>
      </c>
      <c r="G118" t="inlineStr">
        <is>
          <t>2020-03-27 20:26:37</t>
        </is>
      </c>
      <c r="H118" t="inlineStr">
        <is>
          <t>Tested Positive</t>
        </is>
      </c>
    </row>
    <row r="119">
      <c r="A119" t="inlineStr">
        <is>
          <t>fqeg4i</t>
        </is>
      </c>
      <c r="B119" t="inlineStr">
        <is>
          <t>How long does the chest burning last?</t>
        </is>
      </c>
      <c r="C119" t="inlineStr">
        <is>
          <t>I'm on day 13 since my first symptoms started. Day 3-8 was pneumonia. That subsided and has been replaced by a persistent burning sensation in my chest. My family doctor in Canada called me and recommended I go to ER to get tested but ER is turning away non-severe cases. 
I don't mind working through this at home but I just want an idea of how long I can expect the burning in the chest to continue on for, or even why is it burning?</t>
        </is>
      </c>
      <c r="D119" t="n">
        <v>1</v>
      </c>
      <c r="E119" t="n">
        <v>18</v>
      </c>
      <c r="F119">
        <f>HYPERLINK("https://www.reddit.com/r/COVID19positive/comments/fqeg4i/how_long_does_the_chest_burning_last/")</f>
        <v/>
      </c>
      <c r="G119" t="inlineStr">
        <is>
          <t>2020-03-27 22:54:48</t>
        </is>
      </c>
      <c r="H119" t="inlineStr">
        <is>
          <t>Tested Positive - Me</t>
        </is>
      </c>
    </row>
    <row r="120">
      <c r="A120" t="inlineStr">
        <is>
          <t>fqfc3b</t>
        </is>
      </c>
      <c r="B120" t="inlineStr">
        <is>
          <t>19 year old female (presumably) positive</t>
        </is>
      </c>
      <c r="C120" t="inlineStr">
        <is>
          <t>I just started showing symptoms today. 
Woke up extremely tired, then went on a run to try and “wake myself up”. This usually works, but I just ended up feeling more tired. Eventually during the day, I felt a headache that became very extreme during the evening. Developed a fever in the evening as well. Slight pinching in my throat. I feel my ears close up every now and then. Feeling very unwell. No cough or runny nose. But extreme fatigue. Slight pressure on my chest at times.
I’ve been in a city recently that is a covid hotspot right now. I plan on calling a doctor in the morning.
What should I do? I understand that I may soon lose my sense of smell and taste, and most likely develop pneumonia. Is there anything I can do now to limit what will happen? Any tips from people who have tested positive? Would really, really appreciate anything.</t>
        </is>
      </c>
      <c r="D120" t="n">
        <v>1</v>
      </c>
      <c r="E120" t="n">
        <v>1</v>
      </c>
      <c r="F120">
        <f>HYPERLINK("https://www.reddit.com/r/COVID19positive/comments/fqfc3b/19_year_old_female_presumably_positive/")</f>
        <v/>
      </c>
      <c r="G120" t="inlineStr">
        <is>
          <t>2020-03-28 00:07:43</t>
        </is>
      </c>
      <c r="H120" t="inlineStr">
        <is>
          <t>Tested Positive - Me</t>
        </is>
      </c>
    </row>
    <row r="121">
      <c r="A121" t="inlineStr">
        <is>
          <t>fqfxva</t>
        </is>
      </c>
      <c r="B121" t="inlineStr">
        <is>
          <t>Wife tested positive - Timeline of symptoms</t>
        </is>
      </c>
      <c r="C121" t="inlineStr">
        <is>
          <t>I feel like this came out of nowhere and want to document as much as I can while I still remember. We’re not sure exactly when/how she contracted the virus, but her Dad had recently traveled to Europe for work so she was ultimately tested based on that knowledge plus having symptoms and relevant conditions putting her in a higher risk category. 
She’s 35, light smoker, O+, anemic. She’s very prone to pneumonia, has been treated for it 4 times in the last 3 years. 
Day 1 - Our toddler had a headache and her legs were hurting. Wife commiserated with her, saying her legs were hurting too. She mentioned later in the day that she “walked it off” and was fine. That night, her elementary age children were complaining about legs hurting. She cited growing pains, they fell asleep no problem. 
Day 2 - I got stuck working all day (home repair). Got home and she was uncharacteristically anxious, said she had a headache. The noise from the TV was bothering her, but she didn’t want to go to bed alone. She stayed up working on her laptop, fell asleep with it in her lap at about 9:30. 
Day 3 - Wife slept through her 7:30 alarm, woke up an hour late. She works from home. Her position is lead of client services for healthcare providers. That morning she was... snappy. Easily annoyed. Lots of trouble concentrating. She kept putting people on hold and saying things at her computer like “I don’t even know what I’m doing!”  She was frustrated with the kids for being too loud.  One of their teachers called with an assignment and she snapped at her, saying she was trying to work. This was extremely out of character and I’m convinced now it was due to the virus. She continued to say her head hurt. Again, fell asleep while working around 9 pm. 
Day 4 - She couldn’t eat breakfast. She described a “weird” sore throat with pain at the base of her neck, top of the chest. She was having trouble swallowing. She took ibuprofen, said one of the pills was caught in her throat. A few hours later, one of the kids came in asking for Tylenol for the same pain at the base of her throat. The day was odd. She was very tired and couldn’t seem to wake up. 
Day 5 - Her throat was still sore. Cases in our county had gone way up and I asked if she thought she should schedule a telehealth with a doctor. She said she felt ok and that it was just stress. That afternoon around 3, she said she was feeling weird and was going to lie down for a minute. Went to check on her about 15 minutes later and she was asleep. She didn’t even clock out of work. She woke up about an hour later and seemed foggy for the rest of the day. She complained about her head hurting but still tried to clean up/cook dinner/etc. I stopped her several times and took over, eventually she listened and went back to bed. 
Day 6 (barely) - She woke up several times through the night to adjust the thermostat or get more blankets. She kept getting too hot or too cold. She didn’t feel like she had a fever to me. She said she was having bad/vivid/strange dreams. She seemed scared and not totally awake. But then she woke up around 7 am and seemed fine. Said she felt better and was way closer to her normal self. I was quietly relieved as hell and thinking she was right all along, maybe it was just stress. We stayed up until about midnight watching the Tiger King, pretty normal day. 
Day 7 - Woke up at 4 am and my back is drenched.  The whole bed seems wet. I was hearing this odd sound and suddenly realized it was her breathing.  It was wheezing?  Worse sounding than that. I touched her face and she was burning. When I tried to wake her up she started coughing. Horrible hacking chest cough. I think that’s when I knew for sure. Her temp was 104.6 (she usually runs high fevers when sick, this was on par with other illnesses for her), so I emailed her boss and told her she couldn’t work. Her body ached, headache still there. The cough wasn’t constant.  When she coughed, it sounded awful, but she wasn’t doing it a lot. She spoke with a doctor via video chat who wanted her tested fast, said we should assume she was positive and isolate our family accordingly, especially the kids who were having mild versions of the same symptoms at the same time. We had basically done that already, so not a big change. 
Today concludes Day 8 - This was the worst day symptom-wise.  They’re the same as yesterday, just more aggressive.  My wife’s grandfather is a very well known doctor in another state and managed to get her tested that morning only a mile away from our house. Results came back this evening as positive. The kids and I were not tested but are self quarantining as if we were positive as well. I’ve had no real symptoms and feel completely fine. 
Not sure what tomorrow will bring. She seems to be sleeping well, but isn’t comfortable without being propped up.  
Stay safe, everyone. Wash your hands.</t>
        </is>
      </c>
      <c r="D121" t="n">
        <v>1</v>
      </c>
      <c r="E121" t="n">
        <v>107</v>
      </c>
      <c r="F121">
        <f>HYPERLINK("https://www.reddit.com/r/COVID19positive/comments/fqfxva/wife_tested_positive_timeline_of_symptoms/")</f>
        <v/>
      </c>
      <c r="G121" t="inlineStr">
        <is>
          <t>2020-03-28 01:01:05</t>
        </is>
      </c>
      <c r="H121" t="inlineStr">
        <is>
          <t>Tested Positive - Family</t>
        </is>
      </c>
    </row>
    <row r="122">
      <c r="A122" t="inlineStr">
        <is>
          <t>fqonec</t>
        </is>
      </c>
      <c r="B122" t="inlineStr">
        <is>
          <t>I haven’t taken the test, but some of my co-workers have, bow I’m sure I have it. These are my symptoms. M/33</t>
        </is>
      </c>
      <c r="C122" t="inlineStr">
        <is>
          <t xml:space="preserve">
My fiancé and my nine year old daughter have been doing our best to isolate for the past week and half, only leaving to get the essentials and being careful. However, last Wednesday I could feel something coming on in my throat; you know that taste that tells you that you’re getting sick? Every time I’d cough, nothing would come up but I could feel it coming on.   Thursday I woke up with a scratchy throat and a small amount of phlegm in my cough, but mostly the cough was unproductive. By the evening my temp was at 99.6 and I usually run around 97.3.  At this point, my fiancé and kid are just waiting to start feeling sick and we decided to completely isolate. Friday, I woke up with what felt like shattered glass in my throat, I could barely swallow. My skin felt like it was tight and I couldn’t bare anyone touching me, I was constantly shivering and my temperature was at 100.2 and only went down to 99.8 with Tylenol.  I know this fever doesn’t sound high, but with my body usually running a low temperature, I felt like my brain was going to melt while at the same time absolutely freezing.  The only reason I didn’t go get tested at this point is because I live in a rural area in the states and I would only be putting myself and others at risk, I told my fiancé if I started to have trouble breathing, I’d to.  I’ve had a cough this whole time, but oddly never any trouble breathing aside from some mild wheezing.   Today, I woke up with all these symptoms persisting, and with a horrible migraine on top of it all. I can feel my heartbeat through my head and it’s THROBBING.  I almost never get sick, so I’m being a bit of a baby here, but these symptoms are persistent.  I’m praying for tomorrow to be better.</t>
        </is>
      </c>
      <c r="D122" t="n">
        <v>1</v>
      </c>
      <c r="E122" t="n">
        <v>13</v>
      </c>
      <c r="F122">
        <f>HYPERLINK("https://www.reddit.com/r/COVID19positive/comments/fqonec/i_havent_taken_the_test_but_some_of_my_coworkers/")</f>
        <v/>
      </c>
      <c r="G122" t="inlineStr">
        <is>
          <t>2020-03-28 10:39:15</t>
        </is>
      </c>
      <c r="H122" t="inlineStr">
        <is>
          <t>Tested Positive - Friends</t>
        </is>
      </c>
    </row>
    <row r="123">
      <c r="A123" t="inlineStr">
        <is>
          <t>fqqut6</t>
        </is>
      </c>
      <c r="B123" t="inlineStr">
        <is>
          <t>When will I get my sense of smell and taste back?</t>
        </is>
      </c>
      <c r="C123" t="inlineStr">
        <is>
          <t>I have been sick since last Wednesday, the worst part being the coughing/breathing.  Last Sunday I noticed I couldn't smell anything, and food tasted bad or like nothing. I am on the mend now so I have an appetite back, but its surprisingly hard to eat when you cant smell/taste food.  I have been eating soups and beans with an excessive amount of hot sauce because I can taste super spicy things but its giving me heartburn.  I need to be able to eat other things.  My daughter (also positive) lost her sense of smell two days after me so I guess this is pretty common with COVID-19.
For those of you who tested positive and lost their sense of smell, how long did it take for it to come back?  Give me some hope here.</t>
        </is>
      </c>
      <c r="D123" t="n">
        <v>3</v>
      </c>
      <c r="E123" t="n">
        <v>24</v>
      </c>
      <c r="F123">
        <f>HYPERLINK("https://www.reddit.com/r/COVID19positive/comments/fqqut6/when_will_i_get_my_sense_of_smell_and_taste_back/")</f>
        <v/>
      </c>
      <c r="G123" t="inlineStr">
        <is>
          <t>2020-03-28 12:36:28</t>
        </is>
      </c>
      <c r="H123" t="inlineStr">
        <is>
          <t>Tested Positive - Me</t>
        </is>
      </c>
    </row>
    <row r="124">
      <c r="A124" t="inlineStr">
        <is>
          <t>fqr1ds</t>
        </is>
      </c>
      <c r="B124" t="inlineStr">
        <is>
          <t>This woman had mild COVID19! Possibly more common than we think</t>
        </is>
      </c>
      <c r="C124" t="inlineStr">
        <is>
          <t>[https://www.youtube.com/watch?v=T7TGH2rO9-Y](https://www.youtube.com/watch?v=T7TGH2rO9-Y)
This is what mild COVID19 looks like. Probably more common than we think!
I had the same exact symptoms as her, but I wasn't tested. I got sick in December, so no one was thinking about coronavirus back then and there was no quarantine.</t>
        </is>
      </c>
      <c r="D124" t="n">
        <v>2</v>
      </c>
      <c r="E124" t="n">
        <v>1</v>
      </c>
      <c r="F124">
        <f>HYPERLINK("https://www.reddit.com/r/COVID19positive/comments/fqr1ds/this_woman_had_mild_covid19_possibly_more_common/")</f>
        <v/>
      </c>
      <c r="G124" t="inlineStr">
        <is>
          <t>2020-03-28 12:46:08</t>
        </is>
      </c>
      <c r="H124" t="inlineStr">
        <is>
          <t>Tested Positive</t>
        </is>
      </c>
    </row>
    <row r="125">
      <c r="A125" t="inlineStr">
        <is>
          <t>fqromg</t>
        </is>
      </c>
      <c r="B125" t="inlineStr">
        <is>
          <t>My mom is seriously ill with covid-19 related symptoms. The hospital won’t test her because they’re pretty sure that she has covid-19. The nurse said they’re turning away 100’s of people.</t>
        </is>
      </c>
      <c r="C125" t="inlineStr">
        <is>
          <t>This is in NYC. I’m furious for a lot of reasons but primarily because I feel like my moms suffering isn’t being represented. If cases like hers aren’t being counted then the actual infection rate is much, much higher than reported. 
Is there any official number on presumed cases in NYC and the US?</t>
        </is>
      </c>
      <c r="D125" t="n">
        <v>42</v>
      </c>
      <c r="E125" t="n">
        <v>362</v>
      </c>
      <c r="F125">
        <f>HYPERLINK("https://www.reddit.com/r/COVID19positive/comments/fqromg/my_mom_is_seriously_ill_with_covid19_related/")</f>
        <v/>
      </c>
      <c r="G125" t="inlineStr">
        <is>
          <t>2020-03-28 13:19:49</t>
        </is>
      </c>
      <c r="H125" t="inlineStr">
        <is>
          <t>Tested Positive - Family</t>
        </is>
      </c>
    </row>
    <row r="126">
      <c r="A126" t="inlineStr">
        <is>
          <t>fqs33a</t>
        </is>
      </c>
      <c r="B126" t="inlineStr">
        <is>
          <t>28m with symptoms, mother tested positive.</t>
        </is>
      </c>
      <c r="C126" t="inlineStr">
        <is>
          <t>My mum has been sick since last Tuesday, so 10 days now. It's the sickest I've ever seen her, and it is very scary. She is in her 50s, and fairly heathy. No serious underlying health conditions, but it's still hitting her hard. Being that test kits are limited, when my parents went the nurse only swabbed the sickest of the family. When my mum got the call today she was told that if someone in the house hold has it, it is a given that everyone has it.
When this all started my mother wasn't really coughing much. She reported fatigue, body aches, headaches, loss of appetite, fever, chills, shortness of breath, and sensitive to light/sound. She has seemed to have a cough now, but not too horrible. The body aches are what she complains about the most. She thought she had  rhabdomyolysis at the very beginning, that's when she first went to the doctor but they didn't think it was covid-19.
My stepdad reported body aches, fatigue, loss of appetite, fever, chills, and he has the cough. Very bad. He's coughing all day and all night. He has been sick just as long as my mum. I can tell by the look in his eyes that he is hurting as well, but he won't convey much info about what he's feeling. He's more worried about my mum. 
I dont have a day by day for my symptoms, but for the most part I have the same as my parents just not as intense. Before my parents got super sick I was experiencing a sore throat, and a cough... And that may have been he start of it all. I do feel bad because I may have brought it into the house, but I am a college student at the University of Arizona. I upped my vitamins and I was over the sore throat in two days. All was good. The cough lingered, but that's normal when I get sick. When my parents finally started getting sick that's when my symptoms came back.
I started experiencing the body aches and headaches. The body aches were pretty bad, but not to the point where I became bed ridden. I experience migraines so the headaches are not anything new, but these headaches sit right behind my eyes... And are very persistent. Being that both my parents are ill, I had to take over all house chores which included walking the dogs. I haven't been working out as of late due to all of this, so I blamed the walks for my body aches. My dog is big and a pain in the ass.. so I blamed the tugging and all. That started about 5-6 days ago. More recently, like as in 2 days ago I started experiencing the chills, which means the fever, and a minor cough. So minor that I cough maybe a handful of times a day. 
The chills/fever hit me pretty hard last night. Im usually a night owl, going to bed around 1 or 2, but only made it to about 11pm before passing out. I woke up around 4 or 5 am freezing beyond measure. I sleep in just shorts so I ended up putting on sweats and a sweater. I fell back asleep and about 45 minutes later I woke up drenched in sweat. Took my sweater off, and went back to sleep. Another hour later I woke up drenched again. I removed all articles of clothing, took some Tylenol and was able to sleep for another 3 or 4 hours.
Btw.. we have tried many OTC medications and Tylenol  seems to be he best. 
I will continue to update this post as our covid journey continues, if it is deemed helpful.
Edit day 12: my parents have stated they feel slightly better today. I do not think they will be recovering in the two to two and a half week mark. I am going to stay hopeful for three weeks. I just hate to see them like this.  As for me, last night was a little rough. My anxiety was through the roof which caused intermittent sleep. I don't know how many hours I got, but I did sleep some. I did experience the chills at some point again last night, but the night sweats were more real. I woke up the most drenched I have yet. To the point I had to switch blankets. This morning I feel slightly better. My headache isn't as strong. I can still feel it behind my eyes, but I have yet to get out of bed. It usually hurts the worst after I stand up. My body aches are at an all time low, but we'll see as the day goes on.</t>
        </is>
      </c>
      <c r="D126" t="n">
        <v>10</v>
      </c>
      <c r="E126" t="n">
        <v>9</v>
      </c>
      <c r="F126">
        <f>HYPERLINK("https://www.reddit.com/r/COVID19positive/comments/fqs33a/28m_with_symptoms_mother_tested_positive/")</f>
        <v/>
      </c>
      <c r="G126" t="inlineStr">
        <is>
          <t>2020-03-28 13:40:50</t>
        </is>
      </c>
      <c r="H126" t="inlineStr">
        <is>
          <t>Tested Positive - Family</t>
        </is>
      </c>
    </row>
    <row r="127">
      <c r="A127" t="inlineStr">
        <is>
          <t>fqskcu</t>
        </is>
      </c>
      <c r="B127" t="inlineStr">
        <is>
          <t>RECOVERED 20 year old from a Covid-19. Ask me anything!!</t>
        </is>
      </c>
      <c r="C127" t="inlineStr">
        <is>
          <t>I am more than happy to answer any questions about my symptoms, experiences etc.</t>
        </is>
      </c>
      <c r="D127" t="n">
        <v>19</v>
      </c>
      <c r="E127" t="n">
        <v>115</v>
      </c>
      <c r="F127">
        <f>HYPERLINK("https://www.reddit.com/r/COVID19positive/comments/fqskcu/recovered_20_year_old_from_a_covid19_ask_me/")</f>
        <v/>
      </c>
      <c r="G127" t="inlineStr">
        <is>
          <t>2020-03-28 14:06:21</t>
        </is>
      </c>
      <c r="H127" t="inlineStr">
        <is>
          <t>Tested Positive - Me</t>
        </is>
      </c>
    </row>
    <row r="128">
      <c r="A128" t="inlineStr">
        <is>
          <t>fqtq7j</t>
        </is>
      </c>
      <c r="B128" t="inlineStr">
        <is>
          <t>My father (65M) has been hospitalized for 4 days with COVID-19, I (20M) tested positive 2 weeks ago but symptoms have gotten better, remaining family at home showing no symptoms. Can I assume they got it as well at this point if we all were together over this period.</t>
        </is>
      </c>
      <c r="C128" t="inlineStr">
        <is>
          <t>Here’s my experience with corona virus. After coming back from spring break in Mexico to the states, my dad met me at college to drive back home with all my stuff because in-person classes were cancelled. The trip was 12 hours and I was feeling sick and miserable since packing with a swollen throat, muscle weakness, and fatigue. 
After getting home, I went to urgent care where the doctors said they didn’t think I had corona virus. My family became more lax around me as a result. My symptoms got worse: fever (max of 101 Fahrenheit), extremely painful and swollen neck/throat, inability to smell or taste, muscle weakness, difficulty waking up, low difficulty breathing but need of inhaler, cough, sweating, chills, cold symptoms.
My family was taking care of me and my dad (aged 65) got extremely sick almost a day after driving me down. Now he is hospitalized and on oxygen. His symptoms started with a dry cough and then progressed to the point where he couldn’t breathe or walk or talk. He’s been in the hospital for 4 days and only now starting to get a little better. 
During this period my mom and brother have been around us frequently. Only my brother has reported few light symptoms like fatigue and muscle pain but other than that, both show no bad symptoms.
My question is this: can I assume then that my family, after being exposed and taking care of two COVID-19 positive people, have the virus? If so, at what point after all of us being positive is it alright and safe to leave the house and interact with others without spreading the virus or contracting it?</t>
        </is>
      </c>
      <c r="D128" t="n">
        <v>1</v>
      </c>
      <c r="E128" t="n">
        <v>3</v>
      </c>
      <c r="F128">
        <f>HYPERLINK("https://www.reddit.com/r/COVID19positive/comments/fqtq7j/my_father_65m_has_been_hospitalized_for_4_days/")</f>
        <v/>
      </c>
      <c r="G128" t="inlineStr">
        <is>
          <t>2020-03-28 15:07:39</t>
        </is>
      </c>
      <c r="H128" t="inlineStr">
        <is>
          <t>Tested Positive</t>
        </is>
      </c>
    </row>
    <row r="129">
      <c r="A129" t="inlineStr">
        <is>
          <t>fqwaxu</t>
        </is>
      </c>
      <c r="B129" t="inlineStr">
        <is>
          <t>30F on day 15 - Timeline of symptoms</t>
        </is>
      </c>
      <c r="C129" t="inlineStr">
        <is>
          <t>Female, 30, non-smoker and no pre-existing conditions. I exercise often and consider myself quite healthy. I'm in the Connecticut area.
March 14-17: Runny nose
March 18-24: Chest tightness and mild constant feeling of burning lungs (March 23 Tested positive)
March 25-27: Runny nose is back, light headache, mild chest tightness, wet coughs in the morning after waking, dry coughs later on. Lost sense of smell/taste.
March 28: Cough in the morning, just after waking up
I've been very lucky and had a really mild case - no fever, not shortness of breath or difficulty breathing. My boyfriend who lives with me,  has been exposed by me and by a confirmed positive at work, and though he never tested for it he had worse symptoms (fever, chills, etc). We are thankfully both recovering, or so we believe. Happy to answer any questions... Can't wait to be able to taste food again!
&amp;amp;#x200B;
Edit: I should also note we've had an O2 finger monitor and have monitored oxygen saturation levels the whole time. I'm reading from 98 up.</t>
        </is>
      </c>
      <c r="D129" t="n">
        <v>2</v>
      </c>
      <c r="E129" t="n">
        <v>21</v>
      </c>
      <c r="F129">
        <f>HYPERLINK("https://www.reddit.com/r/COVID19positive/comments/fqwaxu/30f_on_day_15_timeline_of_symptoms/")</f>
        <v/>
      </c>
      <c r="G129" t="inlineStr">
        <is>
          <t>2020-03-28 17:36:21</t>
        </is>
      </c>
      <c r="H129" t="inlineStr">
        <is>
          <t>Tested Positive - Me</t>
        </is>
      </c>
    </row>
    <row r="130">
      <c r="A130" t="inlineStr">
        <is>
          <t>fqwgb0</t>
        </is>
      </c>
      <c r="B130" t="inlineStr">
        <is>
          <t>My girlfriend tested positive today after feeling awful for a couple of weeks. This is her account of what she's experienced.</t>
        </is>
      </c>
      <c r="C130" t="inlineStr">
        <is>
          <t>So, it happened. I didn’t think that it would happen to me but it did. I was tested for COVID19 and it came back positive. I had a mild case of it but even the mild case was scary. This is a wakeup call people… it’s not the flu. Not even close. Let’s start at the beginning… to when I was exposed…
Saturday – I was working at a restaurant/bar where I work one or two nights a week for extra cash. It was Saturday night – a normally busy night that had thankfully been slow this particular day. I had a customer who was joking saying that they had left Philly because Philly had shut down all non-essential businesses (including restaurants and bars) due to an outbreak of coronavirus and they just wanted to party. They coughed a bit, but I attributed it to the fact that they were smoking. There was a live band that night and I had to get close to them to hear their order – not a good practice of social distancing. I made sure to wash my hands frequently and sanitize after going to every table. But I must have breathed it in or touched my face at some point throughout the night. 
Sunday – All non-essential businesses were closed throughout all of PA.  My manager reached out to me to let me know that the restaurant would be closed and I could work take-out if I wanted to. I didn’t so I turned down the offer. I figured I could use the time off to do grad work. 
Monday – I started feeling sick. Not COVID19 sick but off. I had some chest tightness, a slight cough, and was tired. Thought nothing of it other than seasonal allergies, it’ll pass. 
Tuesday – I woke up with chest pain that wouldn’t go away. It was all day. My cough had got worse but I still wasn’t worried about the cough. I was worried about the chest pain. It was so uncomfortable and I was really distressed by how it wouldn’t go away. I honestly was worried that I was having a heart attack. I reached out to my friend who is an ER nurse and she suggested I go to the hospital. I was stubborn and said I would just call the cardiologist in the morning. 
Wednesday – I woke up with chest pain again. Not as bad as Tuesday but still there. I called my cardiologist at 11 and they asked me to come in at 11:20… Sure. No problem. Hastily I got dressed, threw my hair into a messy bun and went. They screened me before I went in, gave me a mask, and within minutes they had me laying down hooked up to an EKG. The doctor saw the results came in and told me that my EKG was fine but based on my symptoms he wanted me to be tested further. He sent me for bloodwork and scheduled an EKG for Friday. He believed based on my symptoms that I had swelling around my heart which could be related to a matter of things including a viral infection. Went for the bloodwork, was given a mask, and at this point my anxiety was pretty high. I got home and felt like I was having a hard time breathing. Brushed it off as just anxiety. By the time I was getting ready for bed, my breathing had gotten worse and so had my coughing. I couldn’t sleep. Every time I lay down the coughing would get worse. I was gasping for air at some points. I was starting to get scared at this point. I still didn’t think I had coronavirus. I thought no way, not me. But I couldn’t breathe right and I couldn’t stop coughing. This went on the whole night but eventually eased up closer to 4 in the morning. I closed my eyes and fell asleep for about 2 hours. I was woken up by the sudden urge to try to take a deep breath. I couldn’t. I just gasped for air.
Thursday – After not having slept and struggling to breathe all night, I was exhausted. I stayed in bed all day – sitting up and watching movies. My doctor called me with the results of my bloodwork that afternoon. Everything was normal including my inflammatory markers. He did mention that they were on the higher end of normal though. I was coughing a lot throughout the day and struggling to catch my breath after but it wasn’t as bad as the night before so I didn’t think anything of it again. I didn’t have much of an appetite all day and didn’t bother trying to eat. I thought at this point maybe I was coming down with something… still not thinking it was coronavirus. By the time I was getting ready for bed, my breathing was labored. I was struggling getting a good breath in. I was dizzy, tired, and just wanted to lie down but when I did the coughing got worse and I couldn’t catch my breath. I went through the night like this. At one point, I had to bend over on my hands and knees trying to get a breath in. It was around 2 A.M. at this point and I was fearful that I wasn’t going to get any sleep.
Friday – I must have fallen asleep at some point Thursday night and woke up Friday fighting to get a breath in around 6 am. I was going to the cardiologist that afternoon for my ECG so I decided to try to be productive in the morning. I tried cleaning but was instantly exhausted and felt like I just needed to relax. I watched some movies on Netflix. I realized I hadn’t eaten anything Thursday so I decided to make myself a salad for lunch. I barely got through one bite of food before I was struggling again. I had to try to catch my breath and I was nauseous and dizzy. I ended up just lying in bed until it was time for me to leave. I got to the cardiologist, was screened given a mask, waited a few minutes and then was brought in for my ECG. The woman doing my ECG had to ask me to not try to take a deep breath because it was messing up her image of my heart. It was a struggle for me because I felt like I needed a deep breath even though I knew I was having a hard time anyways. When it was over and I went home, I felt a little better again thinking that whatever was wrong with me was passing… I was wrong. Friday night was the start of the worst of it for me. I couldn’t breathe. I was gasping for air for what felt like hours. I was scared. My head was pounding. My chest was burning. And then I got one good breath in. But that one breath led to a coughing fit which in turn resulted in me fighting to catch my breath for hours again. This went on all night.
Saturday – Exactly one week from when I think I was exposed. I was so tired. Felt so sick and was now thinking something was wrong. My doctor called me early that morning with the results from the ECG and told me that the lining of my heart was swollen. It could be that it was irritated from me coughing so much but he said that he suggests I be tested for COVID19. I called my family doctor and did a telemedicine visit. She put an order for a test for me and I went right away. They took my vitals when I got there, my heart rate was high and I had a fever. Then came the test. The test was awful. I guess people say it’s basically like the flu test but I’ve never had a flu test before. They use a swab and stick it up your nose, twist it around and then do it again on the other side. It made my eyes water and my nose run but once it was over, it was over. I was told I would have the results in 7 to 10 days. I went home, scared and worried. My roommate went out and bought me some medicine to help manage my symptoms. All day Saturday, I was struggling to breathe, I was coughing, I had a headache, my chest hurt, and I was flat out miserable. I didn’t sleep again Saturday night. It was like Friday night all over again. 
Sunday – I had a low grade fever from the moment I woke up - 99.7. I was also so fatigued (probably because I haven’t slept in days at this point), coughing, struggling to catch my breath, and my chest hurt. I stayed in bed, feeling miserable and scared. I still haven’t eaten at this point but I wasn’t hungry. The reality was starting to set in that I might not be okay. I honestly didn’t think I was going to survive. By nighttime, I decided to try to sleep early. I took Mucinex PM to try to help me sleep through the coughing and difficulty breathing. Surprisingly, it worked. I slept through the night.
Monday – I woke up with no fever. My cough wasn’t as deep as previously so I thought that I was getting better. Breathing was a little easier – still a struggle but easier. I thought to myself – okay, it can’t be coronavirus because I’m already getting better. I still didn’t feel well but I felt like I could see the other side of this, the recovery. But it was short lived. Even with the Tylenol and Mucinex my fever came back by NOON. I was coughing again, struggling to breath, etc. My anxiety kicked in too at this point and my hands and feet were sweating and tingling and I was scared. I was literally open-mouthed gasping for air but unable to get a deep breath. I went through the whole night like this. Another sleepless night.
Tuesday – Low fever, headache, cough, but not struggling to catch my breath as often. I tried a little solid food but ended up having a coughing fit immediately after the first couple bites. I was weak and tired and my lungs felt like they were on fire after coughing. But I managed to sleep Tuesday night, thankfully. 
Wednesday – Still coughing, still had a low fever, still struggling to catch my breath. I was doing better than Tuesday, though. I ate soup, drank a protein shake, and felt like I could be on the mend.
Thursday – I went backwards. I felt so sick again. I didn’t sleep well Wednesday. I was up constantly trying to catch my breath or cough. 
Friday – Coughing a lot again. Any activity resulted in a deep cough and then 5 to 10 minutes of trying to catch my breath afterwards. But I ate finally. I actually had an appetite. My breathing was easier but still not great. After each bite, it took me a few minutes to catch my breath again before the next bite. That left me feeling exhausted and frustrated. However, I realized that I was doing much better today than I was a week ago. Progress has been slow but I am doing better.
Saturday – So that brings us to today – I got a call at 11 am this morning. They had my test results. The woman sounded chipper at first but immediately after I confirmed that I was in fact who I am, her voice got very low and she told me that I am positive for COVID19. It took me a little while to process my thoughts and emotions but I decided that I could use this to help others. I know every case is different but if someone else is going through a mild case and is scared or anxious, there is hope. I am exactly at two weeks from when I was exposed and I feel better. Not great, hell not even good, but better. The worst is over (hopefully) and I’m recovering. I still fight to catch my breath every 20 or 30 minutes and I still have coughing fits and eating is still a struggle. But I’m getting better and I refuse to stop trying to get better. 
So people, please take this seriously. I was fighting to breathe for days and was scared out of my mind. I didn’t know if I was going to come out of this alive or not. Thankfully, I did start getting better. Thankfully it was a mild case. There are people out there that have it much worse than I did or do. Do your part and stay home. Self-isolation and social distancing is the only way that we can flatten the curve. 
TL;DR – I have coronavirus. I coughed a lot, fought for my breath, but I’m getting better.</t>
        </is>
      </c>
      <c r="D130" t="n">
        <v>6</v>
      </c>
      <c r="E130" t="n">
        <v>91</v>
      </c>
      <c r="F130">
        <f>HYPERLINK("https://www.reddit.com/r/COVID19positive/comments/fqwgb0/my_girlfriend_tested_positive_today_after_feeling/")</f>
        <v/>
      </c>
      <c r="G130" t="inlineStr">
        <is>
          <t>2020-03-28 17:45:21</t>
        </is>
      </c>
      <c r="H130" t="inlineStr">
        <is>
          <t>Tested Positive - Family</t>
        </is>
      </c>
    </row>
    <row r="131">
      <c r="A131" t="inlineStr">
        <is>
          <t>fqwz0u</t>
        </is>
      </c>
      <c r="B131" t="inlineStr">
        <is>
          <t>Think I might have it but it’s very tricky. Here are my symptoms. Someone take a look, please.</t>
        </is>
      </c>
      <c r="C131" t="inlineStr">
        <is>
          <t>Hi everyone. Last Friday, I woke up feeling nauseous. I went to the bathroom but it didn’t help. As soon as I left the bathroom, I got intense chills and developed a fever. Shortly after, I threw up. The first 2 times must have been some food and the 3rd time, I threw up bile. Right before I threw up the bile, I was on the verge of passing out. It was the bile coming out that saved me. Strangely enough, after I threw up that last time, my symptoms seemingly disappeared. I thought it was over, but I was wrong. My fever persisted but that was it. No sore throat, no runny nose, no congestion, just a fever and back and stomach pain. That’s it. Over the next few days I felt weak and my fever would come and go. Then I woke up with sharp throat pain and a cough. The throat pain went away within a day but the cough persisted. The cough got worse by day, and it was dry, very dry. I’d cough and cough but it would feel like there was absolutely nothing in my throat to be coughing up. My fever also came back and actually peaked, nearly hitting 104, but quickly went down. By this point I called my doctor and was already taking Tylenol and antibiotics, but the fever was on a come and go trend. It would come, leave, then come again. The cough, however, it must have peaked yesterday. I would start coughing for minutes at a time, unable to stop for a breather, and still, nothing would come out. It would be dry. At one point, I felt vomit coming up and when I let go, I just spit out saliva, dry heaved for a good 30 seconds, and let out a small burp. All that for a small burp? I also felt lots of bloating and loss of appetite. Additionally, I must have lost my sense of smell because others have noted certain smells around me that I couldn’t smell.
Edit: no sore throat, just a cough. Also, I’ve been having a headache for the majority of the week</t>
        </is>
      </c>
      <c r="D131" t="n">
        <v>0</v>
      </c>
      <c r="E131" t="n">
        <v>3</v>
      </c>
      <c r="F131">
        <f>HYPERLINK("https://www.reddit.com/r/COVID19positive/comments/fqwz0u/think_i_might_have_it_but_its_very_tricky_here/")</f>
        <v/>
      </c>
      <c r="G131" t="inlineStr">
        <is>
          <t>2020-03-28 18:17:39</t>
        </is>
      </c>
      <c r="H131" t="inlineStr">
        <is>
          <t>Tested Positive - Me</t>
        </is>
      </c>
    </row>
    <row r="132">
      <c r="A132" t="inlineStr">
        <is>
          <t>fqz3q9</t>
        </is>
      </c>
      <c r="B132" t="inlineStr">
        <is>
          <t>23/f, Blood Type A+, Extremely Active, Presumptive Positive (finding out test results ASAP) and I’m terrified.</t>
        </is>
      </c>
      <c r="C132" t="inlineStr">
        <is>
          <t>I have medical anxiety, so y’all can only imagine how I’m handling this situation right about now. I just want someone to hold my hand and tell me I’m gonna make it through this. But you know, social distancing and all. Anyway, here’s a breakdown of my symptoms. 
Day 1- Last Saturday night 
I had that headache that’s been constantly described in this community, thought it was a PMS migraine, although nothing dulled it. Slept it off. Had no idea I was sick 
Day two- went to work (essential employee, now on medical leave) and I had a hot flash type of thing where I got real shaky. Felt like I had a fever and my tummy hurt a bit, but it all went away. Felt otherwise fine 
Day three- very sleepy. Very very sleepy. 
Day 4- Tuesday
This was the day I suspected something was up.  exposed my darling boyfriend (sorry hunny bun) and I feel so guilty. I was fine until late In the day when I started feeling like I was coming down with a flu. Started to get a little anxious, had the urge to cough like twice. Chalked it up to anxiety and slept through the night. 
Day 5-
Slight chest tightness, the tightness has mostly been in my throat and it felt like I had been screaming the day before. Very lethargic and weak, took everything I had in me to put my hair up in a ponytail and take my pup for a walk. I think I slept most of that day too. I also called out of work and said I’d be out at least 14 days. 
Day 6- same tiredness that’s been trending for me the past days, started to get GI symptoms. Mostly nausea. Fever has been at a constant 99.
Day 7- felt somewhat normal, fever still at 99. Thought I was kinda on the upswing and got my first shortness of breath at night when I laid down. Of course that triggered my anxiety but i took some melatonin and powered through. 
Day 8 (this past day)- 
Worst day I’ve had so far. This is somehow the only day I’ve not slept for like 16 hours. Felt completely fine in the morning, and then the shortness of breath hit and I actually had to take my albuterol inhaler from like 2 years ago. Also had a lot of chest tightness and some pain, took some acetaminophen for that, and finally bit the bullet and called my doctor for testing. Doctor is sure I have it, I tested negative for the flu. Still have some shortness of breath while typing, and my throat and chest feel tight. No cough, just throat clearing like the grumpy old lady I am now. 
I’m really hoping this is the worst of it. I know I’m definitely over dramatic about this whole thing, I’ve dealt with worse sickness so far (knock on wood) but the whole anxiety about this virus being so unpredictable and not knowing what’s coming next is really doing a number on my anxiety. I’m scared I’ll wake up not being able to breathe or something. I have a humidifier running on my nightstand and I’m staying hydrated and attempting to stay distracted any way possible. I just want some reassurance that I’ll be okay I guess. Thanks for reading my ramble, I wish all of you the best of health and a speedy recovery. &amp;lt;3</t>
        </is>
      </c>
      <c r="D132" t="n">
        <v>1</v>
      </c>
      <c r="E132" t="n">
        <v>35</v>
      </c>
      <c r="F132">
        <f>HYPERLINK("https://www.reddit.com/r/COVID19positive/comments/fqz3q9/23f_blood_type_a_extremely_active_presumptive/")</f>
        <v/>
      </c>
      <c r="G132" t="inlineStr">
        <is>
          <t>2020-03-28 20:37:27</t>
        </is>
      </c>
      <c r="H132" t="inlineStr">
        <is>
          <t>Tested Positive - Me</t>
        </is>
      </c>
    </row>
    <row r="133">
      <c r="A133" t="inlineStr">
        <is>
          <t>fqzfk3</t>
        </is>
      </c>
      <c r="B133" t="inlineStr">
        <is>
          <t>AMA Timeline of symptoms [21F]</t>
        </is>
      </c>
      <c r="C133" t="inlineStr">
        <is>
          <t>Hello everybody! I’m from NYC, officially tested positive for COVID, free to answer any questions or just talk / share support. 
Timeline of symptoms:
Sunday: my mother [44F] tested positive for covid (her symptoms were only coughing and headache, no fever). I tested negative on this day. 
Monday: no new developments 
Tuesday: little brother [18M] tested positive for covid, shows no symptoms besides stuffy nose and these are the only symptoms he has shown so far 
Wednesday: started developing a sore throat, felt a bit more painful than a usual mild sore throat
Thursday: woke up with 102 degree fever, body aches in my legs, felt congested, no coughing / sneezing. Got tested for COVID again today and tested positive. 
Friday: woke up feeling MUCH better , no more fever or body aches. Only feeling congested with some coughing/ sneezing
Saturday: congested sinuses making my eyes/ ears hurt a bit, some more sneezing but not much coughing 
AMA!</t>
        </is>
      </c>
      <c r="D133" t="n">
        <v>1</v>
      </c>
      <c r="E133" t="n">
        <v>52</v>
      </c>
      <c r="F133">
        <f>HYPERLINK("https://www.reddit.com/r/COVID19positive/comments/fqzfk3/ama_timeline_of_symptoms_21f/")</f>
        <v/>
      </c>
      <c r="G133" t="inlineStr">
        <is>
          <t>2020-03-28 21:00:29</t>
        </is>
      </c>
      <c r="H133" t="inlineStr">
        <is>
          <t>Tested Positive - Me</t>
        </is>
      </c>
    </row>
    <row r="134">
      <c r="A134" t="inlineStr">
        <is>
          <t>fr00i0</t>
        </is>
      </c>
      <c r="B134" t="inlineStr">
        <is>
          <t>How long did it take you to recover ?</t>
        </is>
      </c>
      <c r="C134" t="inlineStr">
        <is>
          <t>I’m on day 4 right now since I’ve tested positive and I’m just wondering what those who recovered experiences were in terms of how long it took you to recover. Looking for some guidance!</t>
        </is>
      </c>
      <c r="D134" t="n">
        <v>1</v>
      </c>
      <c r="E134" t="n">
        <v>5</v>
      </c>
      <c r="F134">
        <f>HYPERLINK("https://www.reddit.com/r/COVID19positive/comments/fr00i0/how_long_did_it_take_you_to_recover/")</f>
        <v/>
      </c>
      <c r="G134" t="inlineStr">
        <is>
          <t>2020-03-28 21:41:57</t>
        </is>
      </c>
      <c r="H134" t="inlineStr">
        <is>
          <t>Tested Positive - Me</t>
        </is>
      </c>
    </row>
    <row r="135">
      <c r="A135" t="inlineStr">
        <is>
          <t>fr3h2y</t>
        </is>
      </c>
      <c r="B135" t="inlineStr">
        <is>
          <t>If you want to drastically improve your odds of survival, do these NOW. (confirmed sufferer)</t>
        </is>
      </c>
      <c r="C135" t="inlineStr">
        <is>
          <t>1. Stop smoking. Now. Seriously what the hell are you doing still smoking?! You're gonna suffer badly if you get it. Believe me, I don't smoke and this shit gets scary.
2. Work out your lungs. 10 times a day breath in and hold for 20 seconds. Once you think your lungs are full, force a bit more air into them. Aim is to stretch them. You will feel dizzy and uncomfortable but stick with it. Seriously, I doubt any free divers are going to succumb to this.
3. Liquids. Forget 2.5 litres a day. Drink 4 litres. A lot of that hot too.
4. Keep up with your vitamins. Especially D. Do your own research but D is essential for the immune system.
5. If you get it, sleep. A lot. Don't over exert yourself. Let your body fight it.</t>
        </is>
      </c>
      <c r="D135" t="n">
        <v>1</v>
      </c>
      <c r="E135" t="n">
        <v>11</v>
      </c>
      <c r="F135">
        <f>HYPERLINK("https://www.reddit.com/r/COVID19positive/comments/fr3h2y/if_you_want_to_drastically_improve_your_odds_of/")</f>
        <v/>
      </c>
      <c r="G135" t="inlineStr">
        <is>
          <t>2020-03-29 02:50:12</t>
        </is>
      </c>
      <c r="H135" t="inlineStr">
        <is>
          <t>Tested Positive - Me</t>
        </is>
      </c>
    </row>
    <row r="136">
      <c r="A136" t="inlineStr">
        <is>
          <t>fr5fh3</t>
        </is>
      </c>
      <c r="B136" t="inlineStr">
        <is>
          <t>Update to my sypmtoms</t>
        </is>
      </c>
      <c r="C136" t="inlineStr">
        <is>
          <t>So I am getting tested this coming Tuesday. State call me back 2 days after I made the call, so that's good. Used the positive post cause at this point, with all the symptoms I, my father, and now my husband have, there's no way I don't have it.
So all day the 27th I was pretty tired. Tried to nap, hard to do with 2 kids, but I tried. Felt better by 8 that night.
Yesterday, the 28th, I felt pretty normal all day.
Today, I think it's my day 9 or 10, feeling more tightness in my chest than usual. No wheezing though, so good to know asthma isn't acting up. Swollen lymph nodes,  spitting up more phlegm than usual, just within the time I typed this up.
My husband has been coughing, gotten diarrhea, and when he went to use the treadmil, stopped because he got winded after 5 mins.
My dad, 65 O+,  (who doesn't live with me) has been short of breath and didn't sound any better yesterday. My two little ones are living life as if nothing is bothering them. 
Some good, some bad. I just keep thinking that I gotta get through this next week and I'll be more or less ok. 
I'll add a few updates to this post before I create a new one. Here's to hoping they are good.</t>
        </is>
      </c>
      <c r="D136" t="n">
        <v>1</v>
      </c>
      <c r="E136" t="n">
        <v>11</v>
      </c>
      <c r="F136">
        <f>HYPERLINK("https://www.reddit.com/r/COVID19positive/comments/fr5fh3/update_to_my_sypmtoms/")</f>
        <v/>
      </c>
      <c r="G136" t="inlineStr">
        <is>
          <t>2020-03-29 05:51:09</t>
        </is>
      </c>
      <c r="H136" t="inlineStr">
        <is>
          <t>Tested Positive - Me</t>
        </is>
      </c>
    </row>
    <row r="137">
      <c r="A137" t="inlineStr">
        <is>
          <t>fr6v6d</t>
        </is>
      </c>
      <c r="B137" t="inlineStr">
        <is>
          <t>My uncle passed away today at 2am.</t>
        </is>
      </c>
      <c r="C137" t="inlineStr">
        <is>
          <t>62 years old, sleep apnea, overweight. Western NY.
I am heartbroken. Today at 2am, my uncle passed away. He started having symptoms over 2 weeks ago. Urgent care dismissed him saying it was bronchitis. 2 days later he went to the hospital because his oxygen levels dropped to the 60’s. He was tested. Results came back a full week later as inconclusive. He had to get tested again and they rushed his test to get results back in 24 hours as positive. He was put on a ventilator. Diagnosed with ARDS. His lungs were improving until they crashed a few days later and he was placed in an induced coma. His blood work was always good, his kidney and liver functions were always good. But it got to the point where the ventilator was working at 100% on his lungs. 
My aunt (his wife) got a call around midnight to come to the hospital. She was able to spend 10 minutes with him before having to leave due to him being quarantined. The priest read his last rites and he passed around 2am.
The hardest part of it all is he was alone. He was alone in the hospital before being placed in the induced coma. He was alone in the hospital while doctors and nurses in protective suits worked on him. He was alone when he passed away. My family and I could not see him through these last few weeks. We relied on the phone calls from doctors and nurses. We couldn’t be there to hold his hand and comfort him. He had no genuine human interaction throughout all of this.
There were only 12 confirmed cases in our ENTIRE COUNTY when he found himself sick. And all of those 12 cases were at least a 25 minute drive away. None in his town or surrounding towns. This virus is everywhere. Please, no matter what age you are, stay home. My uncle caught this from someone who was asymptomatic and it killed him.</t>
        </is>
      </c>
      <c r="D137" t="n">
        <v>1</v>
      </c>
      <c r="E137" t="n">
        <v>131</v>
      </c>
      <c r="F137">
        <f>HYPERLINK("https://www.reddit.com/r/COVID19positive/comments/fr6v6d/my_uncle_passed_away_today_at_2am/")</f>
        <v/>
      </c>
      <c r="G137" t="inlineStr">
        <is>
          <t>2020-03-29 07:40:38</t>
        </is>
      </c>
      <c r="H137" t="inlineStr">
        <is>
          <t>Tested Positive - Family</t>
        </is>
      </c>
    </row>
    <row r="138">
      <c r="A138" t="inlineStr">
        <is>
          <t>fr73r0</t>
        </is>
      </c>
      <c r="B138" t="inlineStr">
        <is>
          <t>Intermittent/fluctuating fever?</t>
        </is>
      </c>
      <c r="C138" t="inlineStr">
        <is>
          <t>One of my friends has tested positive and I had been around her a week prior to her getting sick. 
I’ve been having symptoms for over two weeks. 
Deep coughs (mostly dry), chest pain (comes and goes), shortness of breath (comes and goes), and a fever. 
Last night it was 99.7, then a little later, 100.4 but then a hour or two later it was 99.3. 
This morning it was 98.8 but I feel feverish.
I took it right after I woke up, which my doctor said not to do because it would be lower from sleeping so I’m not sure if that affected it. 
My cough is mostly gone; it still comes and goes but nothing like when I first got sick. When I first started showing symptoms a couple of weeks ago, I was coughing constantly. 
I googled and saw that intermittent fevers were part of this so I mostly just wondered if anyone else had fluctuating fevers or if yours was just steady the whole time.</t>
        </is>
      </c>
      <c r="D138" t="n">
        <v>1</v>
      </c>
      <c r="E138" t="n">
        <v>12</v>
      </c>
      <c r="F138">
        <f>HYPERLINK("https://www.reddit.com/r/COVID19positive/comments/fr73r0/intermittentfluctuating_fever/")</f>
        <v/>
      </c>
      <c r="G138" t="inlineStr">
        <is>
          <t>2020-03-29 07:56:57</t>
        </is>
      </c>
      <c r="H138" t="inlineStr">
        <is>
          <t>Tested Positive - Friends</t>
        </is>
      </c>
    </row>
    <row r="139">
      <c r="A139" t="inlineStr">
        <is>
          <t>fr7kqj</t>
        </is>
      </c>
      <c r="B139" t="inlineStr">
        <is>
          <t>Generic Paracetamol - Tip</t>
        </is>
      </c>
      <c r="C139" t="inlineStr">
        <is>
          <t>This is a tip for those of us who accidentally use the word ‘tylenol’ all the time! 
You can use ANY generic paracetamol. Tylenol is just a brand name and is more expensive. 
This also applies to ‘purrell’, which is just a hand sanitiser. Any 60%+ alcohol content hand sanitiser will do. 
I have Coronavirus now and any generic paracetamol is what you need. Maximum dose per day is 4000mg/day, max 1000mg per dose. 
I seen another thread where people complained about being unable to find these teo specific brands, but the brand and company don’t matter as long as you buy it from a registered pharmacy, given it by a doctor or buy in a supermarket. 
Hope this helps for those who can’t differentiate between branding. 
Note: It is advised to avoid ibuprofen and avoid naproxen unless you are taking these on advice of a doctor for other condition(s). Stick to cheap unbranded paracetamol and get well soon!
Source: I’m a hospital doctor.</t>
        </is>
      </c>
      <c r="D139" t="n">
        <v>1</v>
      </c>
      <c r="E139" t="n">
        <v>17</v>
      </c>
      <c r="F139">
        <f>HYPERLINK("https://www.reddit.com/r/COVID19positive/comments/fr7kqj/generic_paracetamol_tip/")</f>
        <v/>
      </c>
      <c r="G139" t="inlineStr">
        <is>
          <t>2020-03-29 08:27:32</t>
        </is>
      </c>
      <c r="H139" t="inlineStr">
        <is>
          <t>Tested Positive - Me</t>
        </is>
      </c>
    </row>
    <row r="140">
      <c r="A140" t="inlineStr">
        <is>
          <t>fr8jxa</t>
        </is>
      </c>
      <c r="B140" t="inlineStr">
        <is>
          <t>Covid alladeen, being in limbo</t>
        </is>
      </c>
      <c r="C140" t="inlineStr">
        <is>
          <t>So my company informed me two weeks ago that someone I had attended a conference with had tested positive, that I should self isolate for 14 days. 6 days in I get walloped with all the tell-tale symptoms.
So as anyone might do I called my doctor, this was sometime last week. He said that it sounds like I have covid 19 and he would put in a request for testing. Two hours later he calls me back saying “look man I know you’re feeling it and it’s scary, but there’s nothing I can do, if things get so bad that you can’t breathe, go to the ER” 
“Doc, my insurance would never cover it and it would bankrupt me if I get a 30k bill” 
The symptoms got worse, I stayed home, hydrated and spent most of my time in bed or at the computer. But with time to think about how unavailable testing is right now and that there must be millions of people in my situation, without any proof of their sickness, I invented a new status and/or hashtag for all of us- 
Covid  Alladeen - for all of us in limbo told to “tough it out”</t>
        </is>
      </c>
      <c r="D140" t="n">
        <v>2</v>
      </c>
      <c r="E140" t="n">
        <v>9</v>
      </c>
      <c r="F140">
        <f>HYPERLINK("https://www.reddit.com/r/COVID19positive/comments/fr8jxa/covid_alladeen_being_in_limbo/")</f>
        <v/>
      </c>
      <c r="G140" t="inlineStr">
        <is>
          <t>2020-03-29 09:28:24</t>
        </is>
      </c>
      <c r="H140" t="inlineStr">
        <is>
          <t>Tested Positive - Friends</t>
        </is>
      </c>
    </row>
    <row r="141">
      <c r="A141" t="inlineStr">
        <is>
          <t>frawtc</t>
        </is>
      </c>
      <c r="B141" t="inlineStr">
        <is>
          <t>Helping those with covid</t>
        </is>
      </c>
      <c r="C141" t="inlineStr">
        <is>
          <t>I’m a nurse and don’t use social media. My father is...was an engineer at the first hospital I ever worked at but due to this virus his age and health issues he has had to stop working because the administration there would not allow him to use any PPE. I set up a go fund me page for him but can’t gain any traction because I have no social media presence. If anyone is willing to promote or has an idea for me please let me know. I’ll include a link. Best wishes to you all hope you stay healthy and your families as well. 
Link: 
gf.me/u/xttyi5</t>
        </is>
      </c>
      <c r="D141" t="n">
        <v>2</v>
      </c>
      <c r="E141" t="n">
        <v>1</v>
      </c>
      <c r="F141">
        <f>HYPERLINK("https://www.reddit.com/r/COVID19positive/comments/frawtc/helping_those_with_covid/")</f>
        <v/>
      </c>
      <c r="G141" t="inlineStr">
        <is>
          <t>2020-03-29 11:47:23</t>
        </is>
      </c>
      <c r="H141" t="inlineStr">
        <is>
          <t>Tested Positive - Family</t>
        </is>
      </c>
    </row>
    <row r="142">
      <c r="A142" t="inlineStr">
        <is>
          <t>frh0q2</t>
        </is>
      </c>
      <c r="B142" t="inlineStr">
        <is>
          <t>Measuring and reporting elevated temperatures and fevers</t>
        </is>
      </c>
      <c r="C142" t="inlineStr">
        <is>
          <t>Physician here (verified on /r/Askdocs), but I am not posting (or offering) medical advice, just attempting to clarify terminology.  I'm sitting here riding out my symptomatically rather rough COVID-19 infection without much better to do.
Fever is a cardinal symptom of COVID-19 pneumonia, present in 50-80% of cases depending on the report.  For this reason, the measurement and reporting of body temperature should be done with care.  The [Wikipedia page](https://en.wikipedia.org/wiki/Human_body_temperature) at the time of this writing is reasonably good (although some of the English is poor).  
The short version is that the *AVERAGE* normal oral body temperature for adults is 98.6 (or slightly lower), but typically ranges from 97 - 100 in response to many factors including sex, time of day, relationship to recent meal, and - very importantly - the way it is measured.  In my notes on a patient, they need a temp of at least 100.5 (38C) for me to record "elevated temp".
Please continue reporting measured temps, but indicate how they were measured and refrain from calling anything above 98.6 a "fever".  That just isn't right and results in undue concern.</t>
        </is>
      </c>
      <c r="D142" t="n">
        <v>1</v>
      </c>
      <c r="E142" t="n">
        <v>47</v>
      </c>
      <c r="F142">
        <f>HYPERLINK("https://www.reddit.com/r/COVID19positive/comments/frh0q2/measuring_and_reporting_elevated_temperatures_and/")</f>
        <v/>
      </c>
      <c r="G142" t="inlineStr">
        <is>
          <t>2020-03-29 17:47:16</t>
        </is>
      </c>
      <c r="H142" t="inlineStr">
        <is>
          <t>Tested Positive - Me</t>
        </is>
      </c>
    </row>
    <row r="143">
      <c r="A143" t="inlineStr">
        <is>
          <t>frjfsh</t>
        </is>
      </c>
      <c r="B143" t="inlineStr">
        <is>
          <t>My personal experience.</t>
        </is>
      </c>
      <c r="C143" t="inlineStr">
        <is>
          <t>Hello! 26/F from Minnesota. Was tested positive on March 17th (what a lucky day... haha). I do have asthma, acid reflux and anxiety. 
I created a blog post detailing my experience. Wasn’t sure if others would want to read it, but Ill copy and paste it below. 
“As most in my life know, I was tested positive for COVID-19 on March 17th, 2020.
Here is my story... and grab a snack because this will be VERY long. 
When I first heard about the Coronavirus, I thought "hmm maybe it will just be like the bird flu and not really affect me in any way." Well I was very wrong. It all began when my boyfriend and his parents came home from Germany on March 11th, 2020.  I had the day off and was super stoked to hear all his stories, since Germany is on my bucket list (ayo heritage!). So I`m taking a nap on my couch and in walks my boyfriend. Woohoo! Our cats go crazy with excitement... for the stairs they think they`re about to go out on. His mom also comes in because she needs to go to the bathroom. Okay, cool. No big deal. She mentions she`s got a slight cough, but used her mitten to touch the door knob *thumbs up*. I`m still waking up from my nap, so I was like alright *finger guns*. 
The night goes on as normal. Then my boyfriend starts getting messages and articles sent to him from co-workers/friends talking about Trump saying there`s going to be a travel ban on Europe. Whoa. Missed it by hours. Super lucky. Then his boss calls him and says under no circumstance should he come in... in case he`s got the beer virus. This is where I start to worry a little. His mom and sister are texting me saying we should all self isolate just in case. Then his mom is in contact (texting/calling) a Mayo Clinic doctor and he`s saying we need to quarantine ASAP for at least two weeks. I started panicking, but get ahold of a co-worker who can open the store I work at until I can contact HR to see what they say. 
The next morning I get ahold of HR and they tell me that I should self isolate just to be safe. I work in retail at a mall that is busy in my smallish town, so I also thought this was a good idea. My boyfriend`s mom texts me saying she is feverish with a cough. THE PANIC IS REAL NOW. His parents are getting tested as soon as a drive thru spot is open. They get tested, but my boyfriend and I are feeling okay so far. A couple days go by, my boyfriend gets a low grade fever. He calls the hotline and they want him tested. I wasn`t tested until I broke a low grade fever, which was a day after my boyfriend was tested. **SIDEBAR: I just want everyone to know, THE TEST IS VERY UNCOMFORTABLE. The swab goes so far back into your face, that I swear it touched my soul. I didn`t gag, which the nurse said was a possibility, so I thought it was a breeze. I have a fear of throwing up, so I was anxious going into the test. But all in all, I would rather get that crazy nose swab than a strep throat test.** 
The days go by and we find out we are all positive for COVID-19. Since we took the test days apart, the results trickled in the same way. My boyfriend and I`s results came in two days after getting the test done. **SIDEBAR: there is a shortage of tests. So please understand that when the nurses` hotline or hospital you call say they cannot test you and to stay home, please listen to them and try not to be upset. They are doing everything they can with what supplies they have. If for any reason you need a doctor`s note in order to get paid or have time off from work, THEY WILL WORK WITH YOU. I was lucky enough to get a test, but there are other factors that play into that (which I will get to).** We are all contacted by the Minnesota Department of Health. They let us know they will be monitoring our symptoms by e-mail or phone call (just if they have more questions about how you`re symptoms are affecting you) daily. We had to take our temperatures every day for the e-mail and mention what symptoms we had. We all were also contacted my Mayo Clinic, just keeping us up to date on new protocols, etc. 
I know a lot will be wondering what we have all gone through. My boyfriend`s mom was the first to show signs (feeling feverish and a cough). Then it was my boyfriend, then his dad, finally me. We all started with feeling feverish and a cough or sore throat. From here on, I will really only be talking about my personal experience. I do not want to share a story that is not mine without their consent. If they wish to share their stories at some point, then they will do so or already have on their social media accounts. I would be more than willing to interview and document their stories if they wish. 
MY SYMPTOMS. I`ll start with my health background. I had pretty bad pneumonia when I was 18 (hey high school graduation *eye roll*). One of my lungs was about 3/4 covered in an x-ray and the doctors could not understand how I was still standing. I have asthma. I`ve also got general anxiety and acid reflux. The first couple days I was just feverish and tired. I`d say it was the fifth day after my symptoms started that it got bad. The only time I remember sleeping this much in my life, was when I had pneumonia. I slept A LOT. On the fifth day, I decided I was sick of sleeping and went out to get our mail (I had Lysol, a antibacterial wipe and my shirt over my face). I got to the mailbox and was so tired. I got back into the apartment and was sweating. I had to sit down because I thought I was going to pass out. I went to lay down in bad and began coughing (flashbacks to pneumonia). My upper back was so tight. I made sure I knew where my inhalers were just in case I needed them. I remember texting my mom saying it was the worse it`s been. She was there with me when I had pneumonia and was very worried about me. Luckily I had my boyfriend home and he would be able to drive me to the ER if needed (of course, calling ahead of time). That night I had a hard time going to bed. I was scared I would wake up having an asthma attack in my sleep (thank you anxiety for snowballing those thoughts). The next day, I wasn`t wheezing anymore or coughing as much. I laid around most of that day and did nothing because I was too scared to. The day after that, I was feeling so much better. Just extremely tired. The next couple days, I was just tired and felt feverish maybe once mildly in the day. I am VERY lucky I had an easier time with this virus. I didn`t really understand why everyone was so worried about me and my asthma until that worse day. If my symptoms were like that day or if they had worsen throughout this entire thing, I would have been hospitalized. Now, another strange symptom I had (as well as my boyfriend, but not his parents) was the loss of taste and smell. This is apparently something that they`re kind of just discovering. It was super weird and I thought I was going crazy (I honestly thought they broke my nose from the swab, which I can laugh about now). It only happens to some, but that`s just like any of the other symptoms. Another thing was loss of appetite. I didn`t eat a whole lot during this whole thing (which is SUPER weird for me because I like my snackies). Once I was hungry again, I had to start slow (no spicy things, stuck with bland food) otherwise I would have to go to the bathroom for a bit (if you understand what I`m saying. Luckily no puking since I panic over that.) I would have to say my acid reflux was pretty bad once I was hungry again. I ate Tums so many times in the last couple days and had to have a ginger root pill to settle my stomach one night. Today, March 29th, I haven`t needed any Tums, ginger root pills or long bathroom breaks. Woohoo! I`ve been doing pretty good today and the day before, but I still just get tired easier than normal. A lot of people have said it`s due to lack of moving, which I can agree to some extent, but my body is still fighting the last of this virus. My sleep schedule is whack and I hate it. Being up till 4AM, then sleeping till 2PM is not fun. I`m over it. I`m going to try some melatonin or some kind of sleep aid next to see if that will help me. I`ve also been doing stretches and a little yoga to get some movement back into my life. 
All in all, this virus scares me. I have a mom who is going through chemo for pancreatic cancer (this is fairly public info and I don`t think my mom will mind me sharing this with the world since I AM TERRIFIED she will get it). AGAIN, I AM TERRIFIED my mom is going to get this. If she does, she will have a low chance of surviving the virus while battling cancer. AND I NEED MORE TIME WITH MY MOM BEFORE SHE LEAVES THIS WORLD, okay?! Moms are the best. I am lucky to also have my boyfriend`s mom in my life- she is such a selfless person and will do anything for anyone. BUT MY MOM IS MY MOM. Nobody can replace my mom. SO PLEASE STAY HOME! I am BEGGING the world to STAY HOME. I know it sucks. I`ve been stuck in my apartment for two and a half weeks. BUT do it for the people who are at risk. I have too many people in my life that are high risk. I also have loved ones who may not be considered high risk, BUT there is a chance they could have severe symptoms. 
I`m hoping my story can ease others` anxieties over this virus. It is scary. But staying informed is so important. Again, I know this is scary. But we, as a world and the human race, are in this together. We will mourn together. We will support those hometown businesses together. We will find a cure for this together. We will love those in our life a little bit more each day together. We will HELP each other together. WE WILL STAY HOME TOGETHER &amp;lt;3
Please if you have any more questions for me, let me know. I am here to talk and listen to all who need it. “</t>
        </is>
      </c>
      <c r="D143" t="n">
        <v>1</v>
      </c>
      <c r="E143" t="n">
        <v>3</v>
      </c>
      <c r="F143">
        <f>HYPERLINK("https://www.reddit.com/r/COVID19positive/comments/frjfsh/my_personal_experience/")</f>
        <v/>
      </c>
      <c r="G143" t="inlineStr">
        <is>
          <t>2020-03-29 20:30:06</t>
        </is>
      </c>
      <c r="H143" t="inlineStr">
        <is>
          <t>Tested Positive - Me</t>
        </is>
      </c>
    </row>
    <row r="144">
      <c r="A144" t="inlineStr">
        <is>
          <t>frjkq5</t>
        </is>
      </c>
      <c r="B144" t="inlineStr">
        <is>
          <t>day 10, breathing.</t>
        </is>
      </c>
      <c r="C144" t="inlineStr">
        <is>
          <t>Likely having mild to moderate cytikon release issues.  Worried about organ damage.  day 10.  hoping it'll be over any day now, but reading these post fuck me.  also trying to track down some meds.
chest pain, pnemonia, can't breath, mind issues, fatigue, diarihia, nasua, stuffy nose sometimes, rapid breathing rarely, circulation issues, maybe bladder issues.
Haven't gone to doctor yet, brothers friend works in ICU and said basically only come if you are REALLY bad.  I am obv severe, can't breath for 10 days, but don't think they will admit me.  Not sure if they should either, honestly just want the med, but I know they only give it to ICU folks.  
trying to stay strong, but having trouble the last several hours.  Every day I get my shit together, and lose it every night.  I always hope it'll be over by the end of the day but it hasn't been the case yet.
I'm looking forward to day 14 as my next bench mark, day 10 was my last since maybe day 7 or 8.  breathing got a little harder tonight(took ibeprofin, stupid.)  but yeah, heres looking forward to 14.  Hope I sail it as smoothly as possible.</t>
        </is>
      </c>
      <c r="D144" t="n">
        <v>1</v>
      </c>
      <c r="E144" t="n">
        <v>60</v>
      </c>
      <c r="F144">
        <f>HYPERLINK("https://www.reddit.com/r/COVID19positive/comments/frjkq5/day_10_breathing/")</f>
        <v/>
      </c>
      <c r="G144" t="inlineStr">
        <is>
          <t>2020-03-29 20:40:13</t>
        </is>
      </c>
      <c r="H144" t="inlineStr">
        <is>
          <t>Tested Positive - Me</t>
        </is>
      </c>
    </row>
    <row r="145">
      <c r="A145" t="inlineStr">
        <is>
          <t>fro25g</t>
        </is>
      </c>
      <c r="B145" t="inlineStr">
        <is>
          <t>Dear Friend</t>
        </is>
      </c>
      <c r="C145" t="inlineStr">
        <is>
          <t>Stay strong, Stand together.
The greatest compassion is the prevention of human suffering. Through patience, alertness, courage and kindness, have faith that whatever the outcome of COVID-19, your spirit will be okay.
— With Love
From Garabaldi</t>
        </is>
      </c>
      <c r="D145" t="n">
        <v>1</v>
      </c>
      <c r="E145" t="n">
        <v>3</v>
      </c>
      <c r="F145">
        <f>HYPERLINK("https://www.reddit.com/r/COVID19positive/comments/fro25g/dear_friend/")</f>
        <v/>
      </c>
      <c r="G145" t="inlineStr">
        <is>
          <t>2020-03-30 03:06:31</t>
        </is>
      </c>
      <c r="H145" t="inlineStr">
        <is>
          <t>Tested Positive</t>
        </is>
      </c>
    </row>
    <row r="146">
      <c r="A146" t="inlineStr">
        <is>
          <t>frqewf</t>
        </is>
      </c>
      <c r="B146" t="inlineStr">
        <is>
          <t>Cardio vascular symptoms?</t>
        </is>
      </c>
      <c r="C146" t="inlineStr">
        <is>
          <t>I’m presumed positive, awaiting results. I haven’t had a cough but nearly every other symptom the worst being chest pain. 
I knocked it off as anxiety the first few days with everything going on but then as I was going to sleep one night my heart started pounding and it was like something got released inside of me that woke me up.
It keeps happening when I’m near sleep. I finally got up and grabbed a pulse ox I keep around in case of panic attacks to remind myself I’m still getting air and my normally 98-100 o2 was 95 and my pulse was 110 but weird. Like skipping beats weird. 
I was trying to stay out of the hospital as much as possible and happen to have a friend who’s an epidemiologist so I reached out and long story short ended up getting tested. 
I haven’t seen a lot of talk about cardio symptoms in here though so I was curious if anyone else has dealt with them?? 
Also what can I take for cheat pain??</t>
        </is>
      </c>
      <c r="D146" t="n">
        <v>1</v>
      </c>
      <c r="E146" t="n">
        <v>16</v>
      </c>
      <c r="F146">
        <f>HYPERLINK("https://www.reddit.com/r/COVID19positive/comments/frqewf/cardio_vascular_symptoms/")</f>
        <v/>
      </c>
      <c r="G146" t="inlineStr">
        <is>
          <t>2020-03-30 06:04:06</t>
        </is>
      </c>
      <c r="H146" t="inlineStr">
        <is>
          <t>Tested Positive - Me</t>
        </is>
      </c>
    </row>
    <row r="147">
      <c r="A147" t="inlineStr">
        <is>
          <t>frrw71</t>
        </is>
      </c>
      <c r="B147" t="inlineStr">
        <is>
          <t>Friends dad has tested positive</t>
        </is>
      </c>
      <c r="C147" t="inlineStr">
        <is>
          <t>My friends dad, who he lives with, has tested positive for corona virus, and so far so good. It does not look like he will need to be hospitalized. However my friend has something I need to pick up from and I’m wondering if there is any safe way to do this. We were talking about him putting it in the mailbox and my spraying it with Lysol before picking it up with gloves and putting it into a bag. Any advice from someone more knowledgeable would be greatly appreciated.</t>
        </is>
      </c>
      <c r="D147" t="n">
        <v>1</v>
      </c>
      <c r="E147" t="n">
        <v>22</v>
      </c>
      <c r="F147">
        <f>HYPERLINK("https://www.reddit.com/r/COVID19positive/comments/frrw71/friends_dad_has_tested_positive/")</f>
        <v/>
      </c>
      <c r="G147" t="inlineStr">
        <is>
          <t>2020-03-30 07:35:22</t>
        </is>
      </c>
      <c r="H147" t="inlineStr">
        <is>
          <t>Tested Positive - Friends</t>
        </is>
      </c>
    </row>
    <row r="148">
      <c r="A148" t="inlineStr">
        <is>
          <t>fruo0a</t>
        </is>
      </c>
      <c r="B148" t="inlineStr">
        <is>
          <t>27/F Mild Symptom Journal Presumed Positive</t>
        </is>
      </c>
      <c r="C148" t="inlineStr">
        <is>
          <t>Hello! I am presumed positive as my FIL is a dr and some of his coworkers have tested positive.
About me:
Wisconsin
27 F 
5’8 150 LBs
No medications
I have Hashimotos (not hypo yet) and POTs that are both well controlled
Non-Smoker + run 3 miles 4x a week + heavy weight lift
Symptoms: 
Symptoms Started somewhere around March 16 - 18th
First Day - Mainly just runny nose, post-nasal drip and sinus pain.
Third Day - I thought it was allergies, so kept running. My running times increased by a minute. 
Later on the third day I had really bad, deep all over body aches. I also had a temp of 99.8.
4th-7th Day - All over body aches. Still has sinus issues. Also really bad headaches that were mainly at the base of my skull. Lower energy levels.
8th-10th - Chest tightness and cough developed. Mainly in the morning it’s the worst. Anxiety also makes it really bad...  cough is mostly dry but also feels like I’m dislodging mucus, so kind of productive sometimes. I try to spit out as much crap as possible. SP02 levels are fine (98-100). 
11th - Now - started out with some SOB which is probably related to anxiety + my POTs. Worried about getting worse. My SP02 levels are still fine.
My chest tightness is gone. I just feel congested a bit still. My energy levels are coming back up. I don’t feel as good as I did last month, but I’m coming around. 
I felt good enough to do a little dumbbell routine yesterday. I was a little more out of breath than normal. 
What Helped:
Hot steamy showers in the morning followed by pacing around my apartment. Chest tightness/congestion worse in the morning. I had a morning ritual of this where I tried to get as much mucus out as possible.
The only things I took was Emergency-C, Melatonin and NyQuil 1 night when I ran out of melatonin. 
I stopped running for the last 1.5 weeks. Staying active has really helped.
To relieve my anxiety, I read books, listened to calm music and started working on my flexibility. Also got off refreshing the Coronavirus subreddit. Having health anxiety makes my symptoms feel worse. 
TLDR - presumed positive. Mild symptoms that are slowly starting  to resolve after ~two weeks. Do your part. I can see how this could hit someone with poorer health hard</t>
        </is>
      </c>
      <c r="D148" t="n">
        <v>1</v>
      </c>
      <c r="E148" t="n">
        <v>5</v>
      </c>
      <c r="F148">
        <f>HYPERLINK("https://www.reddit.com/r/COVID19positive/comments/fruo0a/27f_mild_symptom_journal_presumed_positive/")</f>
        <v/>
      </c>
      <c r="G148" t="inlineStr">
        <is>
          <t>2020-03-30 10:05:41</t>
        </is>
      </c>
      <c r="H148" t="inlineStr">
        <is>
          <t>Tested Positive - Friends</t>
        </is>
      </c>
    </row>
    <row r="149">
      <c r="A149" t="inlineStr">
        <is>
          <t>frv5k4</t>
        </is>
      </c>
      <c r="B149" t="inlineStr">
        <is>
          <t>URGENT: DONOR NEEDED (IF YOU RECOVERED FROM COVID-19 YOUR HELP WILL BE GREATFUL)</t>
        </is>
      </c>
      <c r="C149" t="inlineStr">
        <is>
          <t>Posting on their behalf!
Dearest Family, friends, and well-wishers,
It is my fervent prayer that you’re all taking care of each other and protecting yourselves during these trying times. It is with despair and intense anxiety that I share the trauma that my family is undergoing right now. My beloved husband, Rohan, has been severely stricken with the dreaded Covid 19. He is desperately ill and has been hospitalized for the past week. His condition is dire. I want so much to have him return home to me and our three beautiful young children, all of who are under eight years of age. 
On behalf of my babies and me, I urgently request the support of the community in helping him make a full recovery. We are looking for a plasma donor with blood group A or AB. The donor cannot be currently actively infected (must have recovered). 
&amp;amp;#x200B;
The ideal donor is someone that has recovered from COVID-19 infection in the last two weeks and is willing to donate plasma. We will be forever grateful!
&amp;amp;#x200B;
Please contact Bhushan at 208.313.1480 OR Sandesh at 832. 623.3657 if you are a possible candidate.</t>
        </is>
      </c>
      <c r="D149" t="n">
        <v>1</v>
      </c>
      <c r="E149" t="n">
        <v>7</v>
      </c>
      <c r="F149">
        <f>HYPERLINK("https://www.reddit.com/r/COVID19positive/comments/frv5k4/urgent_donor_needed_if_you_recovered_from_covid19/")</f>
        <v/>
      </c>
      <c r="G149" t="inlineStr">
        <is>
          <t>2020-03-30 10:31:34</t>
        </is>
      </c>
      <c r="H149" t="inlineStr">
        <is>
          <t>Tested Positive</t>
        </is>
      </c>
    </row>
    <row r="150">
      <c r="A150" t="inlineStr">
        <is>
          <t>frv8bf</t>
        </is>
      </c>
      <c r="B150" t="inlineStr">
        <is>
          <t>Father Intubated Since Thursday March 26</t>
        </is>
      </c>
      <c r="C150" t="inlineStr">
        <is>
          <t>Excuse formatting as I am on mobile... my father was intubated as of Thursday March 26. During the intubation process, his kidneys stopped receiving blood flow and he suffered renal failure. 
The doctors have been lowering his vent settings, and his oxygen levels in his blood have been increasing which means his body has been able to do more on its own which is a good thing. As of right now, he is undergoing dialysis and the main focus is to get his kidneys back online. Because of the renal failure, his blood pressure has been dropping dangerously low without a constant supply of dopamine. We are on day 4 of this now and just praying for signs of improvement. 
The hardest thing has been not being able to visit. Not being able to hold his hand as he goes through this. I write and drop off letters at the hospital for the nursing staff to read him, so that he knows he is not alone. I know he can hear those letters even in his sedated state. 
All we can do is pray now, just pray that we may see him again.</t>
        </is>
      </c>
      <c r="D150" t="n">
        <v>1</v>
      </c>
      <c r="E150" t="n">
        <v>92</v>
      </c>
      <c r="F150">
        <f>HYPERLINK("https://www.reddit.com/r/COVID19positive/comments/frv8bf/father_intubated_since_thursday_march_26/")</f>
        <v/>
      </c>
      <c r="G150" t="inlineStr">
        <is>
          <t>2020-03-30 10:35:37</t>
        </is>
      </c>
      <c r="H150" t="inlineStr">
        <is>
          <t>Tested Positive - Family</t>
        </is>
      </c>
    </row>
    <row r="151">
      <c r="A151" t="inlineStr">
        <is>
          <t>frwmm4</t>
        </is>
      </c>
      <c r="B151" t="inlineStr">
        <is>
          <t>Testing frustration</t>
        </is>
      </c>
      <c r="C151" t="inlineStr">
        <is>
          <t>So I went to urgent care today and told them my symptoms, most annoying of which has been my chest tightness/pain. I have no fever but have a cough, headache, muscle aches fatigue. I told them my symptoms and they said I have anxiety induced acid reflux. Definitely dont have that cause I know what acid reflux feels like.
My boyfriend went in yesterday and got tested. His only symptoms were fatigue cough and fever. His test just came back positive. 
Now the doctors are saying I can come in to get a test since I've been exposed (share a room with him/kissing etc). But I'm pretty frustrated since they didnt take my symptoms seriously to begin with and just told me I'm having anxiety and sent me away. I get that they want to test people who are most severe but I'm upset that he was taken seriously and I was just called anxious.
Anyone else not have their symptoms taken seriously or is it just me? 😔</t>
        </is>
      </c>
      <c r="D151" t="n">
        <v>1</v>
      </c>
      <c r="E151" t="n">
        <v>10</v>
      </c>
      <c r="F151">
        <f>HYPERLINK("https://www.reddit.com/r/COVID19positive/comments/frwmm4/testing_frustration/")</f>
        <v/>
      </c>
      <c r="G151" t="inlineStr">
        <is>
          <t>2020-03-30 11:48:53</t>
        </is>
      </c>
      <c r="H151" t="inlineStr">
        <is>
          <t>Tested Positive - Friends</t>
        </is>
      </c>
    </row>
    <row r="152">
      <c r="A152" t="inlineStr">
        <is>
          <t>fryp3h</t>
        </is>
      </c>
      <c r="B152" t="inlineStr">
        <is>
          <t>Does anyone else feel this?</t>
        </is>
      </c>
      <c r="C152" t="inlineStr">
        <is>
          <t>Hi, I’m 21F and I’m at the end of my 2 weeks. I’m okay. I was lucky enough not to have too severe symptoms for long. I was also lucky enough to not infect anyone else as far as I know. 
When my quarantine is up and I’m “safe”, I’ll be afraid to go out. I know that generally you’re not contagious after you’re done with your sick time, but we don’t have too much info on this thing. 
I live in a retirement community with my mom. I don’t want to hurt any of them. I don’t want to see my friends and hurt them. I don’t want to be harmful. 
When I got the news that I was positive, and I told my family, they all acted like I was this big bad monster. As if I was some menace to society. 
I haven’t gone outside. At all. I’m terrified. 
I’m not sure what I’ll do when I’m able to go outside. 
I just don’t want to hurt anyone. 
I just need to know if anyone else relates? 
I’m scared and no one I know understands.</t>
        </is>
      </c>
      <c r="D152" t="n">
        <v>1</v>
      </c>
      <c r="E152" t="n">
        <v>45</v>
      </c>
      <c r="F152">
        <f>HYPERLINK("https://www.reddit.com/r/COVID19positive/comments/fryp3h/does_anyone_else_feel_this/")</f>
        <v/>
      </c>
      <c r="G152" t="inlineStr">
        <is>
          <t>2020-03-30 13:34:56</t>
        </is>
      </c>
      <c r="H152" t="inlineStr">
        <is>
          <t>Tested Positive - Me</t>
        </is>
      </c>
    </row>
    <row r="153">
      <c r="A153" t="inlineStr">
        <is>
          <t>fryvql</t>
        </is>
      </c>
      <c r="B153" t="inlineStr">
        <is>
          <t>Boyfriend (31) tested positive, I'm (27) presumed positive and I am having a rough time.</t>
        </is>
      </c>
      <c r="C153" t="inlineStr">
        <is>
          <t>So my boyfriend (31) is from S. Korea and was in America before the outbreak in Korea in Feb. He left on the 22nd, and got into Korea on the 23rd. He tested positive on the 24th, and told me he had been feeling symptoms since the 20th. So this was about day 4 for him.
I started having symptoms the 22nd and thought it was related to my allergies. We don't know where we would have got it, as we were not going out, and washing our hands, and I wiped everything down constantly. I think my mom may have been positive, because she was traveling and had a cough and the tell tale signs a week before we started having symptoms (and was originally diagnosed bronchitis but the doctor has since said she probably had it). 
For me my symptoms have been pretty mild but today (day 8) I feel awful. 
Day 1-2: Body aches everywhere. I had the chills, my temp only ever got up to 99.   
My boyfriend had similar symptoms but his fever peaked on and off for three-four days. He had really bad body aches and night sweats. 
Day 3-4: Like I said my BF had fever, his doctor said his condition wasn't that bad, but he said he had difficulty breathing so that they would check his lungs. He was transferred to a hospital in Korea as a moderate patient. (From what I've read asymptomatic people download an app and have to quarantine for two weeks and record their symptoms, apparently it also tracks their movements in case they end up getting sick, and people with mild symptoms are observed for one to two weeks in a healthcare center. They have to test negative for Covid-19 twice before they are released). 
On my side of the deck, I emailed my PCP and she said that I can't get a test because my symptoms are considered mild, but to make sure I watch my symptoms and if I can't control my fever, or have a hard time breathing to call and see where I should go from there, and to just assume that I have it.  
I was mostly just having some congestion with no runny nose in front of my face, the runs, feeling fatigued, and headaches. 54
Day 5-6: I started to have panic attacks. I wasn't really hearing from my boyfriend and got really scared, he eventually messaged my back and said that he is really tired, but hasn't needed ventilation or anything. I'm doing a little better. 
Day 7-8: I've had a down turn. The runs are back, I had chills again and feel lethargic, but no fever. 
My bf says that he is recovering but is really tired and doesn't want to talk to anyone, and it's been two days since I've heard from him and it is kind of wrecking me. We've gone a few days without talking before, but with him being in the hospital it is so scary. 
I know I should be taking care of myself, but I am so worried, and found out after he left that he started smoking again, and I am really so upset and sad that he put himself in the position to get a more severe illness. He is technically on day 10 of his illness and day 6 of his hospital stay and I read that the average time for patients to be in the hospital is 10-14 days for moderate cases. But I am freaking out, and I just want to check on him but I can't do anything, and if he dies I will just never know because his parents are old and don't use cellphones. I can't help but think of the worst case scenario. I feel so guilty that I am having a hard time, when he is all alone in a hospital by himself, probably so scared and sick. 
From what he has briefly told me, as soon as he entered the hospital he was being treated with HIV medication, and it seems like Korea has been doing that to all of their patients who enter the hospital. I don't think he has a breathing mask or is on a ventilator at least up until two days ago. He could be now, I just don't know. He has also been getting fluids and meals, and that's about all I know. When we last talked he said he is recovering. 
I'm hoping I will get some news sometime this week or next week as his 14 day mark is on the 3rd and that's when I read most people start getting better, but I just don't know and I'm so scared, and we had a really rough month and I just want him to know I love him so much. I wish there was something more I could do, but I know there isn't and it really sucks. 
COVID-19 is a bitch that ruins lives. I find myself crying a lot and feeling so overwhelmed, and I really miss my BF, and I just feel guilty because he is all alone, and sick. 
Sorry this was so long, and has typos. I just needed to get everything out, and everyone keeps telling me I need to do things for myself, but I just can't function at the moment.</t>
        </is>
      </c>
      <c r="D153" t="n">
        <v>1</v>
      </c>
      <c r="E153" t="n">
        <v>10</v>
      </c>
      <c r="F153">
        <f>HYPERLINK("https://www.reddit.com/r/COVID19positive/comments/fryvql/boyfriend_31_tested_positive_im_27_presumed/")</f>
        <v/>
      </c>
      <c r="G153" t="inlineStr">
        <is>
          <t>2020-03-30 13:45:01</t>
        </is>
      </c>
      <c r="H153" t="inlineStr">
        <is>
          <t>Tested Positive - Family</t>
        </is>
      </c>
    </row>
    <row r="154">
      <c r="A154" t="inlineStr">
        <is>
          <t>frz9zi</t>
        </is>
      </c>
      <c r="B154" t="inlineStr">
        <is>
          <t>My (25M) experience with COVID19</t>
        </is>
      </c>
      <c r="C154" t="inlineStr">
        <is>
          <t>Hey everyone, I’m a healthy, 25YO male, and I’m posting my symptom log for you all to study. I was tested on my 3rd day of symptoms and was confirmed positive. Biggest red flag for me was the extreme fatigue, high HR, and constant feeling of being out of breath. I’m an Ironman triathlete, so when I say I was out of breath, just imagine how your parents/grandparents would feel! 
I think it’s important to share that the fatigue really keyed me into being unwell, as most coverage of the symptoms seems to focus on fever/cough (which really didn’t develop for me until day 3). Please be cautious during these early days, and if you develop fatigue don’t automatically attribute it to a poor night’s sleep/hangover/etc. Listen to your body and let things develop (or not develop) before you think you’ve been infected - you could be infecting others! 
Covid symptoms 
Sunday- 3/22
- Fine though day, no apparent symptoms
- Go to bed ~2330, fall right asleep (odd, usually toss and turn for what feels like an hour)
Mon 3/23 
- Hot flashes and fits of sweating O/N, but able to cool relatively quickly and fall right back asleep. Odd, usually stay awake for a while
- very vivid and bizarre dreams, as well as recurrence of intermittent sleep paralysis - worst bout I can remember
- Slept through hours of alarms and immediately feel fatigued and worn out when I got out of bed ~1030
- Morning temperature only 97.5°, but severe body aches prompt me to start taking acetaminophen 
- No appetite, no coffee, unable to walk downstairs, so I stay in bed. Fall back asleep around 1200 and sleep until 1500. Wake up extremely hot, sweaty, irritable. 
- Fall back asleep around 1600 and sleep until 1830
- Mild sore throat, no appetite all day
- Temp before bed 98.8° Take NyQuil around 2230 and I fall immediately asleep. Sleep through the night with no hot flashes like last night
Tuesday 3/24
- sleep through several alarms, still groggy and drowsy when I get out of bed. 98.8°
- One side of throat still sore
- Legs are painfully achey, still way tired
- Diarrhea begins
- Still no appetite
- Temp 98.8° throughout the whole day
- Started to notice a severe shortness of breath even just moving around. HR way highly when climbing flight of stairs, and stays elevated for way longer than it should 
Wednesday 3/25
- Slept through the night, morning temp 99°
- Get out of bed still exhausted and sore, make it downstairs. Temp 100.4°F
- Start to develop more persistent dry cough
- Gasping yawns in fits of 8-10 in rapid succession
- Rest on couch until early afternoon swab test
- Return home, Not as febrile but still exhausted. Lay down ~1430 for afternoon nap. Resting HR between 80-90bpm. Normally 48-52bpm. 
- temp 99°
Thursday 3/26
- wake up several times throughout the night with coughing fits, gasping for air
- Toss and turn a bit, but fall back asleep
- Again, more bizarre and vivid fever dreams
- Morning temp 99.5°
- Not as tired as past days
- Drink smoothie around noon, start to notice reduced taste
- Reduced fatigue, increased cough
- Tightness across chest
- Cough turned productive, feared pneumonia/atelectosis, so I walked around the neighborhood a bit to clear out lungs and breathe fresh air
Friday 3/27
- Morning temp 99°, reduced fatigue but still coughing and out of breath. 
- Cough is no longer productive (think yesterday’s walk helped) 
Saturday 3/28 - Monday 3/30
- temp 98°
- All symptoms still present, but much more mild</t>
        </is>
      </c>
      <c r="D154" t="n">
        <v>1</v>
      </c>
      <c r="E154" t="n">
        <v>50</v>
      </c>
      <c r="F154">
        <f>HYPERLINK("https://www.reddit.com/r/COVID19positive/comments/frz9zi/my_25m_experience_with_covid19/")</f>
        <v/>
      </c>
      <c r="G154" t="inlineStr">
        <is>
          <t>2020-03-30 14:07:12</t>
        </is>
      </c>
      <c r="H154" t="inlineStr">
        <is>
          <t>Tested Positive - Me</t>
        </is>
      </c>
    </row>
    <row r="155">
      <c r="A155" t="inlineStr">
        <is>
          <t>fs03jq</t>
        </is>
      </c>
      <c r="B155" t="inlineStr">
        <is>
          <t>Recovered and skin rash on chest</t>
        </is>
      </c>
      <c r="C155" t="inlineStr">
        <is>
          <t>Does anyone else who is recovered has skin problems on chest and shoulders? Pimples that turn into little blood cloths. Which then start to be itchy a little bit. 
Thought it is really weird, maybe related to sweat glands being in overdrive for a couple of days during illness. Wondering if I'm the only one.</t>
        </is>
      </c>
      <c r="D155" t="n">
        <v>1</v>
      </c>
      <c r="E155" t="n">
        <v>8</v>
      </c>
      <c r="F155">
        <f>HYPERLINK("https://www.reddit.com/r/COVID19positive/comments/fs03jq/recovered_and_skin_rash_on_chest/")</f>
        <v/>
      </c>
      <c r="G155" t="inlineStr">
        <is>
          <t>2020-03-30 14:51:56</t>
        </is>
      </c>
      <c r="H155" t="inlineStr">
        <is>
          <t>Tested Positive - Me</t>
        </is>
      </c>
    </row>
    <row r="156">
      <c r="A156" t="inlineStr">
        <is>
          <t>fs1235</t>
        </is>
      </c>
      <c r="B156" t="inlineStr">
        <is>
          <t>Have covid, anyone else getting terrible chest pains? I keep waking up in the middle of the night paranoid that I'm having a heart attack.</t>
        </is>
      </c>
      <c r="C156" t="inlineStr">
        <is>
          <t>Everyone in my house has been infected (friend tested positive and is in ICU). My case isn't severe enough to require hospitalization, but it's extremely miserable and feels like I'm not far off from reaching that point. The chest pains are the worst though. I know my anxiety is definitely not helping, but it's gotten to a point where I can't sleep either due to being hard to breathe or waking up with chest pain/pressure. I'm not sure how to gauge what's severe enough to make an emergency call since I've never had chest pains, though. I have a prescription for stimulant based medication that I now am too paranoid to take, and it's been a nightmare dealing with this awful virus without it.</t>
        </is>
      </c>
      <c r="D156" t="n">
        <v>1</v>
      </c>
      <c r="E156" t="n">
        <v>30</v>
      </c>
      <c r="F156">
        <f>HYPERLINK("https://www.reddit.com/r/COVID19positive/comments/fs1235/have_covid_anyone_else_getting_terrible_chest/")</f>
        <v/>
      </c>
      <c r="G156" t="inlineStr">
        <is>
          <t>2020-03-30 15:44:11</t>
        </is>
      </c>
      <c r="H156" t="inlineStr">
        <is>
          <t>Tested Positive - Family</t>
        </is>
      </c>
    </row>
    <row r="157">
      <c r="A157" t="inlineStr">
        <is>
          <t>fs1qod</t>
        </is>
      </c>
      <c r="B157" t="inlineStr">
        <is>
          <t>Im on day 5 of symptoms and developing huge hives. I think I'm allergic to Coronavirus. Quarantined at home. Does/did anyone else have this?</t>
        </is>
      </c>
      <c r="C157" t="inlineStr">
        <is>
          <t>Taking Benadryl.  I heard days 5-8 are critical and that's where I'm at...scared.</t>
        </is>
      </c>
      <c r="D157" t="n">
        <v>1</v>
      </c>
      <c r="E157" t="n">
        <v>34</v>
      </c>
      <c r="F157">
        <f>HYPERLINK("https://www.reddit.com/r/COVID19positive/comments/fs1qod/im_on_day_5_of_symptoms_and_developing_huge_hives/")</f>
        <v/>
      </c>
      <c r="G157" t="inlineStr">
        <is>
          <t>2020-03-30 16:25:59</t>
        </is>
      </c>
      <c r="H157" t="inlineStr">
        <is>
          <t>Tested Positive - Me</t>
        </is>
      </c>
    </row>
    <row r="158">
      <c r="A158" t="inlineStr">
        <is>
          <t>fs2gy8</t>
        </is>
      </c>
      <c r="B158" t="inlineStr">
        <is>
          <t>Presumed positive day 11</t>
        </is>
      </c>
      <c r="C158" t="inlineStr">
        <is>
          <t>30/f/b+/30 lbs over weight
I don't really feel sick; normal 
When healthy daily temp range 97.2-98.2
Progression:
Friday: 12 pm spike fever and body aches, diarrhea, nausea
Saturday: temp drops below 100, diarrhea continues all other symptoms resolved
Sunday: temp remains in 99, diarrhea continues
Monday: temp bouncing was between 98.6-99.4, no more diarrhea, .5 above normal on average
Tuesday: temp still slightly elevated, took tamiflu before bed .7 above normal on average
Wednesday: woke up at 3 am with nausea, took zofran, temp is .6 above normal on average low grade fever above 99 all day maxing out at 99.7  , some nausea, chest pains sharp and stabbing
Thursday: ok day slight fever, chest pains, woke up at 2 am throwing up through zofran and promethazine 
Friday: feeling better but fatigued temp still elevated chest pains continue; got a test this day
Saturday and Sunday: temp returns to normal feel a little better
Monday (today): fevers back maxing out at 99.9 so far, chest pain in worse 
Whole time slight shortness of breath and chest pains I’m having trouble determining if this is allergies and anxiety or something concerning
I’m scared I have written a goodbye letter to my 19 mo daughter</t>
        </is>
      </c>
      <c r="D158" t="n">
        <v>1</v>
      </c>
      <c r="E158" t="n">
        <v>18</v>
      </c>
      <c r="F158">
        <f>HYPERLINK("https://www.reddit.com/r/COVID19positive/comments/fs2gy8/presumed_positive_day_11/")</f>
        <v/>
      </c>
      <c r="G158" t="inlineStr">
        <is>
          <t>2020-03-30 17:10:06</t>
        </is>
      </c>
      <c r="H158" t="inlineStr">
        <is>
          <t>Tested Positive - Me</t>
        </is>
      </c>
    </row>
    <row r="159">
      <c r="A159" t="inlineStr">
        <is>
          <t>fs2pl0</t>
        </is>
      </c>
      <c r="B159" t="inlineStr">
        <is>
          <t>Exhausted but can’t sleep - please help :(</t>
        </is>
      </c>
      <c r="C159" t="inlineStr">
        <is>
          <t>Hi guys, 25F here. I didn’t sleep at all last night and my body is absolutely exhausted. Was trying to nap just now and it seems impossible but I know I need rest.
I have some shortness of breath issues (and major anxiety) and whenever I’m on the brink of sleeping, my body jolts itself awake because I have to take a breath. My heart pounds and I wake up.
I have no idea how to solve this. I wanna take Benadryl or something but I also don’t want to be so passed out that I don’t remember to breathe.
Anyone dealt with this and/or can offer some advice? I’d love that. I’m just so exhausted but cannot sleep.</t>
        </is>
      </c>
      <c r="D159" t="n">
        <v>1</v>
      </c>
      <c r="E159" t="n">
        <v>27</v>
      </c>
      <c r="F159">
        <f>HYPERLINK("https://www.reddit.com/r/COVID19positive/comments/fs2pl0/exhausted_but_cant_sleep_please_help/")</f>
        <v/>
      </c>
      <c r="G159" t="inlineStr">
        <is>
          <t>2020-03-30 17:25:17</t>
        </is>
      </c>
      <c r="H159" t="inlineStr">
        <is>
          <t>Tested Positive - Me</t>
        </is>
      </c>
    </row>
    <row r="160">
      <c r="A160" t="inlineStr">
        <is>
          <t>fs2ztu</t>
        </is>
      </c>
      <c r="B160" t="inlineStr">
        <is>
          <t>Did anyone have to go icu</t>
        </is>
      </c>
      <c r="C160" t="inlineStr">
        <is>
          <t>I have a loved one in their fifties currently at the ICU and I’m petrified that once you go there you’re most likely not to make it. She’s also in her fifties.</t>
        </is>
      </c>
      <c r="D160" t="n">
        <v>1</v>
      </c>
      <c r="E160" t="n">
        <v>2</v>
      </c>
      <c r="F160">
        <f>HYPERLINK("https://www.reddit.com/r/COVID19positive/comments/fs2ztu/did_anyone_have_to_go_icu/")</f>
        <v/>
      </c>
      <c r="G160" t="inlineStr">
        <is>
          <t>2020-03-30 17:42:00</t>
        </is>
      </c>
      <c r="H160" t="inlineStr">
        <is>
          <t>Tested Positive - Family</t>
        </is>
      </c>
    </row>
    <row r="161">
      <c r="A161" t="inlineStr">
        <is>
          <t>fs31jj</t>
        </is>
      </c>
      <c r="B161" t="inlineStr">
        <is>
          <t>The difference between chills and sweats</t>
        </is>
      </c>
      <c r="C161" t="inlineStr">
        <is>
          <t>Physician here (verified on /r/Askdocs)
I seen some confusion on this sub about the meaning of shaking chills and sweats.   There are many diseases characterized by alternating episodes of bone-jarring shaking chills, and bedsheet-soaking drenching sweats.  There's really nothing clearly diagnostic about these symptoms with respect to COVID-19, and many people with not have either symptom with their infection.  But understanding their significance can help you manage them and feel better.
* Shaking chills - don't confuse this symptom with shivering, which is what happens to you when you are cold.  Shaking chills occur when your body is attempting to **INCREASE** its temperature.  The extra muscle activity is very effective at this.  Taking your temp during the chills may not tell you your peak temp, but shortly afterwards will more closely reflect your peak temp.
* Drenching sweats - don't confuse this symptom with the sweating that you do when you exert yourself.  It is not a sign of fever.  Rather this is a sign that your body is trying to return to a normal temp after a period of fever.
Why does this matter?  If you are having shaking chills, you should be taking medications (tylenol, NSAIDS) to suppress them.  Some have thought that your body is more effective at resisting infection when its temp is elevated, but this has never been shown to make a meaningful difference, and suppressing fevers has never been shown to be harmful.  Quite the opposite - fevers are dangerous, and critical cell types do not work well at elevated temps. For the person going through shaking chills, it is just not clinically acceptable to cool the body with alcohol or ice water.  So, the best recourse is antipyretics such as tylenol or NSAIDS.   The manufacturer's recommended dosages are sufficient - no one should exceed these recommendations.
It is important, though, to load up on these medications before an episode of chills - start a regular dosing in advance of chills, not in response to them.
Sweats - welcome them!  They are not pleasant, but your body is returning to normal, and a cool shower not only feels good, but can hasten a return to normal.</t>
        </is>
      </c>
      <c r="D161" t="n">
        <v>1</v>
      </c>
      <c r="E161" t="n">
        <v>45</v>
      </c>
      <c r="F161">
        <f>HYPERLINK("https://www.reddit.com/r/COVID19positive/comments/fs31jj/the_difference_between_chills_and_sweats/")</f>
        <v/>
      </c>
      <c r="G161" t="inlineStr">
        <is>
          <t>2020-03-30 17:44:57</t>
        </is>
      </c>
      <c r="H161" t="inlineStr">
        <is>
          <t>Tested Positive - Me</t>
        </is>
      </c>
    </row>
    <row r="162">
      <c r="A162" t="inlineStr">
        <is>
          <t>fs578k</t>
        </is>
      </c>
      <c r="B162" t="inlineStr">
        <is>
          <t>Mother tested positive - 60 yo</t>
        </is>
      </c>
      <c r="C162" t="inlineStr">
        <is>
          <t>Hi my mother is now 14 days in. She has a on and off mild fever in the 100s and a headache along with malaise and fatigue. No shortness of breath or troubled breathing. Cough does not see to be too severe.
Should I be concerned that the fever is lasting this long?</t>
        </is>
      </c>
      <c r="D162" t="n">
        <v>1</v>
      </c>
      <c r="E162" t="n">
        <v>11</v>
      </c>
      <c r="F162">
        <f>HYPERLINK("https://www.reddit.com/r/COVID19positive/comments/fs578k/mother_tested_positive_60_yo/")</f>
        <v/>
      </c>
      <c r="G162" t="inlineStr">
        <is>
          <t>2020-03-30 20:04:49</t>
        </is>
      </c>
      <c r="H162" t="inlineStr">
        <is>
          <t>Tested Positive - Family</t>
        </is>
      </c>
    </row>
    <row r="163">
      <c r="A163" t="inlineStr">
        <is>
          <t>fs5ed9</t>
        </is>
      </c>
      <c r="B163" t="inlineStr">
        <is>
          <t>Some possible help with Coronavirus</t>
        </is>
      </c>
      <c r="C163" t="inlineStr">
        <is>
          <t>Recently read two new theories on possible coronavirus helpers
1. Zinc - Read lower on the page - The Data on Zinc and Coronaviruses - [https://www.uchealth.org/today/zinc-could-help-diminish-extent-of-covid-19/](https://www.uchealth.org/today/zinc-could-help-diminish-extent-of-covid-19/)
In short it says Zinc messes with the RNA of the virus and worked with a previous coronavirus - Another article says Zinc deficiency symptoms mimic coronavirus and lastly the hydrochloroquine px touted as a possible cure works by pushing zinc into the cells. 
2. Melatonin: Can possibly help slow the cytokine storm [https://www.sciencedirect.com/science/article/pii/S0024320520303313](https://www.sciencedirect.com/science/article/pii/S0024320520303313)I read 1.5 mg every few hours after 3 PM
Both of the above are available in almost any grocery or drug store</t>
        </is>
      </c>
      <c r="D163" t="n">
        <v>1</v>
      </c>
      <c r="E163" t="n">
        <v>5</v>
      </c>
      <c r="F163">
        <f>HYPERLINK("https://www.reddit.com/r/COVID19positive/comments/fs5ed9/some_possible_help_with_coronavirus/")</f>
        <v/>
      </c>
      <c r="G163" t="inlineStr">
        <is>
          <t>2020-03-30 20:18:34</t>
        </is>
      </c>
      <c r="H163" t="inlineStr">
        <is>
          <t>Tested Positive - Friends</t>
        </is>
      </c>
    </row>
    <row r="164">
      <c r="A164" t="inlineStr">
        <is>
          <t>fs5utd</t>
        </is>
      </c>
      <c r="B164" t="inlineStr">
        <is>
          <t>My partner is presumed positive (unable to be tested) and I’m unsure if I should isolate</t>
        </is>
      </c>
      <c r="C164" t="inlineStr">
        <is>
          <t>Three days ago his symptoms rapidly came on. 103 fever and a consistent cough to now constant cough that has caused him to lose his voice. He hadn’t been out in 5 days since his symptoms began and out area isn’t necessarily considered to have a major outbreak, but the entire metropolitan area is only testing those high risk or hospitalized so who knows how bad it really is. I last saw him exactly two weeks before his symptoms came on and now it’s been 17 days since I last saw him and I have no symptoms. I’ve been staying in just to be safe, but now that it’s been over two weeks and I don’t have any symptoms would it be reasonable to assume that I am safe to go to the grocery store and stop a full on quarantine (still social distancing as anybody should)?</t>
        </is>
      </c>
      <c r="D164" t="n">
        <v>1</v>
      </c>
      <c r="E164" t="n">
        <v>7</v>
      </c>
      <c r="F164">
        <f>HYPERLINK("https://www.reddit.com/r/COVID19positive/comments/fs5utd/my_partner_is_presumed_positive_unable_to_be/")</f>
        <v/>
      </c>
      <c r="G164" t="inlineStr">
        <is>
          <t>2020-03-30 20:51:13</t>
        </is>
      </c>
      <c r="H164" t="inlineStr">
        <is>
          <t>Tested Positive - Friends</t>
        </is>
      </c>
    </row>
    <row r="165">
      <c r="A165" t="inlineStr">
        <is>
          <t>fs6p61</t>
        </is>
      </c>
      <c r="B165" t="inlineStr">
        <is>
          <t>ANYBODY CONFIRMED POSITIVE/SUSPECTED PLEASE WATCH! COULD SAVE LIVES!</t>
        </is>
      </c>
      <c r="C165" t="inlineStr">
        <is>
          <t>[Coronavirus Citrus Remedy](https://twitter.com/yagiirlalyssaaa/status/1244679398177021952?s=21)</t>
        </is>
      </c>
      <c r="D165" t="n">
        <v>1</v>
      </c>
      <c r="E165" t="n">
        <v>3</v>
      </c>
      <c r="F165">
        <f>HYPERLINK("https://www.reddit.com/r/COVID19positive/comments/fs6p61/anybody_confirmed_positivesuspected_please_watch/")</f>
        <v/>
      </c>
      <c r="G165" t="inlineStr">
        <is>
          <t>2020-03-30 21:52:56</t>
        </is>
      </c>
      <c r="H165" t="inlineStr">
        <is>
          <t>Tested Positive</t>
        </is>
      </c>
    </row>
    <row r="166">
      <c r="A166" t="inlineStr">
        <is>
          <t>fs7za9</t>
        </is>
      </c>
      <c r="B166" t="inlineStr">
        <is>
          <t>Does anyone know why?</t>
        </is>
      </c>
      <c r="C166" t="inlineStr">
        <is>
          <t>Why did I get fairly mild yet still scary symptoms and a colleague of mine ended up with an induced coma and collapsed lung? Did we get hit by different strains? Or did we both have the same virus and I dealt with it better? And if so does anyone know why my body fared better than his?</t>
        </is>
      </c>
      <c r="D166" t="n">
        <v>1</v>
      </c>
      <c r="E166" t="n">
        <v>22</v>
      </c>
      <c r="F166">
        <f>HYPERLINK("https://www.reddit.com/r/COVID19positive/comments/fs7za9/does_anyone_know_why/")</f>
        <v/>
      </c>
      <c r="G166" t="inlineStr">
        <is>
          <t>2020-03-30 23:37:42</t>
        </is>
      </c>
      <c r="H166" t="inlineStr">
        <is>
          <t>Tested Positive - Me</t>
        </is>
      </c>
    </row>
    <row r="167">
      <c r="A167" t="inlineStr">
        <is>
          <t>fs90h7</t>
        </is>
      </c>
      <c r="B167" t="inlineStr">
        <is>
          <t>Round 2</t>
        </is>
      </c>
      <c r="C167" t="inlineStr">
        <is>
          <t>I live with my partner who is a nurse in the uk, district nurse, so not only does she go to work by London's underground, she's in and out of patients houses which is a recipe for disaster.
Guess what? That disaster has now happened but in this case caused by another member of staff who knew she had then came i to work and infected the rest of the team.
The infection lasted about a week then I got better.
I'm the sort who doesn't like to be beaten so I'll charge around the house doing all kinds of maintenance, painting , fixing things, anything, just as long as i'm occupied and not thinking about.
4 days free of recovering from it and now its back again.
Can hardly move from muscle fatigue, extreme headache, tingling in fingers.
So if you do have it and recover hold off that bottle of champagne for at least 1.5 weeks.</t>
        </is>
      </c>
      <c r="D167" t="n">
        <v>1</v>
      </c>
      <c r="E167" t="n">
        <v>69</v>
      </c>
      <c r="F167">
        <f>HYPERLINK("https://www.reddit.com/r/COVID19positive/comments/fs90h7/round_2/")</f>
        <v/>
      </c>
      <c r="G167" t="inlineStr">
        <is>
          <t>2020-03-31 01:07:26</t>
        </is>
      </c>
      <c r="H167" t="inlineStr">
        <is>
          <t>Tested Positive - Me</t>
        </is>
      </c>
    </row>
    <row r="168">
      <c r="A168" t="inlineStr">
        <is>
          <t>fsacxg</t>
        </is>
      </c>
      <c r="B168" t="inlineStr">
        <is>
          <t>Steps dad dad has the virus</t>
        </is>
      </c>
      <c r="C168" t="inlineStr">
        <is>
          <t>My step dads has the virus I was In contact with my step dad a week and half ago and the past three days I’ve been ill I’ve been posting my symptoms on here now I’m freaking out he’s 86 he’s actually ok atm he’s had a fever and has been delerious but now he’s okay I currently feel unwell hot sweaty head ache chest tightest ache in left side body aches today is day 3 dioreah stopped today but previous two days I had dioreah day one was sickness and dioreah my body feels like all my pores are sweating I am 31 no spleen</t>
        </is>
      </c>
      <c r="D168" t="n">
        <v>1</v>
      </c>
      <c r="E168" t="n">
        <v>2</v>
      </c>
      <c r="F168">
        <f>HYPERLINK("https://www.reddit.com/r/COVID19positive/comments/fsacxg/steps_dad_dad_has_the_virus/")</f>
        <v/>
      </c>
      <c r="G168" t="inlineStr">
        <is>
          <t>2020-03-31 03:10:20</t>
        </is>
      </c>
      <c r="H168" t="inlineStr">
        <is>
          <t>Tested Positive - Family</t>
        </is>
      </c>
    </row>
    <row r="169">
      <c r="A169" t="inlineStr">
        <is>
          <t>fsath1</t>
        </is>
      </c>
      <c r="B169" t="inlineStr">
        <is>
          <t>Pretty sure I have it, documentation of my symptoms - assumed positive 30s M, no pre-existing conditions</t>
        </is>
      </c>
      <c r="C169" t="inlineStr">
        <is>
          <t>Sitting here at 6:30 AM after being up all night unable to sleep due to breathing difficulties.  Had it this bad last night too, but eventually was able to fall asleep at like 8 AM until about 7 PM.  
Woke up last Monday with a scratchy throat and inability to catch my breath - biggest symptom was extreme tiredness and fatigue - I woke up after 12 hours and felt like I had not gotten any rest at all and went back to sleep.  Spent about 15 hours total sleeping, still felt extremely tired.  Had a \~100.5F fever that evening, but it subsided within an hour.  Called my doctor who advised me to stay quarantined for 14 days.  I live with my father in his 60's so very worried about him getting ill, but they would not give either of us a test and said to stay home and don't come to the hospital unless it is a life-threatening emergency.
Most symptoms have been relatively minor and are transient - they are at their worst in the very late night/early mornings, where it feels like I can't fully catch my breath, but today and yesterday had no symptoms at all mid-day besides minor shortness of breath and minor spurts of pain in my chest when I move suddenly or lie on my side.  Very minor cough, subtle headaches behind my eyes, and an 'acid reflux' kind of feeling, but the cough is very dry - there is no mucus or phlegm like when I normally cough, which was my first sign that something was really wrong.  Tonight has been the worst so far in terms of breathing difficulties.  Small tickle in the back of my throat, and breathing was mostly fine today until about 1 AM.  Debated going to the emergency room around 4 but decided not to go.  
I am worried that my father will come to the hospital too, and if he's not already infected from me, he will get infected from the germs in the hospital - and from what I understand there isn't much they can do other than put you on a ventilator if you're about to die.   It's weird because I know I'm sick but I've never felt like this before - everyone in my family is trying to say it's allergies or a cold, but there is no phlegm from a cough, and being unable to get a satisfying breath is so annoying.  The worst part is that you feel completely fine for some parts of the day to the point you think you're over it - then it hits you like a truck in late night/early morning.  It also feels like because of what we've seen in the news, it should be way worse with constant pain and coughing, but for me, it is really just an overwhelming feeling of tiredness.  I can see this getting very bad very quickly though, since I am having to take pretty deep breaths and still don't feel satisfied from it.
Be safe, all.</t>
        </is>
      </c>
      <c r="D169" t="n">
        <v>1</v>
      </c>
      <c r="E169" t="n">
        <v>6</v>
      </c>
      <c r="F169">
        <f>HYPERLINK("https://www.reddit.com/r/COVID19positive/comments/fsath1/pretty_sure_i_have_it_documentation_of_my/")</f>
        <v/>
      </c>
      <c r="G169" t="inlineStr">
        <is>
          <t>2020-03-31 03:50:39</t>
        </is>
      </c>
      <c r="H169" t="inlineStr">
        <is>
          <t>Tested Positive - Me</t>
        </is>
      </c>
    </row>
    <row r="170">
      <c r="A170" t="inlineStr">
        <is>
          <t>fsdtkd</t>
        </is>
      </c>
      <c r="B170" t="inlineStr">
        <is>
          <t>Mom (58) Test Positive for COVID 19</t>
        </is>
      </c>
      <c r="C170" t="inlineStr">
        <is>
          <t>Hey everyone. I just don't know what else I can do besides write about my mothers experience with COVID19. My mom is a healthy 58 year old woman. She is the type of woman that doesn't stop and is on top of everything.
She walks everyday because of her job and does not have health issues. She smoked when i was little, but cold turkeyed one day - that was about 20 years ago. My father passed away from fighting lung cancer for 7 years and it has left her with a broken heart.
She is a stubborn and proud woman who has tried to hide symptoms from me but I will document them the best I can. 
I hope this is helpful to someone. I have been reading things because I can't sleep. I know it does me no good but I feel helpless and found people talking about their symptoms interesting. 
I saw some people ask about blood type. All I know is she is B.
**March 24 - First of me hearing she is sick. (Day 6)**
Voice did not sound good
Dry cough
Headache that she said hurt on one side like someone was ripping her brain out
Claimed she had fever for 6 days already, but she thought it was minor so continued cleaning and doing normal house things
Took Tylenol, but did not help but still continued to take 
I convinced her to see a doctor, so she went to urgent care and barely made it there. She was really weak and not feeling well. 
Urgent care tested her and took a chest x ray saying she had bilateral lower lobe something...or pneumonia so they gave her antibiotics, put her on and iv with some antibiotics while she was there then told her to quarantine.
Told her she had to wait 4 business days for test results. She says she feels like dying.
No appetite, could not eat for 4 days at this point but can drink liquids.
&amp;amp;#x200B;
**March 25 (Day 7)**
No difference. Still had a fever, bad headache, dry cough. Still claiming maybe she is dying.
Was taking the antibiotics and Tylenol. She only managed to eat 3 grapes all day. 
Can barely walk now, have to use a cane to help. Can't make it to bathroom in it. Diarrhea (could be from antibiotics) Told me she lost 4 pounds.
&amp;amp;#x200B;
**March 26 (Day 8)**
She did ask for chicken noodle soup but couldn't eat it when I ordered it for her...
Still unable to eat. No fever, but cough is still there and too weak to walk or stand to make food. 
Back and shoulder pain was a big complaint.
&amp;amp;#x200B;
**March 27 (Day 9)**
Craving spaghetti, so I ordered it for her. She managed to eat 1 meatball. She was starting to have trouble breathing and said it was some shortness of breath. She was consistantly sleeping and still weak.
She kept complaining of shoulder and back pain. She was contemplating on going to the hospital but still tried to wait it out. There was no transportation option to get her there besides and ambulance, and she was worried of cost.
Still waiting on test results. 
Asked for cranberry juice, thought it may help her back in some way. Still had fever and cough and can barely walk.
&amp;amp;#x200B;
**March 28 (Day 10)**
Mom is feeling even worse. She is thinking she is going to die. She is worried about cost of things still and doesn't know what to do with the dogs when she is gone.
Breathing is worse, fever, cough, no food in body. Never saw my mom in this state, she was healthy and this is hitting her hard.
I do not live with her so I cannot take care of them. Mom leave a lot of food and water for them and leaves dogs to use doggy door. Neighbor leaves food for them outside.
No kennels open due to them not considered essential. These are problems that I don't hear many people talk about when you get sick and live alone. Same with when you need to go to seek medical care and think you may have COVID19...
The only transportation is an ambulance as their staff has protective clothing. I asked the urgent care and several nurses what I should do for my mom. They tell me to call 911.
Ambulance takes mom to the hospital. They have her on IV, antibiotics, and oxygen. Her oxygen was at 87 was what she told me. She was tested for COVID19 by the hospital. 
Still no results from the Urgent Care. They claimed they are backed up. 
102 fever and ate some jello. After a few hours at the hospital, I check up on Mom. She was really relaxed and said she doesn't want to work so much...The world is really beautiful outside and she worked too hard in her life.
Low blood pressure. At this point I'm freaking out even more. She has fought so hard for everything she has and does not make very much. My heart sank when I heard her talking  like this. My brother and I keep telling her to fight.
Hospital has a strict no visit policy due to COVID19.
&amp;amp;#x200B;
**March 29 (Day 11)**
Voice very raspy, mom not sounding good. Only ate a Popsicle. Needs help from nurse to go to bathroom because she is too weak.
Test results should be in today. I continue to ask about them from hospital and urgent care. Nothing yet. Talked to nurse about mom and she says she is stable and is on 2L of oxygen. Still complaining of back and shoulder pain and lots of coughing.
Talked to mom a little later, her voice seems better. Still sick and seems even more depressed and upset. I let her know her dogs are fine and it seemed to make her feel so much better knowing they are ok.
Still weak, but drinking hot water and decaffeinated coffee. Fever is gone, but she is crying and losing hope.
Got call at night from doctor at the hospital, she tested positive. 
Talked to mom again, she is nauseous so they tried to give her something that dissolves under her tongue to help with it. Instead, it makes her throw up water.
&amp;amp;#x200B;
**March 30 (Day 12)**
Doctor says moms vital signs are ok. Oxygen dropped a little since she is breathing better.
She is still taking tylenol, but screamed all night from pain. still not eating solid food. Her body hurts, back, shoulders. 
Urgent Care got back to me and told me my mom was positive. 
I talked to her in the AM and she sounded really good. Lots of coughing but she was joking and she ate 2 peices of bacon! She was ordering fruit for lunch. I started crying I was so happy.
I thought things were getting better. But then I talked to her at night and she was talking about dying. She said she doesn't care either way, she will be with my dad. She asked for a clergyman. She was in a state of acceptance. 
Called nurse to get updates on mom, she says mom is stable. Red blood cell normal, IV fluids make up for any lack of potassium. Oxygen is better. 
Mom continues to worry about money and cost of everything. Brother and myself keep trying to give her hope.
Found article on low potassium here. [https://www.medrxiv.org/content/10.1101/2020.02.27.20028530v1](https://www.medrxiv.org/content/10.1101/2020.02.27.20028530v1)
Not sure how true it is but it said "Hypokalemia is prevailing in patients with COVID-19. The correction of hypokalemia is challenging because of continuous renal K+ loss resulting from the degradation of ACE2. The end of urine K+ loss indicates a good prognosis and may be a reliable, in-time, and sensitive biomarker directly reflecting the end of adverse effect on RAS system."
&amp;amp;#x200B;
**March 31 (Day 13)**
Mom actually called me...didn't think it was good but first time she called me instead of me calling her room. She thinks she is dying and seems like she has shortness of breath when she is talking to me.
She talks about low potassium, shes very scared and can't move her body she says. She said my dad was calling her all night. She is sad and emotional. I try to cheer her up and tell her to keep fighting. My brother calls to encourage her.</t>
        </is>
      </c>
      <c r="D170" t="n">
        <v>1</v>
      </c>
      <c r="E170" t="n">
        <v>181</v>
      </c>
      <c r="F170">
        <f>HYPERLINK("https://www.reddit.com/r/COVID19positive/comments/fsdtkd/mom_58_test_positive_for_covid_19/")</f>
        <v/>
      </c>
      <c r="G170" t="inlineStr">
        <is>
          <t>2020-03-31 07:26:05</t>
        </is>
      </c>
      <c r="H170" t="inlineStr">
        <is>
          <t>Tested Positive - Family</t>
        </is>
      </c>
    </row>
    <row r="171">
      <c r="A171" t="inlineStr">
        <is>
          <t>fsf6ls</t>
        </is>
      </c>
      <c r="B171" t="inlineStr">
        <is>
          <t>Positive - 37yo Male Australia</t>
        </is>
      </c>
      <c r="C171" t="inlineStr">
        <is>
          <t>This is a throw away account after seeing the amount of hate and questioning as I was the first positive result in my local area.
I recently got back from an overseas holiday and felt off coming back into Australia.  I was unsure if it was just a hangover (two weeks on the tins and eating everything) or just usual travel garbage feeling.  Traveled back to home town after flying into Sydney and quarantined myself from my wife.  I went and got tested on the Monday and came back as a positive. 
Facebook went bonkers for the news articles about first positive case in the area.  People wanted to know who I was, where I had been and what I had done.......I had gone home without seeing anyone and stayed there.  
Two weeks are up now and here are my insights:
* Feel okay for the first few days - lethargy, tightness in muscles, headaches, runny nose, upset belly
* After a few days - all the above mixed in with the worst hangover you have ever had ( and I have had a few rippers of hangovers)
* After about 3 days I realized I had no taste or smell......texture was there but nothing else
* Between day 6-10 is was up and down.  Tired, weak, just shit feeling. Did some gardening and slept for 2 hours immediately afterwards
* Day 12 onward has been great, getting better and better.  Have remained isolated from wife and will do for the rest of the week.
* Day 9 taste returned slightly and increased over the next few days, muscle soreness gone day 8, upset belly around day 7
* At no point did I register a fever in the course of being ill.  I was tested at checkpoints through my travels and entrance into Australia and tested by nurse and by myself when quarantined
If you have any questions I can try to give some insight.  I can only give insight in regards to my illness as most people react differently to it from what I have seen so far.</t>
        </is>
      </c>
      <c r="D171" t="n">
        <v>11</v>
      </c>
      <c r="E171" t="n">
        <v>15</v>
      </c>
      <c r="F171">
        <f>HYPERLINK("https://www.reddit.com/r/COVID19positive/comments/fsf6ls/positive_37yo_male_australia/")</f>
        <v/>
      </c>
      <c r="G171" t="inlineStr">
        <is>
          <t>2020-03-31 08:43:37</t>
        </is>
      </c>
      <c r="H171" t="inlineStr">
        <is>
          <t>Tested Positive</t>
        </is>
      </c>
    </row>
    <row r="172">
      <c r="A172" t="inlineStr">
        <is>
          <t>fsg0tb</t>
        </is>
      </c>
      <c r="B172" t="inlineStr">
        <is>
          <t>Super fast heart rate</t>
        </is>
      </c>
      <c r="C172" t="inlineStr">
        <is>
          <t>I’m a 23F with no underlying health conditions except for a minor general anxiety disorder. I’m on day 11 of COVID and just took a turn for the worse as symptoms of fatigue and shortness of breath have increased. I haven’t had a fever in a few days but I have had some stomach issues. As my breathing has gotten more difficult today, I’ve noticed my heart rate has increased significantly and I’m experiencing chest pains. I’m not sure if it’s just anxiety over not being able to breathe or if I should be concerned. I called the NHS 111 line and was sent to an assessment centre for my breathing and they took note of my heart rate and chest pains but didn’t address them. Has anyone else experienced increased heart rate? Do you have any suggestions for lowering it (I’m trying to do deep breathing to relax but that’s a little difficult considering I have the virus, which then just stresses me out more). Thanks in advance!</t>
        </is>
      </c>
      <c r="D172" t="n">
        <v>4</v>
      </c>
      <c r="E172" t="n">
        <v>33</v>
      </c>
      <c r="F172">
        <f>HYPERLINK("https://www.reddit.com/r/COVID19positive/comments/fsg0tb/super_fast_heart_rate/")</f>
        <v/>
      </c>
      <c r="G172" t="inlineStr">
        <is>
          <t>2020-03-31 09:28:33</t>
        </is>
      </c>
      <c r="H172" t="inlineStr">
        <is>
          <t>Tested Positive - Me</t>
        </is>
      </c>
    </row>
    <row r="173">
      <c r="A173" t="inlineStr">
        <is>
          <t>fsii03</t>
        </is>
      </c>
      <c r="B173" t="inlineStr">
        <is>
          <t>Our Antibodies?</t>
        </is>
      </c>
      <c r="C173" t="inlineStr">
        <is>
          <t>I tested positive almost two weeks ago and have hopefully worked my way through the virus and all it’s nastiness.  
There was an article here in New York City saying the hospitals are using blood plasma from people who had Covid 19 to extract our antibodies for use in treatment.   The email address in the article is not working (was an @mtsinai).    
Any ideas where/who/how to get in touch with any lab that can use our immune systems for other people?</t>
        </is>
      </c>
      <c r="D173" t="n">
        <v>21</v>
      </c>
      <c r="E173" t="n">
        <v>49</v>
      </c>
      <c r="F173">
        <f>HYPERLINK("https://www.reddit.com/r/COVID19positive/comments/fsii03/our_antibodies/")</f>
        <v/>
      </c>
      <c r="G173" t="inlineStr">
        <is>
          <t>2020-03-31 11:38:55</t>
        </is>
      </c>
      <c r="H173" t="inlineStr">
        <is>
          <t>Tested Positive - Me</t>
        </is>
      </c>
    </row>
    <row r="174">
      <c r="A174" t="inlineStr">
        <is>
          <t>fsj9g2</t>
        </is>
      </c>
      <c r="B174" t="inlineStr">
        <is>
          <t>How wild this virus is and hits everyone differently, me presumed positive + fam</t>
        </is>
      </c>
      <c r="C174" t="inlineStr">
        <is>
          <t>I have been stalking this subreddit for the past 3 weeks almost. I’m presumed positive as is my boyfriend and mom and sister with my father tested positive and hospitalized.  
&amp;amp;nbsp;
I had an intense cold earlier in the month, and a few days where I felt fine then Monday 3/16 i had new symptoms - not sure if the earlier cold was covid phase 1 or what.  
&amp;amp;nbsp;
*But 3/16 my symptoms were...odd  
&amp;amp;nbsp;
I was at work and I just felt phlegm in the back lower of my throat clearing my throat trying to cough drinking tons of water to get the feeling away. Then I started feeling chills like literal vibrations of cold running up and down me and warmth from my face. I was starting to panic at this point because covid but decided ah yes, my heater full blast near touching my legs has warmed me nicely...must be allergies. Used an ear thermometer which I would learn a week later was reading wayyy low. So I probably had a 100+ fever at this point.  
&amp;amp;nbsp;
*Boyfriends story:  
&amp;amp;nbsp;
Told my boyfriend wow I think I’m sick again and he said I think I’m sick too, by 3/19 he was having body aches chills low grade fever migraine headache this was about 4 days straight followed by at least five days of identical shortness of breath like me and weakness post shower. He went to urgent care 3/19 and had a negative flu test they told him oh hm well we’re not testing you go home and get some sleep. That Monday 3/23 his boss told him stay home this week and try and get tested so back to urgent care, dr says wow sure sounds like covid, text book case actually well we’re not testing you since you feel pretty much better but you definitely have it. Stay home until you don’t have any symptoms for a full week.  
&amp;amp;nbsp;
Now back to my update
*3/17-3/18  
&amp;amp;nbsp;
We conveniently had closed our office to work remote the day prior so I didn’t have to get up and move around much to work. My throat sensation was gone and now I had a really chesty cough, really rattley which towards the end of each day would turn into a sensation of clearing my throat to no success and again likely slight fevers felt warm but my ear thermometer was saying 98.wherever. I also was experiencing liquid bowel movements and absolutely no appetite.   
&amp;amp;nbsp;
*3/18-3/22 
My cough went away but I then developed mild shortness of breath, it felt if I tried to take a breath as deep as I could hitting that 90-100% was pinched shut or not really releasing quite right...I also noticed during these days showers would completely exhaust me and leave my heart racing pretty much ko’ing me. All of this I was certain was bronchitis...something I never had but sounded right?  
&amp;amp;nbsp;
One weird symptom I haven’t read anywhere but was distinct for me, I woke up one of these mornings and had a foul taste or smell I couldn’t tell which it was like something planted in my sinus perfectly where my nose attaches to my throat I know this sounds weird but I distinctly remember it being there and was really grossed out by it like if it was rotting phlegm or idk it was gross.  
&amp;amp;nbsp;
*3/22 again - this day I felt pretty much normal.  
&amp;amp;nbsp;
——————-
Quick story swap over to my dad,   
&amp;amp;nbsp;
Since pretty much the start of my issue, my dad was developing a cough which rather quickly turned into massive headaches, wild dreams, pools of sweat in his sleep up and down fever stomach issues no appetite - like all of everyone on this subreddits symptoms combined.  
&amp;amp;nbsp;
Come 3/22 he goes to urgent care where he lungs sounded clear and pulse ox normal...they almost sent him on his way they he was there a week earlier and not getting better.   
&amp;amp;nbsp;
Chest X-ray shows bacterial pneumonia on 3/22
Asks did you make contact with anyone positive for covid? Dads unsure, NO TEST  
&amp;amp;nbsp;
He asks me to go and get checked since I was coughing a lot. No pneumonia for me. They prescribe me a wait and see zpak as I was feeling good when I went.  
————————-
&amp;amp;nbsp;
3/23 I felt really crumby on this day, I felt the shortness of breath again, an annoying headache, cough and 100.8 fever. Tylenol and just laying in bed helped a bit but I can’t really nap so nothing helped till I fell asleep for the night. I called urgent care to see if I could get tested since I had shortness of breath and they told my boyfriend he had it (presumably) and they said well since you made contact with someone who has it we can tell you you have it. Then they told me I was good to go back into society 3 days after the fever broke. That was it.   
&amp;amp;nbsp;
3/24-3/27 
These days my fever if considered one was 99.6 at its highest. I usually woke up feeling great and then like my body would get tired from breathing by like 2/3pm and the tightness would come back. And also when I showered it would come back, one of these days I showered and then made my dad tuna salad and I really had to focus on not passing out. When I was done I laid on my bed as my heart raced ridiculously because of two minor tasks...breathing didn’t help. Oh and still having no appetite and liquid movements. Also down 15ish lbs at this point.   
&amp;amp;nbsp;
More towards 3/24 I heard about the lacking taste and smell and realized shit I can’t taste or smell anything lol.  It was distinct my deodorant didn’t smell and my food didn’t taste, it tasted hot or I could tell something taste sweet or salty but that was the extent. My thin mints didn’t taste minty :(   
&amp;amp;nbsp;
3/27-3/31 
still nothing higher then 99.2 usually 98.6/8 shortness of breath had been gone completely. Showering doesn’t knock me on my ass but my sinus feel like I had something ripped in and out of them, I can feel it perfectly. I’m not sure if it’s inflammation from irritation or what, like an almost sore throat cause by me trying to clear my throat or cough this feeling up like my sinuses are stickied shut. My smell is back and my taste is down played but slightly better. I actually want to eat food. My bowels were back to normal so I started taking my stomach vitamins again (I take magnesium to help constipation) and might’ve broke it out too hot and heavy lol was running to the bathroom many times last night.   
&amp;amp;nbsp;
Now back to my dad, his condition turned south Sunday 3/29. Unable to barely walk or talk he’s so out of breath. Pulse ox down to 80, urgent care confused how he’s even responding. They hook him up and get his levels to 92’with an ambulance on the way. They test him that night and find out last night his test was positive. At this point he’s not experiencing fevers anymore but the oxygen isn’t maintainable without assistance. He’s not on a vent just oxygen and is currently on plaquinol which is the malaria drug with likely a zepak script. Hospitals in our area are seeing success with that treatment. My dad was petrified to go to the hospital, now have you ever had your dad you know the big tough man of the house cry hysterically as he tries to move forward and say “...now if anything happens and I don’t come home” my spirit was shattered, the past week on top of my own illness has felt like a black hole of reality check cruelness on how precious all our lives are.  I spent most nights crying, praying to god, staring into the void, thinking of the worst possible things...   
&amp;amp;nbsp;
Before all three of our distinct issues happened, maybe like 3 or 4 days earlier my mom was sick with a fever, chesty cough like mine, extreme weakness and stomach issues which the stomach issues just cleared up yesterday for her.   
&amp;amp;nbsp;
And my sister who is riddled with medical issues, asthma and Addison’s disease has been completely unscathed. Praying to god she’s an asymptomatic.  
&amp;amp;nbsp;
TLDR; family full of covid, dad hospital sister untouched mom barely bothered me mildly moved and boyfriend mild as well. This is a fucked up illness. I keep feeling unsure if I definitely had it but I’m thinking it’s impossible I didn’t and I’ve never had symptoms like I did even if they weren’t severe. I’ve had mono, pneumonia and things of like before and nothing has ever felt like this.</t>
        </is>
      </c>
      <c r="D174" t="n">
        <v>12</v>
      </c>
      <c r="E174" t="n">
        <v>42</v>
      </c>
      <c r="F174">
        <f>HYPERLINK("https://www.reddit.com/r/COVID19positive/comments/fsj9g2/how_wild_this_virus_is_and_hits_everyone/")</f>
        <v/>
      </c>
      <c r="G174" t="inlineStr">
        <is>
          <t>2020-03-31 12:17:55</t>
        </is>
      </c>
      <c r="H174" t="inlineStr">
        <is>
          <t>Tested Positive - Family</t>
        </is>
      </c>
    </row>
    <row r="175">
      <c r="A175" t="inlineStr">
        <is>
          <t>fsklv2</t>
        </is>
      </c>
      <c r="B175" t="inlineStr">
        <is>
          <t>Tested Positive - Day 20 - UPDATE</t>
        </is>
      </c>
      <c r="C175" t="inlineStr">
        <is>
          <t>[See Original Post from Day 7 Here](https://www.reddit.com/r/COVID19positive/comments/fli1y9/tested_positive_yesterday_7th_day/)
By Day 14, the only remaining symptoms were: a dry cough and pretty painful digestive issues. 
After I broke my fever on day 10, it was gone for good. 
By day 17 or 18, I was really just battling the digestive issues. I stopped taking my medications (I completed the antibiotics after 6 days, but I stayed on the antihistamines and pain killers for about a full 10-14 days). 
A summary of my digestion issues: 
If I'm remembering correctly, I had diarrhea for almost the entire duration of the sickness. My day 10, I was pretty constipated, however. By day 12, I'd developed some extreme bloating. My abdomen was so distended that I couldn't wear pants or sit down comfortably without being in a lot of pain. 
My abdominal pain was mostly located on my left side. I started taking simethicone for bloating, which would relieve the pain for a few hours at a time. When it worsened, I visited the doctor's. They were unable to give me any additional medication other than a stool softener. However, I expressed to them I was able to have bowel movements, but I was unable to pass any gas. Bowel movements were difficult, but not impossible. They just happened on their own (no pushing would really work; sorry if that's TMI). 
I took matters into my own hands and just bought a generic probiotic. It's been 3 days of that; I've almost returned to normal! 
Thanks for everyone who has checked up on me. Glad to report life is returning back to a state of normalcy (somewhat). 
I was cleared to go outside (I'd quarantined for 14+ days), but I'm still social distancing responsibly. 
I still cough every once in a while, but it's not a bother. Hoping it never fully comes back.</t>
        </is>
      </c>
      <c r="D175" t="n">
        <v>10</v>
      </c>
      <c r="E175" t="n">
        <v>29</v>
      </c>
      <c r="F175">
        <f>HYPERLINK("https://www.reddit.com/r/COVID19positive/comments/fsklv2/tested_positive_day_20_update/")</f>
        <v/>
      </c>
      <c r="G175" t="inlineStr">
        <is>
          <t>2020-03-31 13:28:16</t>
        </is>
      </c>
      <c r="H175" t="inlineStr">
        <is>
          <t>Tested Positive - Me</t>
        </is>
      </c>
    </row>
    <row r="176">
      <c r="A176" t="inlineStr">
        <is>
          <t>fsm569</t>
        </is>
      </c>
      <c r="B176" t="inlineStr">
        <is>
          <t>I (23F) with asthma tested positive and I couldn't be more relieved.</t>
        </is>
      </c>
      <c r="C176" t="inlineStr">
        <is>
          <t>I was really sick last week and I was so nervous that perhaps it was just a flu, and I was still susceptible to contracting The coronavirus. I know it would just wipe me out. 
I know a lot of people are curious about what the symptoms were:
My state when into lockdown last Saturday (3/21). 
Monday (3/23) - normal day working from home. At 8 pm I'm watching a show and suddenly I KNOW I'm sick. My throat hurts a bit and I start to have body aches and maybe a fever
Tuesday (3/24) - a total blur of body aches, fever, chills, sore throat. It really feels like a flu.
Wednesday (3/25) - temp is hovering above 98F. I have a wet cough and lingering aches. Solved with tylenol. Feels like a cold or bronchitis. 
Thursday (3/26) - I feel a lot better though I still have a cough. Im painting, cleaning my room, getting extra work done, but at night my head starts POUNDING
Friday (3/27) - my headache is so bad and tylenol isn't helping. Feel like a sinus headache bc I'm beginning to lose my sense of smell and taste.  I still have a wet cough. I can barely work from home I just passively listen to the group calls while I lay in bed
Saturday (3/28) to Sunday (3/29) - headache is gone but no sense of smell/taste. Still have a wet cough. My ears hurt and ring, it feels like my head is suspended in sinus fluid
Monday (3/30) to present (3/31) - no cough, no smell or taste. No appetite except for a NEED for starchy pizza/ toast (I'm still on keto so I settled for cauliflower pizza, not like I could taste it anyway). 
Overall it felt like a flu.. no shortness of breathe that I noticed anyway since I spent the whole week in bed. 
 I managed to continue getting my work done from home. I didn't expose anyone at work bc I haven't been the the office since early March.  I also stuck to my keto diet and intermittent fasting about 80% of the time. Pretty proud about that.
Good luck everyone stay safe!
Edit: adding symptoms</t>
        </is>
      </c>
      <c r="D176" t="n">
        <v>12</v>
      </c>
      <c r="E176" t="n">
        <v>104</v>
      </c>
      <c r="F176">
        <f>HYPERLINK("https://www.reddit.com/r/COVID19positive/comments/fsm569/i_23f_with_asthma_tested_positive_and_i_couldnt/")</f>
        <v/>
      </c>
      <c r="G176" t="inlineStr">
        <is>
          <t>2020-03-31 14:49:43</t>
        </is>
      </c>
      <c r="H176" t="inlineStr">
        <is>
          <t>Tested Positive - Me</t>
        </is>
      </c>
    </row>
    <row r="177">
      <c r="A177" t="inlineStr">
        <is>
          <t>fsml9s</t>
        </is>
      </c>
      <c r="B177" t="inlineStr">
        <is>
          <t>Day 3 of Intubation</t>
        </is>
      </c>
      <c r="C177" t="inlineStr">
        <is>
          <t>They Intubated my grandma on Sunday, she was already in the hospital for seven days before that. Her situation hasn’t gotten better, her blood pressure has to be stabilized with two different medications. Her organs are failing, liver, kidneys, and lungs. She’s at the max of the ventilator. 
They called me today with a few options that my mother and grandfather(both of them are also hospitalized) couldn’t come to. 
Option 1: to continue doing what they are doing 
Option 2: if her heart stops to not resuscitate her
Option 3: to stop what they’re doing and let her pass 
I want to go with option 1 because I want her to continue fighting no matter what. But I also don’t want her to suffer, is there anyone who’s had a shit situation with COVID come back positive?</t>
        </is>
      </c>
      <c r="D177" t="n">
        <v>2</v>
      </c>
      <c r="E177" t="n">
        <v>24</v>
      </c>
      <c r="F177">
        <f>HYPERLINK("https://www.reddit.com/r/COVID19positive/comments/fsml9s/day_3_of_intubation/")</f>
        <v/>
      </c>
      <c r="G177" t="inlineStr">
        <is>
          <t>2020-03-31 15:13:23</t>
        </is>
      </c>
      <c r="H177" t="inlineStr">
        <is>
          <t>Tested Positive - Family</t>
        </is>
      </c>
    </row>
    <row r="178">
      <c r="A178" t="inlineStr">
        <is>
          <t>fso76t</t>
        </is>
      </c>
      <c r="B178" t="inlineStr">
        <is>
          <t>Symptoms and looking for advice.</t>
        </is>
      </c>
      <c r="C178" t="inlineStr">
        <is>
          <t>Hello, Male 23 MMJ patient. No known health issues.  I have posted before but I have tested positive and am going to go through my symptoms. 
March 17 I had itchy eyes and throat as well as some diarrhea. The GI symptoms have persisted during this whole thing. No Fever.
March 24 swollen left lymph node. Gi issues still , allergies and congestion. No fever.
Fast forward to March 29, I still have GI issues accompanied by dull pain in neck/base skull. That night I had soreness in upper back
March 30 back pain persists along with kidney flaring. Feels like they are burning. Drinking tons of fluids. That night I had a low grade fever that broke after I took 500mg Tylenol. 
March 31. Still pain in back and kidneys. Going on day 14. GI issues still there. No fever. 
I am asking if any others have had these symptoms and what I should do. I have not had any breathing problems or cough and only spiked a low grade fever once. Just waiting now.</t>
        </is>
      </c>
      <c r="D178" t="n">
        <v>1</v>
      </c>
      <c r="E178" t="n">
        <v>24</v>
      </c>
      <c r="F178">
        <f>HYPERLINK("https://www.reddit.com/r/COVID19positive/comments/fso76t/symptoms_and_looking_for_advice/")</f>
        <v/>
      </c>
      <c r="G178" t="inlineStr">
        <is>
          <t>2020-03-31 16:44:37</t>
        </is>
      </c>
      <c r="H178" t="inlineStr">
        <is>
          <t>Tested Positive - Me</t>
        </is>
      </c>
    </row>
    <row r="179">
      <c r="A179" t="inlineStr">
        <is>
          <t>fsphh1</t>
        </is>
      </c>
      <c r="B179" t="inlineStr">
        <is>
          <t>Nearly recovered from Coronavirus - what precautions should I take once fully recovered?</t>
        </is>
      </c>
      <c r="C179" t="inlineStr">
        <is>
          <t>Symptoms began on 3/16, tested on 3/20, and received the results on 3/27. Today is my second straight day of significant improvement and I’m getting optimistic this virus will be clear of my system within the week.
Once recovered, should I be wearing masks/gloves in public? Would I need to constantly sanitize surfaces? Or can someone who’s recovered go about an almost normal life in public without having to take all of the extra precautions?</t>
        </is>
      </c>
      <c r="D179" t="n">
        <v>2</v>
      </c>
      <c r="E179" t="n">
        <v>24</v>
      </c>
      <c r="F179">
        <f>HYPERLINK("https://www.reddit.com/r/COVID19positive/comments/fsphh1/nearly_recovered_from_coronavirus_what/")</f>
        <v/>
      </c>
      <c r="G179" t="inlineStr">
        <is>
          <t>2020-03-31 18:03:04</t>
        </is>
      </c>
      <c r="H179" t="inlineStr">
        <is>
          <t>Tested Positive - Me</t>
        </is>
      </c>
    </row>
    <row r="180">
      <c r="A180" t="inlineStr">
        <is>
          <t>fsq7nx</t>
        </is>
      </c>
      <c r="B180" t="inlineStr">
        <is>
          <t>(21F) (Type 2 Diabetes) Wasn't Too Bad..</t>
        </is>
      </c>
      <c r="C180" t="inlineStr">
        <is>
          <t>- The one thing that was really the absolute worst was the severe confusion, no matter what I was doing driving, getting up and walking or even holding a simple conversation, I got severely confused..
- I had to go to the hospital two times but I didn't get pneumonia or anything serious, the doctor said my vitals were fine everything looked fine red blood count white blood cells everything was just perfect
- I didn't have a fever throughout the entire infection (I actually had a lower body temperature or normal I checked my fever and maybe once or twice I would have a pretty high fever but it was not throughout)
- it was your typical flu like symptoms body aches, chills, didn't want to do anything, couldn't really do anything, and I had no appetite whatsoever and a sore throat which was strange because I'm currently dealing with a food addiction. (I also had a headache that came and went but the sore throat never went away)
- The worst was also the breathing I had mad problems breathing it was something I never experienced before because I never experienced breathing issues before, whenever I tried to take a breath in it felt like somebody was tightening a belt around my lungs like it was restricting how much air I could breathe in it restricted my breathing quite a lot the doctors took an x-ray and they said my lungs were perfectly fine and I had no pneumonia.
- I started to get better by day 5 and after a week of having it I got over it, the only thing that was left to do was to go back to work after another week when the doctors were sure that it had passed...
- Was it the worst thing I've ever felt in my life? absolutely not, it was like the the flu on steroids 
and that's how I thought of it like the flu on steroids that's just how it felt...
- Oh yeah I also had wicked diarrhea and strangely I didn't have the urge to use the bathroom</t>
        </is>
      </c>
      <c r="D180" t="n">
        <v>2</v>
      </c>
      <c r="E180" t="n">
        <v>13</v>
      </c>
      <c r="F180">
        <f>HYPERLINK("https://www.reddit.com/r/COVID19positive/comments/fsq7nx/21f_type_2_diabetes_wasnt_too_bad/")</f>
        <v/>
      </c>
      <c r="G180" t="inlineStr">
        <is>
          <t>2020-03-31 18:48:30</t>
        </is>
      </c>
      <c r="H180" t="inlineStr">
        <is>
          <t>Tested Positive - Me</t>
        </is>
      </c>
    </row>
    <row r="181">
      <c r="A181" t="inlineStr">
        <is>
          <t>fsskse</t>
        </is>
      </c>
      <c r="B181" t="inlineStr">
        <is>
          <t>I (27F) tested positive</t>
        </is>
      </c>
      <c r="C181" t="inlineStr">
        <is>
          <t>Symptoms first appeared a week ago - low grade fever, severe headaches, dry cough, congestion, occasional diarrhea, severe headaches, chest pain, and occasional shortness of breath. I have had no known contact with a confirmed case, and only go one place, which is work (in a healthcare facility). I inquired about a test via an online service as we are instructed not to present ourselves to the hospital or clinic. I was “evaluated” and diagnosed with an upper respiratory infection, or a cold. I called into work everyday since my symptoms appeared given the fact that Coronavirus is going around and I preferred to err on the side of caution in an attempt to protect others. On Saturday, I inquired about a test again via the same online service because my symptoms were becoming worse. This time, I received a different NP’s evaluation in which she diagnosed me with a “flu-like illness”. Because of my symptoms, AND working in healthcare, she directed me to go to a drive-thru testing site in which I would be tested for influenza, and if negative, covid19. I was tested on Sunday, and my influenza came back negative the same day. On Monday I was called and notified I have tested positive for covid19. I have no underlying health conditions and am otherwise healthy. I would consider my case “mild”, however I am reading that the second phase of the illness is worse. Tonight, I have been feeling dizzy, and all I have done is lay around. I have been extremely anxious since I was informed I tested positive due to the fact there is so much uncertainty. I am terrified to spread it to my husband and children, even though I probably already have. 
I wanted to post this not only to share my symptoms and experience thus far but to encourage anyone who truly believes they should be tested to be an advocate for themselves and their health. I will update if anyone cares to listen or just wants to talk about everything. I’ve been following the news and updates vigilantly on covid19 since it first started in Wuhan and could use the company.</t>
        </is>
      </c>
      <c r="D181" t="n">
        <v>2</v>
      </c>
      <c r="E181" t="n">
        <v>21</v>
      </c>
      <c r="F181">
        <f>HYPERLINK("https://www.reddit.com/r/COVID19positive/comments/fsskse/i_27f_tested_positive/")</f>
        <v/>
      </c>
      <c r="G181" t="inlineStr">
        <is>
          <t>2020-03-31 21:24:58</t>
        </is>
      </c>
      <c r="H181" t="inlineStr">
        <is>
          <t>Tested Positive - Me</t>
        </is>
      </c>
    </row>
    <row r="182">
      <c r="A182" t="inlineStr">
        <is>
          <t>fsstf7</t>
        </is>
      </c>
      <c r="B182" t="inlineStr">
        <is>
          <t>Anybody else’s symptoms come and go?</t>
        </is>
      </c>
      <c r="C182" t="inlineStr">
        <is>
          <t>17ftm, occasional smoker, non drinker, no relevant health conditions. Presumed positive via virtual screening, getting tested within the next week.
It feels like my symptoms only occur every 2-3 hours. Like, I’ll have shortness of breath, a cough, a scratchy throat, and fatigue for a few hours... and then it’ll just stop. I feel almost completely fine right now, but in a couple hours I’ll be feeling bad. It’s really strange. Is it possible that my issues are due to allergies or something, or is it common with COVID-19 to have intermittent symptoms like this?</t>
        </is>
      </c>
      <c r="D182" t="n">
        <v>1</v>
      </c>
      <c r="E182" t="n">
        <v>8</v>
      </c>
      <c r="F182">
        <f>HYPERLINK("https://www.reddit.com/r/COVID19positive/comments/fsstf7/anybody_elses_symptoms_come_and_go/")</f>
        <v/>
      </c>
      <c r="G182" t="inlineStr">
        <is>
          <t>2020-03-31 21:41:53</t>
        </is>
      </c>
      <c r="H182" t="inlineStr">
        <is>
          <t>Tested Positive - Me</t>
        </is>
      </c>
    </row>
    <row r="183">
      <c r="A183" t="inlineStr">
        <is>
          <t>fsy6x8</t>
        </is>
      </c>
      <c r="B183" t="inlineStr">
        <is>
          <t>Day 6 of intubation (Dad, 73)</t>
        </is>
      </c>
      <c r="C183" t="inlineStr">
        <is>
          <t>This is a living nightmare. I am sharing my experience as information is so limited. My apologies if this is poorly written but, I am on the start of day 6 of this terror, sleep has been scarce and anxiety high. This needs to end. I’m sorry to anyone reading this whom is suffering this nightmare. My heart bleeds for you and know you are not alone.
Dad is 73. An ox of a man, Vietnam vet, retired NYPD, hasn’t had a drink or smoked in 40+ years. He has had high blood pressure since his 30s (hereditary) which is easily controlled with meds. No other underlying issues. 
My father began running fevers on March 20. He become generally weaker, eating little to nothing over the next few days, and suffered dehydration as he was nauseated and wouldn’t consume anything. We attempted to get him tested for Covid twice that weekend and the second urgent care facility compiled. (Tested March 22). He continued to weaken and passed out in the bathroom on Tuesday March 24. We called an ambulance, they took his blood pressure and otherwise wouldn’t touch him. Advised not to go to ER as he wasn’t short of breath. He stayed home. By Thursday the 26th, we received the call confirming him for the virus. Advice was to quarantine. By Thursday afternoon couldn’t get out of bed, couldn’t even sit up. We called the ambulance and waved good bye.
Thursday March 26
6:15pm: Call from the critical care doc (hospitalist) he will be admitted into the step down unit. On oxygen, antibiotics and anti malaria drug. “looks good, but we will keep a close eye on him”
9:30pm: We call the step down unit. He’s not there yet, but will be in bed #4 when he arrives
Friday March 27
12:30am: the hospital calls oxygen levels have dropped, need to intubate. Do we have your permission? Yes (he’s in ICU, never made it to step down)
2:15am: the hospital calls blood pressure has bottomed out, we need to put in a central line. Do we have your permission? Yes
4:30am: we call the ICU. His nurse advises he is “critical, but stable” drugs have stabilized BP 
7:55am:  we call the ICU. Nurses are shift changing can we call back at 10:00
10:15am: we call the ICU. Speak with nurse “stable”. Nurse seems overwhelmed.
2:00pm: we call the ICU. Speak with nurse “stable, no change, chest X-ray same”. We get critical care doc phone number.
2:05pm: leave msg for critical care doc
2:40pm: doc calls. “No change, he looks good color wise, he was agitated at the ventilator, given more sedatives, we need to give meds more time to work.” Doc will see him again tomorrow
2:45pm: Hospital social worker calls. “How are you? Will you need wheel chair? People are recovering.”  
8:00pm: we call the ICU. His fever spiked and they gave him Tylenol. 
Saturday, March 28
6:30am: we call ICU. He had “uneventful night, no fever, vitals ok”
12:00pm: critical care doc calls. “Kidney #’s not great, he can’t keep his blood pressure up without meds, white blood count high 45k, hoping for better numbers tomorrow.”
9:15pm: we call ICU. Nurse advises “ventilator is down at 60%. white blood count down slightly to 40k. Blood pressure meds still at max. Kidneys no change”
Sunday, March 29
9:00am: we call ICU. Nurse advises “temp up again 100.8, giving Tylenol, vent still at 60%, blood pressure meds coming down, urine output a little better, no labs avail so no white blood count”
1:30pm: kidney doc calls. Warns dialysis may be necessary “In the coming days”. Vent still at 60% “kinda high”
5:00pm: we call ICU. Nurse advises “vent still @ 60%, no fever, blood pressure meds still decreasing, white blood count 29k
10:00pm: we call ICU. Nurse advises “he’s good” HOPE SOARS. “no fever, vitals stable, blood pressure meds at 50%, vent still at 60%, urine output 200ccs”
We sleep for the first night 
Monday, March 30
9:55am: we call ICU. No answer (has happened before once or twice, didn’t track until now)
10:05am: we call ICU. No answer
10:25am: we call ICU. Nurse advises “very little urine, dialysis likely, vent now at 70%, night was uneventful, blood pressure holding, white blood count the same”
11:35am: kidney doc calls. Doc says “we need to move forward, do we have permission?” Yes. “Won’t work immediately should wait a day or two for improvement”
12:30pm: critical care doc calls. Doc says “everything basically stable” white blood count 18K, blood pressure meds still coming down, vent @ 70%. She promises to call everyday.
5:10pm: kidney doc calls. Doc says he saw dad. “he is resting comfortably and tolerated dialysis well.” 
9:30pm: we call ICU. Nurse says “same, no change, stable.” Vent still @ 70%
Tuesday, March 31
10:00am: we call ICU. No answer
10:10am: we call ICU. His nurse can’t come to phone but relays message “dialysis likely again today, vent up to 80%, blood pressure meds down but still not off, white blood count 18k”
11:25am: kidney doc calls. Doc says “another round of dialysis to start”. He is “sedated, resting comfortably”
2:15pm: critical care doc calls. Doc says “vent at 80%, he is critical but stable” she can’t see him BECAUSE SHE CANT FIND A GOWN TO ENTER THE ICU, so she is relying on the nurses and his labs.
9:15pm: we call ICU. Nurse advises “he is off blood pressure meds, white blood count to 14k, no urine, running a low grade fever, and vent increased to 90%”
Wednesday April, 1
7:30am: I’m up for hours now and typing the details into a reddit post is surreal. But now I wait to call the ICU again....
Not being there to hold his hand, to urge him to fight, is unimaginable. I can’t describe it. The hospital staff is incredible, but clearly overwhelmed (we are in New York). We rarely speak to the same nurse and when we get someone we get 2-3 minutes of their their time. We do hope they feel our support, my nieces have made supportive signs and marched in front of the ICU windows, we’ve sent food (appropriately wrapped and delivered) and we sent a gown to the hospital with the docs name on it within 2 hours of hearing she didn’t have one yesterday. We have crowd sourced more masks and gowns and will have them to the hospital in the coming days.
I can’t think of anything else to say, apologies for the anticlimactic sign off... but I’m hoping and praying that our ending is still to be written... and will be a happy one....</t>
        </is>
      </c>
      <c r="D183" t="n">
        <v>1</v>
      </c>
      <c r="E183" t="n">
        <v>143</v>
      </c>
      <c r="F183">
        <f>HYPERLINK("https://www.reddit.com/r/COVID19positive/comments/fsy6x8/day_6_of_intubation_dad_73/")</f>
        <v/>
      </c>
      <c r="G183" t="inlineStr">
        <is>
          <t>2020-04-01 04:42:11</t>
        </is>
      </c>
      <c r="H183" t="inlineStr">
        <is>
          <t>Tested Positive - Family</t>
        </is>
      </c>
    </row>
    <row r="184">
      <c r="A184" t="inlineStr">
        <is>
          <t>fsyb59</t>
        </is>
      </c>
      <c r="B184" t="inlineStr">
        <is>
          <t>My grandma (80+) got diagnosed a few days ago.</t>
        </is>
      </c>
      <c r="C184" t="inlineStr">
        <is>
          <t>She's been on and off the ventilator for a few days and seems to be getting better. she wasn't getting better for sometime in the middle. Now they're going to put her on something called Sarilumab. 
Worst part is she doesn't even speak English and doesn't like the food the hospital gives her because she's from a different country. 
For anyone who cares, she is in NYC and had been in isolation for at least 15 days. The most reasonable theory we have right now is that she picked it up from groceries that someone else got for her.</t>
        </is>
      </c>
      <c r="D184" t="n">
        <v>1</v>
      </c>
      <c r="E184" t="n">
        <v>15</v>
      </c>
      <c r="F184">
        <f>HYPERLINK("https://www.reddit.com/r/COVID19positive/comments/fsyb59/my_grandma_80_got_diagnosed_a_few_days_ago/")</f>
        <v/>
      </c>
      <c r="G184" t="inlineStr">
        <is>
          <t>2020-04-01 04:51:04</t>
        </is>
      </c>
      <c r="H184" t="inlineStr">
        <is>
          <t>Tested Positive - Family</t>
        </is>
      </c>
    </row>
    <row r="185">
      <c r="A185" t="inlineStr">
        <is>
          <t>ft2v6e</t>
        </is>
      </c>
      <c r="B185" t="inlineStr">
        <is>
          <t>Diagnosed and recovered! Symptoms began the 3.21 and lasted until yesterday (my legit Birthday, ha!). Here's my timeline! AMA!</t>
        </is>
      </c>
      <c r="C185" t="inlineStr">
        <is>
          <t>I saw this and our (USA... fuck) response to it hurdling us towards the deep end of a really messy pool back in February. Everyone kept saying it was a matter of time before everyone got this so I began to journal mid-February about my thoughts, feelings, etc. to COVID19. 
Yesterday was my Covid19 Positive birthday from quarantine. My wife arranged a Zoom meeting of 12 of my friends from many states to sing me happy birthday over my morning coffee. I died. It was amazing. I love her...
What a wild time this is huh? I have also, like many of you, lost all of my jobs. I am two things - an ASL interpreter for colleges which won't be in physical session until August at the earliest and I am also a circus performer which intimately requires large groups of people for shows. I've been trying to do live performances and interpreting but with little traction so far. 
Anyway... 
Here is the important section for you. 
...
While my wife's test came back negative we are not permitted out of the house for 2 weeks starting yesterday. 
I've already talked to everyone who I have been around for the past month. I know where I've been, I know who sneezed near me, I know which grocery clerk licked her fingers to separate bags, I know at least 4 possible places this came from but ultimately that doesn't matter.
Here is what I am going through, if anyone needs to reach out I'm happy to talk. 
\*Day 1 Sat 3.21\* 
I started to get aches I wasn’t used to. Joints mostly. Things started to ache in weird ways. As a sufferer of Degenerative Disc Disease I am intimately familiar with my body and it's relationship to pain. These pains were not in any way normal. 
\*Day 2 Sun 3.22\* 
Same. 
\*Day 3 Mon 3.23\* 
7:21 dry cough started and continued for about 72 hours. Fever tremors began. Couldn't get warm under any amount of clothing, blankets or hot showers.
\*Day 4 Tues 3.24 the absolute WORST day of all of them...\*
Around 11am my fever started to show and this whole day was bananas. Apparently my digital thermometer was broke and reading between 2-4 degrees off. I registered a fever of 107, then 105, then 106, 107, etc. etc.. 
I contacted some friends and everyone was scared. But I've had a 105 before, I knew what it felt like so I waited for a new thermometer. Dad brought me one, didn't come anywhere close to the door, just left it on the step and stood across the street. My wife got the thermometer and talked to him (yelled to him) back and forth through the door across the street. 
Fever was still a mess though. 100, 101, 102, 100, 101, just bouncing between those numbers. 
I would fall asleep for 2 hours only to be woken up to rush to the bathroom with diarrhea. This process of 2 hours sleep, fever check and then destroying my bathroom lasted for about 72 hours. 
A close friend of my wife's and mine dropped off a bunch of gatorade and pedialyte for me. Damn life saver she is. Had to drink my weight in pedialyte for at least 2 days. 
\*Day 5 Wed 3.25\* 
Same as Tues but about \*half as much\*. 
I called my PCP and he scheduled us tests at noon on Thursday day 6.
My sense of smell and taste have entirely disappeared - they are just gone. I mean GONE. Anosmia it's called, right? I can't taste or smell ANYTHING at all. 
\* Day 6 Thurs 3.26\* 
Was like, eh, this sucks but, ok I'm feeling like I'm climbing out of this hole. Boy I wish I could stop coughing. 
I would tie a bandana around my neck and cough into it every time I needed to. Washed and swapped them out daily.
\*UPMC TESTING CENTER IS EFFICIENT AF...\*
Literally from getting out of my car, going into the hospital, getting tested, leaving and getting into my car was 5 minutes.
They are kind, they are quick, they are efficient, empathetic and on point in every way. 
Sorry about your comfort level though - the test is a cotton swab up your nose where they swab goes alllllll the way back to the inside-your-head-wall to get snot to test. 
\*Day 7 Fri 3.27\* 
Slight coughing without a fever. But then chest tightness started to occur. This was pretty nerve wracking. I imagine it felt like I was having an asthma attack. But I got through it. Talking to people during this moments really made me think about it more and feedback loop into panic breaths. DO NOT FEEDBACK LOOP INTO PANIC BREATHING!!! 
Nothing debilitating, I've been in touch with my PCP, I'm ok for now. 
\*Day 8 Sat 3.28\*
A new kind of cough has started, something that feels like a chest punch, my breath is labored, I can’t make it up the stairs without my breath getting short. Again though, talked with my doctor and this is nowhere near as bad as it could be. 
\*Day 9 Sun 3.29\*
The breathlessness of steps is still happening but I do not feel like I am near deaths door, I feel decent every other way besides the lungs now. The coughing sucks. 
\*Day 10 Mon 3.30\*
I'm a little out of breath here and there. I'm coughing into my bandana here and there. I think I'm getting out of this.
\*Day 11 Tues 3.31\*
Today is my birthday and I feel like I'm done with the whole COVID19. No fever, no cough, no breathlessness. Hilarious to have this all clear up today! 
\*Day 12 Wed 4.1\*
Today! I feel pretty good! I've coughed twice since I woke up. No fever for days. I'm hungry. I've been hungry a few days and my sense of taste is \*almost\* back. 
...
&amp;amp;#x200B;
I hope this helps anyone feel a little more at ease. 
I'm good. 
Here's to your health. 
AMA if it would help.</t>
        </is>
      </c>
      <c r="D185" t="n">
        <v>1</v>
      </c>
      <c r="E185" t="n">
        <v>151</v>
      </c>
      <c r="F185">
        <f>HYPERLINK("https://www.reddit.com/r/COVID19positive/comments/ft2v6e/diagnosed_and_recovered_symptoms_began_the_321/")</f>
        <v/>
      </c>
      <c r="G185" t="inlineStr">
        <is>
          <t>2020-04-01 09:20:32</t>
        </is>
      </c>
      <c r="H185" t="inlineStr">
        <is>
          <t>Tested Positive - Me</t>
        </is>
      </c>
    </row>
    <row r="186">
      <c r="A186" t="inlineStr">
        <is>
          <t>ft31p9</t>
        </is>
      </c>
      <c r="B186" t="inlineStr">
        <is>
          <t>Update from breathing issues guy.</t>
        </is>
      </c>
      <c r="C186" t="inlineStr">
        <is>
          <t>Thought I was sort of getting better, maybe 5 to 10 percent. Had one of my bad nights last night, went to e r this morning. Looked at heart with ekg and said it looked out which is good, drew blood and took X-ray of heart or lungs not sure. Seemed to think I looked out, nobody heard of citakin storm.
Day 13 so far. This virus is truly insane. If I live, I have no idea how long this will take, or how or when to go get treatment. I was sure I was having a heart attack, turned out I was ok. Hospital staff was cool but not sure if they would want me to come again. Blah. Still a bit worried about other organs including kidneys, but heart is weak organ so glad that is doing ok so far.
More Than anything I just feel Uber confused. Like for a few days I had this feeling I was getting better, even with bad swings. But last night was a real bad one where I thought I was going to die. Thought I was over that.
Anybody know if inhalers are a good idea? They gave me one, but for some reason I though steroids were bad?</t>
        </is>
      </c>
      <c r="D186" t="n">
        <v>1</v>
      </c>
      <c r="E186" t="n">
        <v>30</v>
      </c>
      <c r="F186">
        <f>HYPERLINK("https://www.reddit.com/r/COVID19positive/comments/ft31p9/update_from_breathing_issues_guy/")</f>
        <v/>
      </c>
      <c r="G186" t="inlineStr">
        <is>
          <t>2020-04-01 09:30:15</t>
        </is>
      </c>
      <c r="H186" t="inlineStr">
        <is>
          <t>Tested Positive - Me</t>
        </is>
      </c>
    </row>
    <row r="187">
      <c r="A187" t="inlineStr">
        <is>
          <t>ft349y</t>
        </is>
      </c>
      <c r="B187" t="inlineStr">
        <is>
          <t>Sorry if this is a dumb question- once recovered do we still need to wear a mask and gloves in public?</t>
        </is>
      </c>
      <c r="C187" t="inlineStr">
        <is>
          <t>It’s been almost 2 weeks since my symptoms improved. I only got a fever for one day but my husband tested positive so I’m pretty sure I caught it from him. He also felt better after a couple of days. We both had pretty mild symptoms. So once we are completely recovered and no longer contagious, when we go back outside do we still need to wear a mask? The only reason I ask is because I keep hearing that you will have immunity to the virus once you’ve already had it and can’t get sick again. I don’t know how much I believe that. I would rather we continue wearing masks but my husband thinks we no longer need them.</t>
        </is>
      </c>
      <c r="D187" t="n">
        <v>1</v>
      </c>
      <c r="E187" t="n">
        <v>6</v>
      </c>
      <c r="F187">
        <f>HYPERLINK("https://www.reddit.com/r/COVID19positive/comments/ft349y/sorry_if_this_is_a_dumb_question_once_recovered/")</f>
        <v/>
      </c>
      <c r="G187" t="inlineStr">
        <is>
          <t>2020-04-01 09:34:03</t>
        </is>
      </c>
      <c r="H187" t="inlineStr">
        <is>
          <t>Tested Positive - Me</t>
        </is>
      </c>
    </row>
    <row r="188">
      <c r="A188" t="inlineStr">
        <is>
          <t>ft58m0</t>
        </is>
      </c>
      <c r="B188" t="inlineStr">
        <is>
          <t>26M most likely positive. Anxious and scared. Need some positivity</t>
        </is>
      </c>
      <c r="C188" t="inlineStr">
        <is>
          <t>Hey guys. I know I’m pretty much positive because I’ve been in close contact with my uncle who needed to be hospitalized due to covid (he’s doing much better now). I also work in an ER. I got tested yesterday and the symptoms are getting worse. I’m freaking out. I can’t stay off subreddits and social media seeing people younger than me pass away. I had a 100.8 fever last night which is high for me. My body doesn’t do well with fevers and I also have GAD so my anxiety has been very high. I take medication for it. 
Last night was kinda rough. Fever has been fluctuating between 99.5-100.8. I take Tylenol, drink water, steam, drink vitamin C. I think I got exposed either Friday 3/27. I had a bad headache on Saturday and fatigue mostly Sunday. Temperature started to elevate on Monday through today. Idk. Today, when I take a deep breath, my chest gives me a sharp pain. I can’t stop panicking. I keep asking my cousin who’s a doctor and she says I’ll be fine since I’m 26 and I have no underlying conditions. I do smoke hookah occasionally though like once a month. My biggest worry is that my immediate family live 1500 miles away in Texas and I’m here in NJ. I feel so damn lonely even though I have extended family here. 
I know I’m basically positive. Idk what else to do. My biggest fear is that I become so SOB or get a temp do like 103-104 that I end up being admitted into the hospital and I can’t get that image out of my head. 
Looking for anything positive from people my age. What should I expect next? Will I be okay? I’m scared that I’ll be hospitalized or something. Any kind words would be appreciated because I need to calm tf down and let this thing run its course.</t>
        </is>
      </c>
      <c r="D188" t="n">
        <v>1</v>
      </c>
      <c r="E188" t="n">
        <v>74</v>
      </c>
      <c r="F188">
        <f>HYPERLINK("https://www.reddit.com/r/COVID19positive/comments/ft58m0/26m_most_likely_positive_anxious_and_scared_need/")</f>
        <v/>
      </c>
      <c r="G188" t="inlineStr">
        <is>
          <t>2020-04-01 11:06:17</t>
        </is>
      </c>
      <c r="H188" t="inlineStr">
        <is>
          <t>Tested Positive - Family</t>
        </is>
      </c>
    </row>
    <row r="189">
      <c r="A189" t="inlineStr">
        <is>
          <t>ft9kco</t>
        </is>
      </c>
      <c r="B189" t="inlineStr">
        <is>
          <t>Intensive care Doctor writes heart warming song to bring healthcare staff and public together!</t>
        </is>
      </c>
      <c r="C189" t="inlineStr">
        <is>
          <t>https://youtu.be/XYG5FcLBPiI 
I thought this song suited the thread well! The frontline is difficult but we can and will get through this together!!</t>
        </is>
      </c>
      <c r="D189" t="n">
        <v>1</v>
      </c>
      <c r="E189" t="n">
        <v>2</v>
      </c>
      <c r="F189">
        <f>HYPERLINK("https://www.reddit.com/r/COVID19positive/comments/ft9kco/intensive_care_doctor_writes_heart_warming_song/")</f>
        <v/>
      </c>
      <c r="G189" t="inlineStr">
        <is>
          <t>2020-04-01 14:55:31</t>
        </is>
      </c>
      <c r="H189" t="inlineStr">
        <is>
          <t>Tested Positive - Friends</t>
        </is>
      </c>
    </row>
    <row r="190">
      <c r="A190" t="inlineStr">
        <is>
          <t>ftaqmq</t>
        </is>
      </c>
      <c r="B190" t="inlineStr">
        <is>
          <t>Scared and don’t know what to do</t>
        </is>
      </c>
      <c r="C190" t="inlineStr">
        <is>
          <t>Hey guys, I’m a 23/M located in Florida. I transport for a hospital that has 5 confirmed and 20 rule out. Most who tested positive have already been sent home. I transported a patient without the proper PPE over a week ago and have been having symptoms besides my test coming back negative. Here’s is my timeline:
March 24: encounter patient who is a young 35 y/o make with high blood pressure, diabetes, and pneumonia.  Considered a rule out. 
March 25: Fine, no issues at all and resume my last day of work before two days off. 
March 26 - 29: Feel my lungs getting this heavy feeling that made it a bit uncomfortable and harder to breathe Thursday morning (26th). Nothing super serious, but enough where I start taking an inhaler prescribed by my doctor (albuterol) and buying Vick’s vapor rub. Both help a lot and I continue a strict regimen so that if I do have it I can prevent pneumonia as best as possible. 
That afternoon (26th), I get the call that my patient not only tested positive, but due to his pneumonia and other issues he was intubated. Scared the living shit out of me. Not the positive part, but the intubation. Someone that young should NEVER be intubated. He happen to work at my hospital as a nurse too. They’re watching him very closely since they know how fast COVID patients can change. 
March 30: very slight chest pressure. Overall great day except I went to bed with a headache. 
March 31: wake up with another headache, but No chest pressure anymore and am anticipating my results thinking maybe it was just a chest cold, but still didn’t sit right with me. 
April 1: wake up this morning with an upset stomach that leads me to not eat. Around noon my back starts to ache, which I thought was due to resting and laying down the last few days in the same spot. I also start to move towards a low grade fever at 99.6f which scares me. Where the hell is this fever coming from? 
I get the call that I tested negative, but due to my new fever and aches they want me to continue quarantine. Overall happy, until she tells me I’m not out of the clear yet cause the test only has a 60% accuracy rate. Posted, I know I don’t just have a flu or cold. 
Now I’m sitting here with a 100.4f low grade fever, upper body aches, lungs are fine, and no other symptom. 
I’m looking for some support and opinions. Genuinely, I’m scared. Not to get personal, but I have some much yet I want to accomplish, about to accept a job offer I’ve been trying to get for years, and a wonderful girlfriend. I REFUSE to let this virus win. And as optimistic as I am, I know this virus doesn’t discriminate against age, gender, or health. This virus scares me so much and I feel so much out of control with my own body. Do you guys recommend other OTC stuff and or things I can do to help myself, better chances, etc? 
Meds: inhaler (Albuterol), vitamin C, Vick’s vapor rub. 
Patient update: got word he is still intubated, but is doing a little better. He is still being strictly monitored.</t>
        </is>
      </c>
      <c r="D190" t="n">
        <v>1</v>
      </c>
      <c r="E190" t="n">
        <v>12</v>
      </c>
      <c r="F190">
        <f>HYPERLINK("https://www.reddit.com/r/COVID19positive/comments/ftaqmq/scared_and_dont_know_what_to_do/")</f>
        <v/>
      </c>
      <c r="G190" t="inlineStr">
        <is>
          <t>2020-04-01 16:02:07</t>
        </is>
      </c>
      <c r="H190" t="inlineStr">
        <is>
          <t>Tested Positive</t>
        </is>
      </c>
    </row>
    <row r="191">
      <c r="A191" t="inlineStr">
        <is>
          <t>ftd5ca</t>
        </is>
      </c>
      <c r="B191" t="inlineStr">
        <is>
          <t>Back into quarantine I go.</t>
        </is>
      </c>
      <c r="C191" t="inlineStr">
        <is>
          <t>This time I was tested immediately even with mild symptoms. Chest x-ray does show bronchitis. This time is an oral swab was done, along with rpp. Inhaler and azithromycin were prescribed and back into quarantine I go. I am worried anew.</t>
        </is>
      </c>
      <c r="D191" t="n">
        <v>1</v>
      </c>
      <c r="E191" t="n">
        <v>12</v>
      </c>
      <c r="F191">
        <f>HYPERLINK("https://www.reddit.com/r/COVID19positive/comments/ftd5ca/back_into_quarantine_i_go/")</f>
        <v/>
      </c>
      <c r="G191" t="inlineStr">
        <is>
          <t>2020-04-01 18:27:05</t>
        </is>
      </c>
      <c r="H191" t="inlineStr">
        <is>
          <t>Tested Positive</t>
        </is>
      </c>
    </row>
    <row r="192">
      <c r="A192" t="inlineStr">
        <is>
          <t>ftg96y</t>
        </is>
      </c>
      <c r="B192" t="inlineStr">
        <is>
          <t>Continuation of my symptoms</t>
        </is>
      </c>
      <c r="C192" t="inlineStr">
        <is>
          <t>So I got results back and it said that the covid is "undetected" in me. Well, regardless of that, today was a good day after the last 3 pretty rough ones. 
Up until an hour ago, I have developed a pretty irritating itch in the back of my throat. Drinking a lot of warm honey tea to  try to minimize the cough, but I am clearing my throat a lot to get out phlegm. I believe I am on day 12 of this crazy journey. Hoping the worst is behind me.
My doctor said to me, as I drove to get tested, that getting the test won't change the fact that I have all the symptoms. 
My father, while he says he feels better, I can hear it in his voice that he's tired/gets out of breath. My mom, who works at a bank that was allowing customers come in up until about 2 weeks ago, is now coughing a lot. I live downstairs and hear her...
Also, changed the flair to friends cause about 7 people have tested positive in my school district. Good thing we stayed open as long as we did to ensure it spread a bit more... I'm not bitter....</t>
        </is>
      </c>
      <c r="D192" t="n">
        <v>1</v>
      </c>
      <c r="E192" t="n">
        <v>1</v>
      </c>
      <c r="F192">
        <f>HYPERLINK("https://www.reddit.com/r/COVID19positive/comments/ftg96y/continuation_of_my_symptoms/")</f>
        <v/>
      </c>
      <c r="G192" t="inlineStr">
        <is>
          <t>2020-04-01 21:58:02</t>
        </is>
      </c>
      <c r="H192" t="inlineStr">
        <is>
          <t>Tested Positive - Friends</t>
        </is>
      </c>
    </row>
    <row r="193">
      <c r="A193" t="inlineStr">
        <is>
          <t>ftkd6c</t>
        </is>
      </c>
      <c r="B193" t="inlineStr">
        <is>
          <t>How to handle Covid in an apartment building</t>
        </is>
      </c>
      <c r="C193" t="inlineStr">
        <is>
          <t>My fiancé started feeling symptoms last Tuesday (3/24) of a sore throat and fatigue. Last night (4/1) and day 9 of symptoms was the absolute worst. 101.8 fever, coughing attacks, vomiting, the chills. 
We’ve been quarantined from each other for the past week and he was only just tested on Tuesday 3/31. 
My question is as of right now, I’m the healthier one of the two and only experiencing mild symptoms (some nasal congestion, minor cough, loss is smell), but we have two dogs and our apartment building is set up in a way where the hallways are enclosed. I have to go through at least two doors just to get to the outside area to walk them. How else can I function as a human/caretaker while still keeping others and myself safe? 
I’ve been taking necessary precautions. Bought ourselves cloth face masks, washing hands upon handling anything of my fiancé’s or upon coming back from outside. Disinfecting high traffic areas. I also open the window everyday just to get good air flow in the apartment.</t>
        </is>
      </c>
      <c r="D193" t="n">
        <v>1</v>
      </c>
      <c r="E193" t="n">
        <v>2</v>
      </c>
      <c r="F193">
        <f>HYPERLINK("https://www.reddit.com/r/COVID19positive/comments/ftkd6c/how_to_handle_covid_in_an_apartment_building/")</f>
        <v/>
      </c>
      <c r="G193" t="inlineStr">
        <is>
          <t>2020-04-02 03:58:30</t>
        </is>
      </c>
      <c r="H193" t="inlineStr">
        <is>
          <t>Tested Positive - Family</t>
        </is>
      </c>
    </row>
    <row r="194">
      <c r="A194" t="inlineStr">
        <is>
          <t>ftp028</t>
        </is>
      </c>
      <c r="B194" t="inlineStr">
        <is>
          <t>My experience with covid, and what I’m doing</t>
        </is>
      </c>
      <c r="C194" t="inlineStr">
        <is>
          <t>I am awaiting my results.. i possibly came in contact with somebody last Monday who’s has it that’s same week That Wednesday I felt a pain in my chest couldn’t breath well. Left work, had an on and off cough thought nothing of it. Went back to work (work at Costco) Friday Saturday Sunday felt fine but had a feeling in my chest I couldn’t explain (was thinking maybe anxious?) this Monday night I had a pain in my chest couldn’t breath well. Woke up all day Tuesday felt fine at night the chest pain and breathing came back around with diarrhea. Wednesday diarrhea back in the morning chest pain cough couldn’t breath, new I had something wrong. Got tested, chest X-ray was clear oxygen level at 99 they said lungs sounded fine. Gave me zpack antibiotics and sent away... today I’m still feeling all the symptoms, actually moved around a bit so that was positive. I have no appetite since yesterday. Have not had a fever but have chills.
I’ve been taking vitamin C, multi vitamin, Zinc
Antibiotics
Prior for about 2 months been taking Kratom-for back pain and immunity boosting property(if any of you know about kratom and take it or think it’s useful plzz speak up) I since stopped taking it.
What would you guys classify what day I’m on even if the symptoms started mild last week, or should I go by when they got bad?</t>
        </is>
      </c>
      <c r="D194" t="n">
        <v>1</v>
      </c>
      <c r="E194" t="n">
        <v>2</v>
      </c>
      <c r="F194">
        <f>HYPERLINK("https://www.reddit.com/r/COVID19positive/comments/ftp028/my_experience_with_covid_and_what_im_doing/")</f>
        <v/>
      </c>
      <c r="G194" t="inlineStr">
        <is>
          <t>2020-04-02 09:07:25</t>
        </is>
      </c>
      <c r="H194" t="inlineStr">
        <is>
          <t>Tested Positive - Me</t>
        </is>
      </c>
    </row>
    <row r="195">
      <c r="A195" t="inlineStr">
        <is>
          <t>ftqcd5</t>
        </is>
      </c>
      <c r="B195" t="inlineStr">
        <is>
          <t>Coronavirus with asthma</t>
        </is>
      </c>
      <c r="C195" t="inlineStr">
        <is>
          <t>I'm a 26 year old female in USA.
Past medical history: developed asthma after I had really bad bronchitis in 9th grade. My asthma has only been well controlled for the past few years, before then I would be at the hospital constantly with low oxygen and asthma attacks. I'm on albuterol and Symbicort 2 puffs twice a day. Here is my symptoms timeline:
03/24: cough developed. Sweated a lot, but I'm typically sweaty. Temperature of 99.5 
03/25: cough, but passed daily checkpoint screening to be allowed to work that shift. severe headache and body aches started around 2ish, no temp in the morning but at night it was around 102, only dipping a little bit after tylenol. Sense of smell started to diminish. I called my doc and this was my last day of work.
03/26: cough, sore throat, headache, body aches especially middle of upper back, fever of 100-101, slept horribly because I was in so much pain and felt horrible. Lost sense of taste and smell completely. 
03/27: took my very uncomfortable test at the hospital, where it felt like they shoved a footlong cotton swab thru my nose and into my brain lol. Same symptoms as the day before, temp steady at around 100 except on tylenol for pain. First case reported at work. Also started having diarrhea for the next couple days.
I dont really remember the next few days much, but my fever went away, the cough progressed more, I slept like 16 hours a day and my whole immediately family sadly got sick as well. 
I got the call back this morning that the test came back positive, which I was positive (haha a pun) I had it anyway. At some point I had horrible pressure in my head/sinuses and my eyeballs felt like they were gonna pop out and my ears were so clogged I felt like I was on an airplane and couldnt hear anything but was also very sensitive to any noise.
Regardless of the asthma, though, I should do just fine. I'm currently needing my inhaler more and produce a thick green mucus when I cough and it's getting harder to bring back up and my fever might be coming back so we have to watch to make sure it doesnt progress into pneumonia, but this was the extent of it.</t>
        </is>
      </c>
      <c r="D195" t="n">
        <v>1</v>
      </c>
      <c r="E195" t="n">
        <v>32</v>
      </c>
      <c r="F195">
        <f>HYPERLINK("https://www.reddit.com/r/COVID19positive/comments/ftqcd5/coronavirus_with_asthma/")</f>
        <v/>
      </c>
      <c r="G195" t="inlineStr">
        <is>
          <t>2020-04-02 10:19:27</t>
        </is>
      </c>
      <c r="H195" t="inlineStr">
        <is>
          <t>Tested Positive - Me</t>
        </is>
      </c>
    </row>
    <row r="196">
      <c r="A196" t="inlineStr">
        <is>
          <t>ftu1t7</t>
        </is>
      </c>
      <c r="B196" t="inlineStr">
        <is>
          <t>Tested Positive After Mild Symptoms and a week of DENIAL.</t>
        </is>
      </c>
      <c r="C196" t="inlineStr">
        <is>
          <t>M, 41, SF, USA-  Healthy otherwise. 
Sunday 3/22 noticed scratchy throat, had headache, aches, slight shortness of breath and mild cough. After 3 days I felt totally fine and shook it off as a regular cold. Was in denial that I could've contracted it, as had been careful about contact, hand-washing, distancing, etc. 
Saturday 3/28 I lost my sense of taste and smell suddenly. Also had uncomfortably sore legs which I saw mentioned once. Still mostly feeling fine, minor sinus pressure and pinched airway but still no fever, so still unsure but feeling more likely. 
Tuesday 3/31 I was able to see my doctor and he sent me to get a test, I thought it was weird because I didnt ask or want one. 20 minutes later I drove to a hospital parking lot and got a swab much further up my nose than I thought was possible. 
Thursday 4/2 Results came back positive. 
My takeaways:
 \- My symptoms never matched exactly with anyone else and I tried to read as many as possible. Best I can tell its a mixed bag and you get none, some or all. I never had diarrhea, fever or chills and because so many others had, I figured I didnt have it at first. 
\- Losing smell &amp;amp; taste was the strangest part. Its never happened and the first articles I read said it was an early symptom. After reading many accounts of 'anosmia' (loss of smell) on this sub-reddit and others, it feels like a later stage symptom. I am day 5 of no taste and hoping it comes back soon
\- Its been really mild which I am thankful for, but also nervous about how easily it can be spread to those that are more susceptible. STAY HOME.</t>
        </is>
      </c>
      <c r="D196" t="n">
        <v>1</v>
      </c>
      <c r="E196" t="n">
        <v>112</v>
      </c>
      <c r="F196">
        <f>HYPERLINK("https://www.reddit.com/r/COVID19positive/comments/ftu1t7/tested_positive_after_mild_symptoms_and_a_week_of/")</f>
        <v/>
      </c>
      <c r="G196" t="inlineStr">
        <is>
          <t>2020-04-02 13:38:11</t>
        </is>
      </c>
      <c r="H196" t="inlineStr">
        <is>
          <t>Tested Positive - Me</t>
        </is>
      </c>
    </row>
    <row r="197">
      <c r="A197" t="inlineStr">
        <is>
          <t>ftuhym</t>
        </is>
      </c>
      <c r="B197" t="inlineStr">
        <is>
          <t>FYI!!!!</t>
        </is>
      </c>
      <c r="C197" t="inlineStr">
        <is>
          <t>If you have had dry cough or fever in the last 24 hours......
If you have had nausea vomiting or diarrhea in the last 24 hours......
GET TESTED FOR CORONA!!!!!!</t>
        </is>
      </c>
      <c r="D197" t="n">
        <v>1</v>
      </c>
      <c r="E197" t="n">
        <v>5</v>
      </c>
      <c r="F197">
        <f>HYPERLINK("https://www.reddit.com/r/COVID19positive/comments/ftuhym/fyi/")</f>
        <v/>
      </c>
      <c r="G197" t="inlineStr">
        <is>
          <t>2020-04-02 14:02:22</t>
        </is>
      </c>
      <c r="H197" t="inlineStr">
        <is>
          <t>Tested Positive - Friends</t>
        </is>
      </c>
    </row>
    <row r="198">
      <c r="A198" t="inlineStr">
        <is>
          <t>ftuije</t>
        </is>
      </c>
      <c r="B198" t="inlineStr">
        <is>
          <t>Anybody else being treated with a Z pack?</t>
        </is>
      </c>
      <c r="C198" t="inlineStr">
        <is>
          <t>My doctor said while not commonly used for viruses, they are treating covid patients with it. I’m in NJ. Has it helped anyone?</t>
        </is>
      </c>
      <c r="D198" t="n">
        <v>1</v>
      </c>
      <c r="E198" t="n">
        <v>12</v>
      </c>
      <c r="F198">
        <f>HYPERLINK("https://www.reddit.com/r/COVID19positive/comments/ftuije/anybody_else_being_treated_with_a_z_pack/")</f>
        <v/>
      </c>
      <c r="G198" t="inlineStr">
        <is>
          <t>2020-04-02 14:03:10</t>
        </is>
      </c>
      <c r="H198" t="inlineStr">
        <is>
          <t>Tested Positive - Me</t>
        </is>
      </c>
    </row>
    <row r="199">
      <c r="A199" t="inlineStr">
        <is>
          <t>ftxqyv</t>
        </is>
      </c>
      <c r="B199" t="inlineStr">
        <is>
          <t>Update, and questions for long timers.</t>
        </is>
      </c>
      <c r="C199" t="inlineStr">
        <is>
          <t>Day 14 is almost over.  I feel like I'm about to freaking break here.  11 12 13 felt like I was getting better, now getting worse.  Prob not as bad as I've ever been like in week one, but scared I'm going to trend downward.
Can long timers give me insight into the second half of the teens, as far as how their journey went?  Good, bad?  Most long timers seem to get better in the 20s?  guess I might set my sights there now, thinking day 18 for now.
And yeah, for some reason day 14 really hurts.  Obv the virus is being mean, but also I am so exhausted fighting this thing.  I'm tired of being isolated and tired of being sick.
Hope y'all are doing ok and doing your best, I know you are.  Cheers and love.</t>
        </is>
      </c>
      <c r="D199" t="n">
        <v>1</v>
      </c>
      <c r="E199" t="n">
        <v>9</v>
      </c>
      <c r="F199">
        <f>HYPERLINK("https://www.reddit.com/r/COVID19positive/comments/ftxqyv/update_and_questions_for_long_timers/")</f>
        <v/>
      </c>
      <c r="G199" t="inlineStr">
        <is>
          <t>2020-04-02 17:11:29</t>
        </is>
      </c>
      <c r="H199" t="inlineStr">
        <is>
          <t>Tested Positive - Me</t>
        </is>
      </c>
    </row>
    <row r="200">
      <c r="A200" t="inlineStr">
        <is>
          <t>ftyizu</t>
        </is>
      </c>
      <c r="B200" t="inlineStr">
        <is>
          <t>Humidity makes it harder</t>
        </is>
      </c>
      <c r="C200" t="inlineStr">
        <is>
          <t>Anyone else with pneumonia getting better but experienced high humidity? Today it got very humid where I live and it was like an elephant sat on my chest. I’m recovering, post fever and antibiotics. I have the ac cranked down and that helps but no joke, it was scary.</t>
        </is>
      </c>
      <c r="D200" t="n">
        <v>1</v>
      </c>
      <c r="E200" t="n">
        <v>9</v>
      </c>
      <c r="F200">
        <f>HYPERLINK("https://www.reddit.com/r/COVID19positive/comments/ftyizu/humidity_makes_it_harder/")</f>
        <v/>
      </c>
      <c r="G200" t="inlineStr">
        <is>
          <t>2020-04-02 17:59:29</t>
        </is>
      </c>
      <c r="H200" t="inlineStr">
        <is>
          <t>Tested Positive - Me</t>
        </is>
      </c>
    </row>
    <row r="201">
      <c r="A201" t="inlineStr">
        <is>
          <t>ftzfc4</t>
        </is>
      </c>
      <c r="B201" t="inlineStr">
        <is>
          <t>Day 18</t>
        </is>
      </c>
      <c r="C201" t="inlineStr">
        <is>
          <t>I’m pretty much back to normal! My chest still feels slightly tight. I still can’t get up to exercise very intensely. I feel like it’s affected my blood pressure (spontaneous orthostatic hypotension, losing hearing momentarily in either ear, near fainting with pronounced heat). Otherwise, I feel pretty much like myself again. I would say I’m back to 75%/80% lung capacity compared to before, but I do get winded easily still. Still sleeping quite a bit more than usual, but, who knows if that’s due to the virus alone or a combo of stress/boredom and the virus. 
My partner hasn’t had very severe symptoms. The coughs are mild and the fever/chills/sweats are unpleasant but tolerable. He’s lost all sense of taste and appetite. He has taken to drinking bone broth and smoothies just to keep up some stomach content. It’s not looking grim, which is very good news. Hoping that his upswing in recovery is better than mine! 
We’re also hoping to contribute plasma in Toronto. I know Mount Sinai put out the call for recovered patients and antibodies. Are there other labs/hospitals in the area doing the same that anyone knows of??</t>
        </is>
      </c>
      <c r="D201" t="n">
        <v>1</v>
      </c>
      <c r="E201" t="n">
        <v>31</v>
      </c>
      <c r="F201">
        <f>HYPERLINK("https://www.reddit.com/r/COVID19positive/comments/ftzfc4/day_18/")</f>
        <v/>
      </c>
      <c r="G201" t="inlineStr">
        <is>
          <t>2020-04-02 18:57:06</t>
        </is>
      </c>
      <c r="H201" t="inlineStr">
        <is>
          <t>Tested Positive - Me</t>
        </is>
      </c>
    </row>
    <row r="202">
      <c r="A202" t="inlineStr">
        <is>
          <t>fu0r49</t>
        </is>
      </c>
      <c r="B202" t="inlineStr">
        <is>
          <t>The guidelines for when we’re no longer contagious are stupid</t>
        </is>
      </c>
      <c r="C202" t="inlineStr">
        <is>
          <t>I was bed ridden for 10 days straight. I got tested on day 15 of my symptoms and I’m currently on day 18 feeling fine. So on day 15 I tested positive, the guidelines say 7 days after onset of symptoms and three days after you’re not experiencing fever without medication. 
I tested positive on day 15 and wasn’t feeling great but definitely not dealing with a fever anymore. I’m on day 18 (self quarantine for 20 days) and pretty sure I haven’t spiked a temperature in a couple days at least. But I tested positive just three days ago... so when am I no longer contagious? 
I have absolutely no problem staying home and continuing to practice social distancing. I just wish there was a better guideline to when recovered people are safe to be around. I’m going to continue quarantining myself for another 14 days minimum just to be on the safe side.</t>
        </is>
      </c>
      <c r="D202" t="n">
        <v>1</v>
      </c>
      <c r="E202" t="n">
        <v>19</v>
      </c>
      <c r="F202">
        <f>HYPERLINK("https://www.reddit.com/r/COVID19positive/comments/fu0r49/the_guidelines_for_when_were_no_longer_contagious/")</f>
        <v/>
      </c>
      <c r="G202" t="inlineStr">
        <is>
          <t>2020-04-02 20:23:38</t>
        </is>
      </c>
      <c r="H202" t="inlineStr">
        <is>
          <t>Tested Positive - Me</t>
        </is>
      </c>
    </row>
    <row r="203">
      <c r="A203" t="inlineStr">
        <is>
          <t>fu0xt9</t>
        </is>
      </c>
      <c r="B203" t="inlineStr">
        <is>
          <t>Mild Symptoms don't equate to lack of pneumonia - not tested because it's hard to get tested but am positive</t>
        </is>
      </c>
      <c r="C203" t="inlineStr">
        <is>
          <t>I don't need to test to know I'm infected as being in the US it's impossible to get tested, even you have underlying conditions. I'm no longer going to fight for test and just deal with the cards given. We're not sure who infected who, but after traveling, my mother stayed with my sister for a couple of days before quarantine was fully in effect in New York. Both of them had a cough but seemed fine. Fast forward 4 days, my mother came down with a crazy high fever of 101.7 and it's been a battle since. She also developed the beginning stages of pneumonia. My sister also developed pneumonia. I myself got sick. I got a fever once and have been keeping the temperature down since. Aside from the body aches and inability to smell or taste much, I would say I have had pretty okay. I spoke tonmy sister and she said someone with mild symptoms had passed due to ignorance of her pneumonia. She recommended I go get checked. This morning I felt it was a little harder to breathe but I didn't know if it was because she had gotten me paranoid. Turns out I have pneumonia on both bottom of my lungs. When the doctor would listen with the stethoscope he would hear the top. This tells me it was just getting worse. Please, please, please go get a chest xray and if they refuse tell them to give it to you in writing that they refuse. This is an old trick used for other things. I now have the right medication to fight this. My sister is much better and my mother is slowly getting there</t>
        </is>
      </c>
      <c r="D203" t="n">
        <v>1</v>
      </c>
      <c r="E203" t="n">
        <v>13</v>
      </c>
      <c r="F203">
        <f>HYPERLINK("https://www.reddit.com/r/COVID19positive/comments/fu0xt9/mild_symptoms_dont_equate_to_lack_of_pneumonia/")</f>
        <v/>
      </c>
      <c r="G203" t="inlineStr">
        <is>
          <t>2020-04-02 20:36:20</t>
        </is>
      </c>
      <c r="H203" t="inlineStr">
        <is>
          <t>Tested Positive</t>
        </is>
      </c>
    </row>
    <row r="204">
      <c r="A204" t="inlineStr">
        <is>
          <t>fu2c4o</t>
        </is>
      </c>
      <c r="B204" t="inlineStr">
        <is>
          <t>Question to knowledgeable persons/positive cases</t>
        </is>
      </c>
      <c r="C204" t="inlineStr">
        <is>
          <t>Now I would like to start with saying outright that this time frame is before the official first cases in the US but due to circumstances I’m really wondering if I have had Covid-19 previously and can (slightly) tell my anxiety to relax. So here begins the story. 
Mid January a co-worker travels to Atlanta Georgia for work (via airplane) after his first week of three he became sick. I’m his own words “I called my wife and told her I didn’t think I was gonna wake up and would die alone in my hotel room” he told us he had sweat beading off his face in his 68 degree set hotel room, he had a terrible cough, was diagnosed by an ER physician with non-bacterial pneumonia and did not test positive for the flu. He was feeling better within around 7 days and was back to our normal office around day 6. Around early February me and a few co workers become sick, my personal experience was an unruly cough that medicine did not stop. My
Lungs felt heavy and I could not perform work tasks that I could normally do without skipping a beat. I never checked my temperature but did have co workers tell me I looked red, while I was almost breaking a sweat inside our air conditioned office. This lasted for around a week maybe a week and a half, I felt better for a few days and then had the cough return for a day. After that day I felt fine, this was about the start of March/a week into it. On March 9th a coworker called out for three consecutive days, with a fever/cover, returned to work for the Thursday-Monday following and again called out on Tuesday do to a fever. He was tested for Covid-19 on 3/16/20. I worked with him closely for around 20 hours between 3/13/20-3/16/20. I was quarantined on 3/17/20 and told not to return to work for 14 days, minimum. One week after he was tested he was told he was positive for Covid-19. During my quarantine period I experienced absolutely no symptoms. 
Does anyone with any knowledge/prior experience with being infected have any input on if I possibly already had it? Did I get lucky and experience an asymptomatic infection? Or was it possible during my 20 hours of exposure to this person I didn’t contract it? Any feed back is appreciated, and I do thank for reading through. 
TL;DR co worker got sick(diagnosed with non bacterial pneumonia)negative for flu , I got sick with same symptoms, another co worker who I worked with  got sick and tested for Covid-19 and was positive</t>
        </is>
      </c>
      <c r="D204" t="n">
        <v>1</v>
      </c>
      <c r="E204" t="n">
        <v>9</v>
      </c>
      <c r="F204">
        <f>HYPERLINK("https://www.reddit.com/r/COVID19positive/comments/fu2c4o/question_to_knowledgeable_personspositive_cases/")</f>
        <v/>
      </c>
      <c r="G204" t="inlineStr">
        <is>
          <t>2020-04-02 22:15:29</t>
        </is>
      </c>
      <c r="H204" t="inlineStr">
        <is>
          <t>Tested Positive - Friends</t>
        </is>
      </c>
    </row>
    <row r="205">
      <c r="A205" t="inlineStr">
        <is>
          <t>fu50jc</t>
        </is>
      </c>
      <c r="B205" t="inlineStr">
        <is>
          <t>nyc with no choice: how does a covid(+) share a bathroom with a covid(-)</t>
        </is>
      </c>
      <c r="C205" t="inlineStr">
        <is>
          <t>we each have a large bedroom with a window and radiator  
we can bring and remove food and drink to each other's door  
we can minimize bathroom trips using portable urinal  
we isolate cloths and shoes for only for bathroom trips  
we have plenty of lysol wipes, soaps and disinfectants  
logistically how can a covid positive share that one bathroom  
for the two weeks while he hopes not to infect his flatmate.  
there is no other choice, so don't bother advising about that.</t>
        </is>
      </c>
      <c r="D205" t="n">
        <v>1</v>
      </c>
      <c r="E205" t="n">
        <v>8</v>
      </c>
      <c r="F205">
        <f>HYPERLINK("https://www.reddit.com/r/COVID19positive/comments/fu50jc/nyc_with_no_choice_how_does_a_covid_share_a/")</f>
        <v/>
      </c>
      <c r="G205" t="inlineStr">
        <is>
          <t>2020-04-03 02:04:53</t>
        </is>
      </c>
      <c r="H205" t="inlineStr">
        <is>
          <t>Tested Positive</t>
        </is>
      </c>
    </row>
    <row r="206">
      <c r="A206" t="inlineStr">
        <is>
          <t>fu6hzd</t>
        </is>
      </c>
      <c r="B206" t="inlineStr">
        <is>
          <t>24F nurse with COVID</t>
        </is>
      </c>
      <c r="C206" t="inlineStr">
        <is>
          <t>I’ve been working directly with COVID positive patients for the past three weeks or so. 
Five days ago, my brother (21M), who lives in the same house as me, woke up with a high fever and the exact dry, grating cough that I’ve been hearing at work. He also had:
- Sinus issues: blocked “stuffy” nose, sore ears, hearing loss, and loss of taste and smell. 
- A mild headache and mild photophobia
- Extreme fatigue (he slept most of the day)
- Nausea and diarrhoea
- Mood swings and irritability (a common sign of viral infection)
- Very mild shortness of breath
At this point I had no symptoms whatsoever, but I phoned work to inform them that I would be self isolating as per our current policy (if we or anyone we live with develops COVID symptoms we’re to stay indoors for two weeks).
I had zero symptoms most of the following day either. But that night, I woke up at about 2am completely drenched in sweat, disorientated, with a racing heart and a pounding headache. Checked my temperature and it was 39.7 degrees C (about 103.5 F). 
I managed to crawl out of bed and downstairs to the kitchen to get some acetaminophen (what you call Tylenol in the States). Couldn’t face climbing back up the stairs, so I collapsed on the couch and slept there the rest of the night. 
Stayed on the couch most of the following day, mostly drifting in and out of sleep and occasionally crawling out to the bathroom in the hallway. My condition has been fluctuating between this (too wiped out to do anything, pretty much as bad as it’s been for me so far) and “relatively ok” (able time do light chores, cook food, etc with minor difficulty) on and off ever since.
Got swabbed a couple of days ago, swab came back positive for COVID-19 (I can safely assume my brother has it too since we’ve been living in the same house and his symptoms are virtually identical to mine).
Impressions so far: 
- In my short time working as an RN, I’ve had H1N1 (aka swine flu), norovirus, and a couple of standard seasonal influenza A strains. Picking up all sorts of gnarly bugs is one of the hazards of working in the medical field. But never before this, have I had my ass kicked so hard by a virus.
- So far, for me, COVID feels like a very bad flu, with bits and pieces of other viral infections thrown in... the sinus issues of the common cold (minus nasal drip and sneezing), and the gastrointestinal problems of norovirus.
- At work, I’ve been wearing full PPE and I have been as diligent as possible with my donning and doffing... and I still managed to catch it. Which shows you just how infectious this bastard virus is (though I could have caught it from somewhere outside of the hospital of course).
- This is hitting me and my brother like a freight train. And we’re relatively fit, healthy 20-somethings. I can’t imagine how rough it must be for anyone older or with comorbidities.
- Not pleasant, please keep me and my brother in your thoughts.
- Stay safe everyone.</t>
        </is>
      </c>
      <c r="D206" t="n">
        <v>1</v>
      </c>
      <c r="E206" t="n">
        <v>169</v>
      </c>
      <c r="F206">
        <f>HYPERLINK("https://www.reddit.com/r/COVID19positive/comments/fu6hzd/24f_nurse_with_covid/")</f>
        <v/>
      </c>
      <c r="G206" t="inlineStr">
        <is>
          <t>2020-04-03 04:08:40</t>
        </is>
      </c>
      <c r="H206" t="inlineStr">
        <is>
          <t>Tested Positive - Me</t>
        </is>
      </c>
    </row>
    <row r="207">
      <c r="A207" t="inlineStr">
        <is>
          <t>fu7f0w</t>
        </is>
      </c>
      <c r="B207" t="inlineStr">
        <is>
          <t>My timeline of symptoms.</t>
        </is>
      </c>
      <c r="C207" t="inlineStr">
        <is>
          <t>Hi, 
I'm really not sure if it's coronavirus or not but here it is. 
Me and my boyfriend where at the supermarket the 23rd of March. There was a huuuge line in front of the Supermarket and the wind was blowing very hard and the temp was like 2 °C. I'm fairly healthy slim girl aged 22.  My boyfriend's overweight. I got sick but my boyfriend didn't at all. 
5 days after the grocery shopping (28th of March): Scratchy throat. Thermometer (Food thermometer) registered 37.2 °C approx. 
29th of March: Still scratchy throat. Same temperature. We also had to move out because the lease has ended and it already got signed. We had to pack up stuff and it was very dusty. 
30th of March: Still scratchy throat. No fever
.Most of the packing and cleaning was done that day. We head to my boyfriend's parents' house to stay there.
31st of March: Actual sore throat and little bit of coughing. No fever. 
1st of April: Sore throat and a lot of coughing. Dry coughing, felt like there is something stuck is my throat. Still no fever
2nd of April: Cough subsided but felt like I caught cold.  alot of coughing but little sore throat. temperature 37.5 C max. Congested nose. Very hard to sleep. 
3rd of April: Headache. Runny nose. No coughing. Feels like very bad cold. swollen lymph node on the left side of neck.
As for my boyfriend, He doesn't show any symptoms at all, neither did his family. I'm finding it very weird. I haven't got any pain nor felt fatigued. It makes me doubt whether it's coronavirus or not.</t>
        </is>
      </c>
      <c r="D207" t="n">
        <v>1</v>
      </c>
      <c r="E207" t="n">
        <v>19</v>
      </c>
      <c r="F207">
        <f>HYPERLINK("https://www.reddit.com/r/COVID19positive/comments/fu7f0w/my_timeline_of_symptoms/")</f>
        <v/>
      </c>
      <c r="G207" t="inlineStr">
        <is>
          <t>2020-04-03 05:19:34</t>
        </is>
      </c>
      <c r="H207" t="inlineStr">
        <is>
          <t>Tested Positive</t>
        </is>
      </c>
    </row>
    <row r="208">
      <c r="A208" t="inlineStr">
        <is>
          <t>fu8pez</t>
        </is>
      </c>
      <c r="B208" t="inlineStr">
        <is>
          <t>26M London suspected positive but can’t get tested.</t>
        </is>
      </c>
      <c r="C208" t="inlineStr">
        <is>
          <t>Hi team - first signs of symptoms began last week Friday:
27/03 - vomited soon after dinner (thought I had food poisoning) and sweated heavily into the night with a surging fever. 
28 &amp;amp; 29/03 - couldn’t eat much and had frequent diarrhea and also very fatigued.
30/03 - felt about 70% was still fatigued and had diarrhea but managed to work for the day. Then in the evening experienced another fever and the start of a consistent tightness in my chest. No frequent coughing as of yet. I woke up every 2 hours breathless and sweating.
31/03 - still had a fever and was bed bound all day. Still loss of appetite and diarrhea. Chest tightness only when lying down. Quite nauseated but managed to have some rehydration salts and a bit of food in the evening. In the night - more breathing strains and fever was still present.
01/04 - better than day before although still weak. Managing to eat bland foods frequently throughout the day and ensuring I’m drinking at least 2L of water (besides hydration salts 2x a day) to keep hydrated. Bed bound again all day but able to move around without much dizziness/breathlessness. Diarrhea has almost subsided. Although still not normal bowel movements.
02/04 - fever has almost gone I believe but chest tightness/pain is there. Feels like someone’s sitting on your chest. Evening was rough - chest felt like it was on fire due to the tightness, took almost 4 hrs to fall asleep and had to do it on my side as no matter how I lay on my back it didn’t help. Only slept about 5hrs in total.
03/04 (today) - not as fatigued as before despite only sleeping 5 hrs yesterday and fever has subsided but chest tightness is still very much there. Still no persistent cough to report.
I’ve been in contact quite regularly with my clinicians over the week to discuss my symptoms and they think it’s not too serious yet as I can still string full sentences together without being breathless.
Hoping the worst of it is over but not sure what to expect - will be ready to keep fighting just like everyone else!</t>
        </is>
      </c>
      <c r="D208" t="n">
        <v>1</v>
      </c>
      <c r="E208" t="n">
        <v>8</v>
      </c>
      <c r="F208">
        <f>HYPERLINK("https://www.reddit.com/r/COVID19positive/comments/fu8pez/26m_london_suspected_positive_but_cant_get_tested/")</f>
        <v/>
      </c>
      <c r="G208" t="inlineStr">
        <is>
          <t>2020-04-03 06:47:05</t>
        </is>
      </c>
      <c r="H208" t="inlineStr">
        <is>
          <t>Tested Positive - Me</t>
        </is>
      </c>
    </row>
    <row r="209">
      <c r="A209" t="inlineStr">
        <is>
          <t>fub9t1</t>
        </is>
      </c>
      <c r="B209" t="inlineStr">
        <is>
          <t>Positive Look At The Coronavirus</t>
        </is>
      </c>
      <c r="C209" t="inlineStr">
        <is>
          <t>Two Countries, two strict quarantines. I interview my friend Tommaso from Italy on the [Them, That and This podcast](https://podcasts.apple.com/us/podcast/episode-14-quarantine-positivity-hour/id1492352561?i=1000470348499) and we talk the positives about quarantine. In a time when you can't turn on your television or computer without hearing a tragic or horrifying story, quarantine doesn't have to be a time of becoming numb, detached, depressed and lonesome. It actually presents a number of amazing opportunities and we talk about some.</t>
        </is>
      </c>
      <c r="D209" t="n">
        <v>1</v>
      </c>
      <c r="E209" t="n">
        <v>2</v>
      </c>
      <c r="F209">
        <f>HYPERLINK("https://www.reddit.com/r/COVID19positive/comments/fub9t1/positive_look_at_the_coronavirus/")</f>
        <v/>
      </c>
      <c r="G209" t="inlineStr">
        <is>
          <t>2020-04-03 09:17:53</t>
        </is>
      </c>
      <c r="H209" t="inlineStr">
        <is>
          <t>Tested Positive - Friends</t>
        </is>
      </c>
    </row>
    <row r="210">
      <c r="A210" t="inlineStr">
        <is>
          <t>fuc0u7</t>
        </is>
      </c>
      <c r="B210" t="inlineStr">
        <is>
          <t>Finally got taken seriously and prescribed an inhaler for my difficulty breathing</t>
        </is>
      </c>
      <c r="C210" t="inlineStr">
        <is>
          <t>I’m an active 23 year-old, no underlying health conditions. I understand that resources are limited but I was dismissed over the phone 2 times after having noticeable shortness of breath, because I didn’t have a cough and I didn’t have other conditions. 
Today I woke up feeling like someone was sitting on my chest, only able to take shallow breaths and lightheaded if I moved at all. My fiancé drove me to urgent care and I FINALLY was seen by a doctor who prescribed me an inhaler. 
I know it’s not the doctors’ fault, I know our country was unprepared. I’m just irritated that it took me literally almost passing out to be taken seriously.</t>
        </is>
      </c>
      <c r="D210" t="n">
        <v>1</v>
      </c>
      <c r="E210" t="n">
        <v>13</v>
      </c>
      <c r="F210">
        <f>HYPERLINK("https://www.reddit.com/r/COVID19positive/comments/fuc0u7/finally_got_taken_seriously_and_prescribed_an/")</f>
        <v/>
      </c>
      <c r="G210" t="inlineStr">
        <is>
          <t>2020-04-03 09:59:31</t>
        </is>
      </c>
      <c r="H210" t="inlineStr">
        <is>
          <t>Tested Positive - Me</t>
        </is>
      </c>
    </row>
    <row r="211">
      <c r="A211" t="inlineStr">
        <is>
          <t>fuc38u</t>
        </is>
      </c>
      <c r="B211" t="inlineStr">
        <is>
          <t>Cousin tested positive</t>
        </is>
      </c>
      <c r="C211" t="inlineStr">
        <is>
          <t>My cousin is currently on the ventilator and is fighting for his life. The entire situation is so confusing because one day his O2 levels would rise and the doctors would be so hopeful and the next day they’d be so low that the doctors would just say “this is all we could do you might consider taking him off the ventilator”. The whole situation is so devastating and heartbreaking that I cant handle it. 
But the absolute worst part is that his mother(my aunt) isn’t allowed to see him even in his final moments. She’s 60+ so they wont let her in the hospital without an emergency. His sister was the only one allowed to go inside and meet him. I hope he makes it. I pray to god he does, his mother cant handle the stress or the fact that he wont be there anymore. She just got over losing her husband and now losing her son would just kill her. 
If anyone could share their experience or their family’s experience on the ventilator that would really help us gain a perspective of what to expect. 
Also plasma treatment, does anyone know anything about it? 
I’m sorry for the ill formal or grammar i’m just not in the right mind frame emotionally to care.</t>
        </is>
      </c>
      <c r="D211" t="n">
        <v>6</v>
      </c>
      <c r="E211" t="n">
        <v>58</v>
      </c>
      <c r="F211">
        <f>HYPERLINK("https://www.reddit.com/r/COVID19positive/comments/fuc38u/cousin_tested_positive/")</f>
        <v/>
      </c>
      <c r="G211" t="inlineStr">
        <is>
          <t>2020-04-03 10:02:50</t>
        </is>
      </c>
      <c r="H211" t="inlineStr">
        <is>
          <t>Tested Positive - Family</t>
        </is>
      </c>
    </row>
    <row r="212">
      <c r="A212" t="inlineStr">
        <is>
          <t>fueme2</t>
        </is>
      </c>
      <c r="B212" t="inlineStr">
        <is>
          <t>Tested positive</t>
        </is>
      </c>
      <c r="C212" t="inlineStr">
        <is>
          <t>So I am a 33 male, no comorbidities. Decently fit and good lifestyle.
6 days back, I was down whole day with fatigue and diarrhoea. By evening, I had started having high temperature with sweats (no cough or sore throat yet). That night, I woke up with chills and suddenly felt like my throat was blocked. 
My wife rushed me to hospital in the morning. Thankfully, doctor advised for a test and I got positive results next day evening. I am in hospital now but my condition is getting better. I still have sore throats and bouts of nausea. I didnt lose sense of smell or taste, fyi
Stay safe guys. I hope to go back home soon</t>
        </is>
      </c>
      <c r="D212" t="n">
        <v>2</v>
      </c>
      <c r="E212" t="n">
        <v>7</v>
      </c>
      <c r="F212">
        <f>HYPERLINK("https://www.reddit.com/r/COVID19positive/comments/fueme2/tested_positive/")</f>
        <v/>
      </c>
      <c r="G212" t="inlineStr">
        <is>
          <t>2020-04-03 12:21:05</t>
        </is>
      </c>
      <c r="H212" t="inlineStr">
        <is>
          <t>Tested Positive - Me</t>
        </is>
      </c>
    </row>
    <row r="213">
      <c r="A213" t="inlineStr">
        <is>
          <t>fuf12j</t>
        </is>
      </c>
      <c r="B213" t="inlineStr">
        <is>
          <t>RECOVERED - COVID + PNEUMONIA</t>
        </is>
      </c>
      <c r="C213" t="inlineStr">
        <is>
          <t>I posted here several weeks ago and many people are asking about status so figured I would update here.
I was in the ER at NYU here in NYC about 10 days ago once my breathing got worse.  I was there for about 6 hours and was not admitted.  Got blood test, EKG, and chest x-ray.  Chest X-ray showed pneumonia.  Oxygen saturation was normal so they discharged me with antibiotic prescription for the pneumonia.  I saw a lot of people there in really really bad shape.  
Since then, I've been home on bed rest.  Was completely wiped out with fever for about a week after that.  Barely ate, zero appetite.  Raging hot sweats, then freezing cold chills.  All the symptoms, fairly severe, for about two weeks after first noticing symptoms.  Things started improving on Day 15 and now on Day 19 and feeling decent.  I'm still exhausted, need naps during the day, and sleeping about 10 hours a night.  Slight cough still and get periodic headaches and other pains.  But fever is gone along with other symptoms.  I'm generally up and about most of the day for the first time in two weeks.  Still ups and downs.  I expect I won't be 100% for another week or so.  
Thank you for everyone checking in on me.  I survived and am very thankful.  As someone else described it, I never felt like my life was in danger, but more like I was life-in-danger-adjacent.  Worst experience of my life, and terrifying.  Stay safe out there.</t>
        </is>
      </c>
      <c r="D213" t="n">
        <v>5</v>
      </c>
      <c r="E213" t="n">
        <v>86</v>
      </c>
      <c r="F213">
        <f>HYPERLINK("https://www.reddit.com/r/COVID19positive/comments/fuf12j/recovered_covid_pneumonia/")</f>
        <v/>
      </c>
      <c r="G213" t="inlineStr">
        <is>
          <t>2020-04-03 12:43:23</t>
        </is>
      </c>
      <c r="H213" t="inlineStr">
        <is>
          <t>Tested Positive - Me</t>
        </is>
      </c>
    </row>
    <row r="214">
      <c r="A214" t="inlineStr">
        <is>
          <t>fuf7ai</t>
        </is>
      </c>
      <c r="B214" t="inlineStr">
        <is>
          <t>28f, behavioral healthcare worker. just got the call i tested positive</t>
        </is>
      </c>
      <c r="C214" t="inlineStr">
        <is>
          <t>welp, i can’t say i’m surprised. i’m relatively healthy, do not smoke (vape use for the past three years), but do have an autoimmune disease. i’ve been on a mandatory quarantine since 3/23, as i was exposed to two positive individuals at work. i started having symptoms in 3/24, and finally was able to get tested on 4/1. i got a call from the doctor about two hours ago confirming my test result came back positive for covid-19. 
my symptoms were relatively minor, but i was knocked on my ass for about eight days. i’m finally starting to feel back to normal. the whole idea of testing positive is shaking me up and making my anxiety go crazy. i have to self-quarantine for another 14 days. is anyone else struggling mental health wise after a positive result?</t>
        </is>
      </c>
      <c r="D214" t="n">
        <v>2</v>
      </c>
      <c r="E214" t="n">
        <v>34</v>
      </c>
      <c r="F214">
        <f>HYPERLINK("https://www.reddit.com/r/COVID19positive/comments/fuf7ai/28f_behavioral_healthcare_worker_just_got_the/")</f>
        <v/>
      </c>
      <c r="G214" t="inlineStr">
        <is>
          <t>2020-04-03 12:53:24</t>
        </is>
      </c>
      <c r="H214" t="inlineStr">
        <is>
          <t>Tested Positive - Me</t>
        </is>
      </c>
    </row>
    <row r="215">
      <c r="A215" t="inlineStr">
        <is>
          <t>fuffwv</t>
        </is>
      </c>
      <c r="B215" t="inlineStr">
        <is>
          <t>What type of masks protect you against Coronavirus (COVID-19)?</t>
        </is>
      </c>
      <c r="C215" t="inlineStr">
        <is>
          <t>Type of masks that can protect you against COVID-19. There are many types of mask available in the market, but do you know which one can filtrate virus? To learn more, click the following link.   
 [https://hanssurgical.com/what-type-of-masks-protect-you-against-coronavirus-covid-19/](https://hanssurgical.com/what-type-of-masks-protect-you-against-coronavirus-covid-19/)</t>
        </is>
      </c>
      <c r="D215" t="n">
        <v>1</v>
      </c>
      <c r="E215" t="n">
        <v>3</v>
      </c>
      <c r="F215">
        <f>HYPERLINK("https://www.reddit.com/r/COVID19positive/comments/fuffwv/what_type_of_masks_protect_you_against/")</f>
        <v/>
      </c>
      <c r="G215" t="inlineStr">
        <is>
          <t>2020-04-03 13:06:49</t>
        </is>
      </c>
      <c r="H215" t="inlineStr">
        <is>
          <t>Tested Positive</t>
        </is>
      </c>
    </row>
    <row r="216">
      <c r="A216" t="inlineStr">
        <is>
          <t>fuhc9z</t>
        </is>
      </c>
      <c r="B216" t="inlineStr">
        <is>
          <t>Urgent Care</t>
        </is>
      </c>
      <c r="C216" t="inlineStr">
        <is>
          <t>I am a 24 year old female and I am overweight with high blood pressure.
I was tested yesterday due to the fact that I work for a hospital in my city and was in contact with 2 positive people. One of them being a relative who lives with me. 
My symptoms have been stabbing chest pains, sore upper back, diarrhea, dry mouth/skin, body aches, chills. I have everything but a dry cough. I do have shortness of breath every now and then. 
This morning I used the health app on my phone to check my heart rate and oxygen levels and the lowest BPM was 61 and the lowest oxygen was 90%. After speaking with a nurse friend of mine she told me to go get checked based on what the phone app was telling me. 
My relative has been improving. I just feel like I am deteriorating.</t>
        </is>
      </c>
      <c r="D216" t="n">
        <v>1</v>
      </c>
      <c r="E216" t="n">
        <v>12</v>
      </c>
      <c r="F216">
        <f>HYPERLINK("https://www.reddit.com/r/COVID19positive/comments/fuhc9z/urgent_care/")</f>
        <v/>
      </c>
      <c r="G216" t="inlineStr">
        <is>
          <t>2020-04-03 14:52:59</t>
        </is>
      </c>
      <c r="H216" t="inlineStr">
        <is>
          <t>Tested Positive - Me</t>
        </is>
      </c>
    </row>
    <row r="217">
      <c r="A217" t="inlineStr">
        <is>
          <t>fujjin</t>
        </is>
      </c>
      <c r="B217" t="inlineStr">
        <is>
          <t>Nurse, 37 y/o F</t>
        </is>
      </c>
      <c r="C217" t="inlineStr">
        <is>
          <t>Today I got my results of my swab, positive.  As someone in healthcare, on the front lines, I knew it was inevitable that I would get covid-19 so it is what it is...
Timeline of symptoms-
About 3 weeks ago, I started getting these headaches behind my eyes, and sensitive to light. I am accoustumed to migraines and these were not those. They were dull, achy pains that did not go away despite whatever I took or did. I busted through my special migraine meds allotted for the month in maybe a week.  
About 2 weeks ago, got a yeast infection that I couldn’t get to go away. 3 rounds of diflucan po and OTC, coupled with a lot of lower back pain. I chalked it up to stress and just dealt with it.
Last Sunday, the 29th, I went to work and started my shift just feeling tired and with back pain: this was nothing new, I have a toddler who doesn’t sleep and back always hurts. as the day wore on my legs ached, my joints were extremely painful and I felt super shitty when I got home. My husband also said he was achy and had a low grade temp sat night into Sunday.  By Sunday evening I called out of work for Monday, had a 99.6 and had a tickle in the back of my throat staring and a dry intermittent cough. 
Monday 3/30: felt like I got hit by a truck. Excruciating pain in my joints. So lethargic and uncomfortable. Chills. Sinus pressure/eye pain/headache. Zero appetite. Nausea. Sensitivity to noise. Thought it was flu? I had a flu outbreak in my facility...twice..and had one positive flu a and a whole unit on tamiflu. Called my doctor, wanted a flu swab, they said no and told me to monitor myself. No covid testing because I didn’t have a temp over 100.5 or have breathing problems. The whole day I barely moved. Just sitting upright for 5 minutes did me in. Drank Gatorade, threw up. No sense of smell or taste. 
Tuesday 3/31: felt even worse than Monday. Decided to see if urgent care would assess me due to my symptoms and being a healthcare worker. Went right there, they swabbed me and said they’d call me.  Nausea, low grade temps, some vomiting, no smell or taste, fatigue, chills. My whole body was causing me severe pain. Terrible neck pain. Couldn’t even walk down the steps without wanting to cry from pain.
Wednesday 4/1: barely made it out of bed, and only to use bathroom. That winded me from going 25 feet I just laid back down in bed. No smell, no taste, no appetite, no po intake besides like applesauce. Felt miserable. Low grade temps. Cough and sore throat gone
Thursday 4/2:  much like 4/1. Pained me to sit up.  Having anxiety.  Didn’t eat anything, barely drank. 
Today 4/3: slightly more energy. Didn’t immediately need to lay back down after opening my eyes. Having anxiety still. No taste or smell still, but able to eat some stuff and drink more.  Went outside for about an hour and the air felt good. 
Predominately for me my sx so far have been extreme body aches, joint pain, back pain, neck pain, loss of smell/taste, no appetite, headache, low grade temps on Tylenol ATC. My sp02 has been 95-96, usually it’s 100. My respiration’s overall are slightly higher than my normal. Used my albuterol inhaler twice. No respiratory component so I am lucky with that. 
Tired of being sick!</t>
        </is>
      </c>
      <c r="D217" t="n">
        <v>1</v>
      </c>
      <c r="E217" t="n">
        <v>103</v>
      </c>
      <c r="F217">
        <f>HYPERLINK("https://www.reddit.com/r/COVID19positive/comments/fujjin/nurse_37_yo_f/")</f>
        <v/>
      </c>
      <c r="G217" t="inlineStr">
        <is>
          <t>2020-04-03 17:03:54</t>
        </is>
      </c>
      <c r="H217" t="inlineStr">
        <is>
          <t>Tested Positive - Me</t>
        </is>
      </c>
    </row>
    <row r="218">
      <c r="A218" t="inlineStr">
        <is>
          <t>ful5mj</t>
        </is>
      </c>
      <c r="B218" t="inlineStr">
        <is>
          <t>(Update) (21 yr old female With Type 2 Diabetes) Caught Covid-19 Again!!</t>
        </is>
      </c>
      <c r="C218" t="inlineStr">
        <is>
          <t>If you remember my last post I had recently caught this virus and I had beat it with flying colors, and I described it as the Flu on Steroids, it beat the living daylight out of my immune system, but my immune system fought back it was no match for it.
so I recently went back to the place where I had originally caught it, I work as a commercial cleaner so I'm bound to pick up everything and anything, so I went back to the old grind and caught it again the exact same symptoms and everything.
Here's what I'm experiencing:
• **Then:** The confusion is nowhere near as bad as it was, what I first had caught it that was literally the worst symptom that I had, the confusion was off the charts couldn't tell where I was half the time.
**now:** very slight confusion, a little here and there but I'm completely coherent.
•**Then:** absolutely no appetite whatsoever, food was the very last thing on my mind, I had to force myself to eat and drink...I'm not urinating at all and my diarrhea is through the roof I'm also getting the stomach grumbles sometimes they wake me up at night...
**Now:** I have an appetite I could go for some potatoes... I'm urinating fine and I do have slight diarrhea, I still have the stomach grumbles and they do as well keep me up at night sometimes.
**Then:** a stupid headache that hurt mildly it was more annoying than anything and a sore throat that never went away
**Now:** don't really get a headache, and I don't really have a sore throat either just a lingering nagging cough
**Then:** lungs on freaking fire and I could barely breathe, it felt like somebody was tightening a belt around my lungs...
**Now:** I can breathe perfectly fine I don't really get out of breath, I can walk perfectly fine and I can jog and do everything.
**Then:** "Oh my God I might die."
**Now:**"The only thing I fear is the Lord."
**Repent now the Lord is coming, tell the Lord of your sins and be forgiven, he is the only cure he got me through this the first time and he's going to get me through it the second time**</t>
        </is>
      </c>
      <c r="D218" t="n">
        <v>1</v>
      </c>
      <c r="E218" t="n">
        <v>15</v>
      </c>
      <c r="F218">
        <f>HYPERLINK("https://www.reddit.com/r/COVID19positive/comments/ful5mj/update_21_yr_old_female_with_type_2_diabetes/")</f>
        <v/>
      </c>
      <c r="G218" t="inlineStr">
        <is>
          <t>2020-04-03 18:48:40</t>
        </is>
      </c>
      <c r="H218" t="inlineStr">
        <is>
          <t>Tested Positive</t>
        </is>
      </c>
    </row>
    <row r="219">
      <c r="A219" t="inlineStr">
        <is>
          <t>fumgdj</t>
        </is>
      </c>
      <c r="B219" t="inlineStr">
        <is>
          <t>I have corona</t>
        </is>
      </c>
      <c r="C219" t="inlineStr">
        <is>
          <t>Yesterday I looked in my fridge and found corona</t>
        </is>
      </c>
      <c r="D219" t="n">
        <v>1</v>
      </c>
      <c r="E219" t="n">
        <v>3</v>
      </c>
      <c r="F219">
        <f>HYPERLINK("https://www.reddit.com/r/COVID19positive/comments/fumgdj/i_have_corona/")</f>
        <v/>
      </c>
      <c r="G219" t="inlineStr">
        <is>
          <t>2020-04-03 20:20:22</t>
        </is>
      </c>
      <c r="H219" t="inlineStr">
        <is>
          <t>Tested Positive</t>
        </is>
      </c>
    </row>
    <row r="220">
      <c r="A220" t="inlineStr">
        <is>
          <t>fumr1k</t>
        </is>
      </c>
      <c r="B220" t="inlineStr">
        <is>
          <t>Loss of Smell/Taste: More than Two Weeks?</t>
        </is>
      </c>
      <c r="C220" t="inlineStr">
        <is>
          <t>I’m on Day 16 and get faint whiffs of strong smells like coffee and toothpaste, but I still can’t taste anything or smell anything consistently. I’m worried that this will be permanent. Has anyone experienced symptoms these long and are your senses coming back?</t>
        </is>
      </c>
      <c r="D220" t="n">
        <v>1</v>
      </c>
      <c r="E220" t="n">
        <v>14</v>
      </c>
      <c r="F220">
        <f>HYPERLINK("https://www.reddit.com/r/COVID19positive/comments/fumr1k/loss_of_smelltaste_more_than_two_weeks/")</f>
        <v/>
      </c>
      <c r="G220" t="inlineStr">
        <is>
          <t>2020-04-03 20:42:17</t>
        </is>
      </c>
      <c r="H220" t="inlineStr">
        <is>
          <t>Tested Positive - Me</t>
        </is>
      </c>
    </row>
    <row r="221">
      <c r="A221" t="inlineStr">
        <is>
          <t>fur4fh</t>
        </is>
      </c>
      <c r="B221" t="inlineStr">
        <is>
          <t>Breathing technique to help with fluid build up in lungs</t>
        </is>
      </c>
      <c r="C221" t="inlineStr">
        <is>
          <t>Can’t post videos on this sub but here’s a link to one where a doctor goes through 2 breathing techniques to help:
https://www.reddit.com/r/awesome/comments/fu9hfo/doctor_from_queens_hospital_gives_breathing/?utm_source=share&amp;amp;utm_medium=ios_app&amp;amp;utm_name=iossmf
When the doctor mentions lying in your front he means lying flat on your stomach with your head propped up on a pillow.
I have been using breathing techniques (including the “Huff method”) since April 2nd and my chest tightness has eased significantly.
Hope this helps someone!</t>
        </is>
      </c>
      <c r="D221" t="n">
        <v>1</v>
      </c>
      <c r="E221" t="n">
        <v>39</v>
      </c>
      <c r="F221">
        <f>HYPERLINK("https://www.reddit.com/r/COVID19positive/comments/fur4fh/breathing_technique_to_help_with_fluid_build_up/")</f>
        <v/>
      </c>
      <c r="G221" t="inlineStr">
        <is>
          <t>2020-04-04 03:01:57</t>
        </is>
      </c>
      <c r="H221" t="inlineStr">
        <is>
          <t>Tested Positive</t>
        </is>
      </c>
    </row>
    <row r="222">
      <c r="A222" t="inlineStr">
        <is>
          <t>fus38k</t>
        </is>
      </c>
      <c r="B222" t="inlineStr">
        <is>
          <t>Anyone else feeling nervous about coming out of self isolation to rejoin their housemates/family once considered “cleared” by a doctor?</t>
        </is>
      </c>
      <c r="C222" t="inlineStr">
        <is>
          <t>Hey everyone - I hope you are all doing well! 27/f here who tested positive on Tuesday, 3/24 (symptoms started 17 days ago). I have been in communication with my doctor who technically considers me “cleared” to leave my bedroom/self isolation to join my roommates in the rest of our house to continue sheltering in place. I have been symptom free (contagious symptoms like cough, fever, sneeze etc) for 9 days now and only still have lack of sense/smell lingering (what my doctor told me is considered a “side effect symptom” - not contagious. My point here is although I am technically cleared to join my housemates (7 days symptom free, the last 3 of which have zero cough or fever without the aid of Tylenol) I am feeling hesitant to do so. The doctors won’t “retest” me (for good reasoning) to see if I’m considered negative now, but I just wonder if this virus is in fact still in me and spreadable even with just some lack of taste/smell? My house mates both have compromised immune systems so I am self isolating for an extra week just in case, but I’m wondering if anyone else is almost feeling guilty about leaving their self-isolation to re-join their family/friends in their house? Sorry for the rambling... just feeling confused and a little overwhelmed about it all.</t>
        </is>
      </c>
      <c r="D222" t="n">
        <v>1</v>
      </c>
      <c r="E222" t="n">
        <v>87</v>
      </c>
      <c r="F222">
        <f>HYPERLINK("https://www.reddit.com/r/COVID19positive/comments/fus38k/anyone_else_feeling_nervous_about_coming_out_of/")</f>
        <v/>
      </c>
      <c r="G222" t="inlineStr">
        <is>
          <t>2020-04-04 04:24:25</t>
        </is>
      </c>
      <c r="H222" t="inlineStr">
        <is>
          <t>Tested Positive - Me</t>
        </is>
      </c>
    </row>
    <row r="223">
      <c r="A223" t="inlineStr">
        <is>
          <t>fusx9d</t>
        </is>
      </c>
      <c r="B223" t="inlineStr">
        <is>
          <t>Someone I know did a write up of their covid positive experience - 53F hospital worker</t>
        </is>
      </c>
      <c r="C223" t="inlineStr">
        <is>
          <t>I just wanted to post this solely because I spend a lot of time on this sub reading covid positive stories and a lot of them make me really anxious. This story is one of the mildest confirmed ones I've read and I feel like there's a lot like this that never get confirmed so wanted to share for a bit of positivity! Her whole family showed mild symptoms following this but didn't get tested. They are still isolating. 
Source - https://www.sor.org/news/covid-19-i-knew-it
Saturday
Morning: I wake following a 12.5 hour shift split between CT and MR, with my body letting me know I am 53 years old. My back ached, my pelvis ached and I just needed to move. It was then I realised I had spent eight hours in CT and had only drunk one glass of water. This was my punishment. I must remember to drink more.
Lunchtime: I took our 14-week-old puppy for a little exercise, which would take far too long for the short distance we would achieve! Even more annoying as I suddenly developed a runny nose just too far away from home. I must remember to carry clean tissues with the doggy bags and treats tub.
Mid-afternoon: Sat waiting in the car for 15 minutes while my husband picked up a late lunch. Now my hips are aching. I must remember to sit properly and protect my overworked spine.
Evening: Returned home early evening, so tired. My skin was sensitive and I had the dawning realisation that I had a high temperature. Slight headache, possibly aching joints. Fortunately, my husband had remembered new batteries for the thermometer.
My temperature was 38.4oC. I had had nine days sick leave in 30 years. Why did I have a raised temperature now, in the middle of a pandemic? I had a thick jumper on, I’d just been digging, it would go away. The runny nose had disappeared. No cough, no sore throat. I had a kidney infection, didn’t I?
I just happened to be contacted by a friend from work to whom I had described a half-hearted cold; nevertheless I was told I would have to inform management. I’ll do it tomorrow, if I remember.
Sunday
Morning: Temperature 37.7oC, headache still there, just. Flank pain still there, only just. I’d had no real symptoms but what if I had Covid-19? A slow, creeping feeling of dread came over me. I had worked in CT with six others, covered the evening in MR with another seven radiographers, including one on immunosuppression and vulnerable.
I couldn’t have Covid.
I just couldn’t.
Then I remembered that I had started the MR GA list with one consultant anaesthetist, more operating department practitioners (ODPs), and the ICU emergency in the late afternoon with another two consultant anaesthetists and more ODPs.
I’d singlehandedly wiped out half the hospital. All the fear and apprehension in the department and I could be the irresponsible one who had made it a reality.
But surely I was being stupid, I knew no-one with Covid-19, I’d dealt with no patients.
Get a grip!
Contacted management, yes, my temperature meant I need to self-isolate for seven days, my husband possibly 14. No one I had come into contact with needed to self-isolate. Unlikely I would be tested as I was probably not classed as frontline staff, and it is a 72-hour turnaround. I would be back at work anyway.
Monday
Should be at work. It is a beautiful day in the garden, headaches still lurking but I can’t stop thinking that I am imagining everything. It keeps going round and round and the anger starts to build. No call to be tested, I am not important.
I’m important at 3am when the patient just can’t wait until 7. I’m needed then.
Throat starts to feel strange. Is that a tickle? Just try to suppress it. Ignore it. By the evening, I’ve worked up a cough, nothing major, I just need to clear my throat. I am starting to lose my mind.
Same work friend rings to check on me. She has downloaded lots of information and listens to my selfish rants, squeezed between coughs. Am I just doing that for effect, like the patient who limps into the department but who you see running for the bus later?
Boris Johnson now announces a national lockdown. Too late to organise a Covid party, if I have it.
Tuesday
I am fine. Left all my work friends to face the fight alone. On-call needs covering as someone else now has to self-isolate. I could have helped had I been tested. Feel a fraud, embarrassed, helpless.
Wednesday
Husband has developed a headache. Too much screentime because he’s working from home? He may also have a tight chest but he can’t be sure. There are two of us at it now, breeding off each other with our imaginary Covid-19. I am tired, just no real energy.
Professor Sharon Peacock announces that 3.5 million test kits have been bought so doctors and nurses can return to work.
Seemingly radiographers do not count and the bitterness rises again. No call to be tested. Well, not for me, but Prince Charles tests positive.
Thursday
What could I be doing if they would just test me? Extra hours in CT, more MR on-call. Same friend calls in the evening to share a funny work story that starts me coughing; I haven’t coughed all day.
Go outside for the Clap for Carers and the cool night air makes more cough more. Funny how quickly the neighbours went back in!
Well, at least they think I’m positive, got some respect.
Friday
Now I just want to know. I need to know. Am I losing my mind?
Lunchtime: An unknown number appears on my phone. Public Health England: would I be free to go and be swabbed? Where do I live? Actually just around the corner from the lady who has phoned! Surreal conversation but then nothing is real anymore.
I will agree to anything; I have never been more happy to be called for a test. I drive to the hospital almost euphoric. I will know in three days. I am needed after all.
Saturday
Self-isolation ends. It has been over 48 hours since I had symptoms, so at last I can go for essential supplies. An hour in the supermarket and I am exhausted.
Sunday
Another day before I know my results but the stress is gone; tomorrow, I will finally know.
10.30am and an unexpected call. Public Health England. Sorry to call with bad news on a Sunday morning...
Oh no, I must be negative; it was all in my head!
You have tested positive for Covid-19. Ridiculous, but I am over the moon.
Monday
Back to work. Would I do tonight’s on-call please?
That has been Covid-19 as I knew it.</t>
        </is>
      </c>
      <c r="D223" t="n">
        <v>1</v>
      </c>
      <c r="E223" t="n">
        <v>21</v>
      </c>
      <c r="F223">
        <f>HYPERLINK("https://www.reddit.com/r/COVID19positive/comments/fusx9d/someone_i_know_did_a_write_up_of_their_covid/")</f>
        <v/>
      </c>
      <c r="G223" t="inlineStr">
        <is>
          <t>2020-04-04 05:31:23</t>
        </is>
      </c>
      <c r="H223" t="inlineStr">
        <is>
          <t>Tested Positive - Friends</t>
        </is>
      </c>
    </row>
    <row r="224">
      <c r="A224" t="inlineStr">
        <is>
          <t>fuw0nn</t>
        </is>
      </c>
      <c r="B224" t="inlineStr">
        <is>
          <t>Just lost my sense of taste and smell!</t>
        </is>
      </c>
      <c r="C224" t="inlineStr">
        <is>
          <t>I have not been formally tested but I am convinced I have it now. 
I believe I am a week into my symptoms, which included headache, temperature, sweating, shortness of breath, nausea, coughing and horrible pain in my torso. Though most have come and gone in bouts.
As of this morning, 7th day from my first headache and cough, I’ve also lost my sense of taste and smell. Other than this the only other noticeable symptom is a slight shortness of breath.
I was wondering if this usually happens to people halfway through their illness like it seems to have to me? How long does it typically last?</t>
        </is>
      </c>
      <c r="D224" t="n">
        <v>1</v>
      </c>
      <c r="E224" t="n">
        <v>3</v>
      </c>
      <c r="F224">
        <f>HYPERLINK("https://www.reddit.com/r/COVID19positive/comments/fuw0nn/just_lost_my_sense_of_taste_and_smell/")</f>
        <v/>
      </c>
      <c r="G224" t="inlineStr">
        <is>
          <t>2020-04-04 08:55:40</t>
        </is>
      </c>
      <c r="H224" t="inlineStr">
        <is>
          <t>Tested Positive - Me</t>
        </is>
      </c>
    </row>
    <row r="225">
      <c r="A225" t="inlineStr">
        <is>
          <t>fuxf7i</t>
        </is>
      </c>
      <c r="B225" t="inlineStr">
        <is>
          <t>They are failing so bad at containment and tracing.</t>
        </is>
      </c>
      <c r="C225" t="inlineStr">
        <is>
          <t>Im in the USA, My aunt has been sick for two weeks, three days ago she felt better and came out of her house and headed to the drug store. While at the drugstore, she fainted; ems picked her up and took her to the ER. She tested positive for Covid19 and was sent home to isolate. I think is safe to say that she came into contact with more than 10 people during that episode, guess how many people were contacted to inform them of exposure...none. This situation is going to go for long guys, y’all better hang tight.</t>
        </is>
      </c>
      <c r="D225" t="n">
        <v>1</v>
      </c>
      <c r="E225" t="n">
        <v>44</v>
      </c>
      <c r="F225">
        <f>HYPERLINK("https://www.reddit.com/r/COVID19positive/comments/fuxf7i/they_are_failing_so_bad_at_containment_and_tracing/")</f>
        <v/>
      </c>
      <c r="G225" t="inlineStr">
        <is>
          <t>2020-04-04 10:16:56</t>
        </is>
      </c>
      <c r="H225" t="inlineStr">
        <is>
          <t>Tested Positive - Family</t>
        </is>
      </c>
    </row>
    <row r="226">
      <c r="A226" t="inlineStr">
        <is>
          <t>fuyar8</t>
        </is>
      </c>
      <c r="B226" t="inlineStr">
        <is>
          <t>Conjunctivitis</t>
        </is>
      </c>
      <c r="C226" t="inlineStr">
        <is>
          <t>Hey,
I went to a testing facility and the doc there told me she is 99% sure I have coronavirus, but I couldn’t get a test because I’m only 30, they’re saving the tests for healthcare workers and folks over 60. 
My most prominent symptoms are:
Chest pain/shortness of breath
Conjunctivitis of both eyes
My fever is 99.5, and I’m fatigued, but I have lupus so I always feel pretty garbage. 
Anyone else have this weird symptom? How is your course running? 
Thank you!</t>
        </is>
      </c>
      <c r="D226" t="n">
        <v>1</v>
      </c>
      <c r="E226" t="n">
        <v>16</v>
      </c>
      <c r="F226">
        <f>HYPERLINK("https://www.reddit.com/r/COVID19positive/comments/fuyar8/conjunctivitis/")</f>
        <v/>
      </c>
      <c r="G226" t="inlineStr">
        <is>
          <t>2020-04-04 11:06:35</t>
        </is>
      </c>
      <c r="H226" t="inlineStr">
        <is>
          <t>Tested Positive</t>
        </is>
      </c>
    </row>
    <row r="227">
      <c r="A227" t="inlineStr">
        <is>
          <t>fuz4x5</t>
        </is>
      </c>
      <c r="B227" t="inlineStr">
        <is>
          <t>COVID positive with GI symptoms - diary</t>
        </is>
      </c>
      <c r="C227" t="inlineStr">
        <is>
          <t>Sharing the timeline  of my symptoms - if it helps.
I am a healthy 38/M - not overweight, moderately active(walk 15 miles and run 7 miles a week) and with no underlying health issues.
Day 1 - Mild throat irritation.  No soreness or pain.
Day 2 - Low grade fever 99F until evening.  Fever was 101 late evening and whole body ached. Took ibuprofen at night.
Day 3 - Bad body ache and malaise.   Felt could not stand on my feet due to weakness and  lightheadedness.  Lost sense of smell and taste for next 3 days. Fever 102. Took 3 doses of ibuprofen through the day. Pain behind the eye for next 3 days. Had severe bloating and belching.  Had confusion and slight dizziness.
Day 4 - Woke up - went to the restroom - came out - had a blackout and crashed on the floor.  Never experienced this ever before in my life.  Went to my doctor where my temp was recorded 100.  By evening fever was gone.  Was feeling much better.  Only stomach was making severe rumbling and churning noise continuously.  Bloating and belching continued.
Day 5 - Symptoms same as day 4.  Started on probiotic - Culturelle - and antacid - Pantoprozaole on instr from by doctor.  Had an episode of diarrhea.
Day 6 - 8 - Mild SOB.  Felt out of breath talking over the phone.  Had mild abdominal cramps, bloating and belching and stools were soft and not normal.
Day 9 - Went to ER since SOB worsened relatively. Shallow breathing was ok but could breathe deep.  Felt like room was out of air.   Chest Xray CT scan came normal - O2 was normal. GI symptoms continued but forgot to mention to ER.  Sent back home.
Day 10 - 12 SOB and GI remained the same.  My GP told me my SOB could be because of the acidity and bloating.
Day 13 - Went to ER for SOB again.  XRAY came normal.  EKG was normal.   Learnt a coworker tested positive a day earlier.  ER took a swab since I had possible exposure.  Was told the swab might get rejected given by age and relatively mild symptoms.  Sent back home and asked to talk to GP for my GI symptoms.
Day 15 - Felt better for the first time like some of my body strength came back.  Started work from home.  Mild SOB.  GI symptoms continued but with constipation.
Day 16 - 20   GI symptoms remained the same. Mild SOB.  Had chills out of nowhere in the evenings and nights.  Felt very cold even though the weather was not as much.  Had swollen and sore lymph nodes on chest and arm. Felt like I had irregular HB/tachycardia at nights. Abdominal cramps got worse on day 18 and 19.  Had mild dizziness on and off. Had difficulty sleeping - kept waking up for no reason.
Day 21 -23 Kept getting progressively better.
Day 24 - Felt much better.  HB/tachycardia gone.  Late in the evening got call from ER doctor confirming positive test.  
Day 25 - 26 - No weakness or malaise.  SOB gone.  No abdominal cramps and pains.  Just constipated and a little acidity.  Lymph node soreness/pain subsided.  Hoping no new symptoms come up.  Will talk to my doctor about when I can resume my running and cycling - curious to know how my body holds up.</t>
        </is>
      </c>
      <c r="D227" t="n">
        <v>5</v>
      </c>
      <c r="E227" t="n">
        <v>55</v>
      </c>
      <c r="F227">
        <f>HYPERLINK("https://www.reddit.com/r/COVID19positive/comments/fuz4x5/covid_positive_with_gi_symptoms_diary/")</f>
        <v/>
      </c>
      <c r="G227" t="inlineStr">
        <is>
          <t>2020-04-04 11:55:33</t>
        </is>
      </c>
      <c r="H227" t="inlineStr">
        <is>
          <t>Tested Positive - Me</t>
        </is>
      </c>
    </row>
    <row r="228">
      <c r="A228" t="inlineStr">
        <is>
          <t>fv0mtn</t>
        </is>
      </c>
      <c r="B228" t="inlineStr">
        <is>
          <t>22 M positive - was told he’ll always test positive. This sound right?</t>
        </is>
      </c>
      <c r="C228" t="inlineStr">
        <is>
          <t>My nephew is 22 and in great shape with no symptoms other than loss of taste and smell which has recovered. He’s living in close quarters with his family. They have all tested negative. They were all sick in February.  However he came back positive. He has type one diabetes.
Over the phone he was told that he should not retest because “once you’re positive you will always test positive.” This sounded incorrect so if anyone could shed some light on the answer I would greatly appreciate it.
Ty!</t>
        </is>
      </c>
      <c r="D228" t="n">
        <v>2</v>
      </c>
      <c r="E228" t="n">
        <v>17</v>
      </c>
      <c r="F228">
        <f>HYPERLINK("https://www.reddit.com/r/COVID19positive/comments/fv0mtn/22_m_positive_was_told_hell_always_test_positive/")</f>
        <v/>
      </c>
      <c r="G228" t="inlineStr">
        <is>
          <t>2020-04-04 13:23:32</t>
        </is>
      </c>
      <c r="H228" t="inlineStr">
        <is>
          <t>Tested Positive - Family</t>
        </is>
      </c>
    </row>
    <row r="229">
      <c r="A229" t="inlineStr">
        <is>
          <t>fv4owe</t>
        </is>
      </c>
      <c r="B229" t="inlineStr">
        <is>
          <t>I don’t have symptoms anymore but had to take a test to go back to work after I called out because I was sick, and I tested positive and wanted to share my experience with having it</t>
        </is>
      </c>
      <c r="C229" t="inlineStr">
        <is>
          <t>I have high bp from anxiety and bad asthma since I was a kid, so when I get a cold or even allergies from someones cat I usually get bronchitis for a week or so and was hospitalized with pneumonia a few times back in high school because of that stuff, and when I first got sick with covid-19 the bronchitis symptoms were instant, and I had a really bad cough and woke up wheezing everyday, I used my albuterol inhaler and it helped with it. The first few days I had a bad fever and felt like absolute crap but after that the morning wheeze went away and I felt like I didn’t need to take anything like robitussin or advil after a couple days. Im still alive and feeling a lot better right now and haven’t had any symptoms for at least a week and just wanted to let people know that its not a death sentence even if you have something like asthma and that you shouldn’t let fear of covid-19 run your life :)</t>
        </is>
      </c>
      <c r="D229" t="n">
        <v>4</v>
      </c>
      <c r="E229" t="n">
        <v>94</v>
      </c>
      <c r="F229">
        <f>HYPERLINK("https://www.reddit.com/r/COVID19positive/comments/fv4owe/i_dont_have_symptoms_anymore_but_had_to_take_a/")</f>
        <v/>
      </c>
      <c r="G229" t="inlineStr">
        <is>
          <t>2020-04-04 17:38:16</t>
        </is>
      </c>
      <c r="H229" t="inlineStr">
        <is>
          <t>Tested Positive</t>
        </is>
      </c>
    </row>
    <row r="230">
      <c r="A230" t="inlineStr">
        <is>
          <t>fv5zss</t>
        </is>
      </c>
      <c r="B230" t="inlineStr">
        <is>
          <t>Presumed positive - only symptom is seeming random episodes of shortness of breath. Awaiting test results. COVID or previous injury?</t>
        </is>
      </c>
      <c r="C230" t="inlineStr">
        <is>
          <t>If you look through my post history, I’ve posted a few times asking about purely having respiratory symptoms, whether or not my anxiety could be the cause of my issues, etc., but now I’m getting nervous. I will spend all day completely fine and then get hit with this wave of chest tightness, labored breathing, burning in my throat, and lightheadedness. I’ve had minor symptoms for a few weeks but this only started within the past week. I don’t necessarily feel anxious before these episodes, but they often go away if I get up and walk around and get involved in something else. At first I was able to get rid of them by steadying my breathing and relaxing my lungs but now it isn’t working anymore. This lasts about an hour or two. I went to urgent care yesterday and was told that my lungs sounded fine and that my blood oxygen was 100%. I had some drainage in my throat, but I have an underdeveloped sinus so this is not uncommon.
The thing is... I just remembered that a few weeks ago, I did something stupid and ended up applying a lot of pressure to my windpipe. I felt weird for a few days (vertigo, uncomfortable breathing), and it mostly went away... But not quite. I’ve been feeling weird since and it just hit me that this could be my problem. 
I guess I’m just confused. I have no fever, significant fatigue or body aches, GI issues that can’t be explained by something else, and I don’t cough unless I’m voluntarily clearing my throat during an episode. WTF is going on?</t>
        </is>
      </c>
      <c r="D230" t="n">
        <v>1</v>
      </c>
      <c r="E230" t="n">
        <v>4</v>
      </c>
      <c r="F230">
        <f>HYPERLINK("https://www.reddit.com/r/COVID19positive/comments/fv5zss/presumed_positive_only_symptom_is_seeming_random/")</f>
        <v/>
      </c>
      <c r="G230" t="inlineStr">
        <is>
          <t>2020-04-04 19:08:16</t>
        </is>
      </c>
      <c r="H230" t="inlineStr">
        <is>
          <t>Tested Positive - Me</t>
        </is>
      </c>
    </row>
    <row r="231">
      <c r="A231" t="inlineStr">
        <is>
          <t>fv6ble</t>
        </is>
      </c>
      <c r="B231" t="inlineStr">
        <is>
          <t>Stomach symptoms ONLY?</t>
        </is>
      </c>
      <c r="C231" t="inlineStr">
        <is>
          <t>Hello! I am looking for some insight for my mother (69F). My father (68M) tested positive and after over 3 weeks of feeling sick, he is finally recovering. He had coughing, fever, lost smell/taste, very weak, relentless headache, had skin pain, and severe lower back pain. 
My mom took the test on the same day as my dad, and her test came back as “COVID19 undetectable.” She has had no symptoms after my dad got sick. 
However, two weeks before my dad showed his first symptoms, she had what she described as the worst stomach virus of her life. She had no respiratory symptoms or fever. She considered going the hospital (as her gums were pale and she couldn’t keep any food/water in) but she started to feel better after 4 days. 
We are wondering if she could have given it to my dad. I know there are many explanations for her symptoms (virus; food poisoning) and her negative test (maybe false reading) but my question is... 
Has anyone out there had digestive symptoms ONLY.... AND tested positive?</t>
        </is>
      </c>
      <c r="D231" t="n">
        <v>1</v>
      </c>
      <c r="E231" t="n">
        <v>15</v>
      </c>
      <c r="F231">
        <f>HYPERLINK("https://www.reddit.com/r/COVID19positive/comments/fv6ble/stomach_symptoms_only/")</f>
        <v/>
      </c>
      <c r="G231" t="inlineStr">
        <is>
          <t>2020-04-04 19:32:04</t>
        </is>
      </c>
      <c r="H231" t="inlineStr">
        <is>
          <t>Tested Positive - Family</t>
        </is>
      </c>
    </row>
    <row r="232">
      <c r="A232" t="inlineStr">
        <is>
          <t>fv6bsv</t>
        </is>
      </c>
      <c r="B232" t="inlineStr">
        <is>
          <t>Cough relapse at almost 3 weeks?</t>
        </is>
      </c>
      <c r="C232" t="inlineStr">
        <is>
          <t>Started with a cough 3/17, fever 3/18-3/20, cough got really bad 3/20-3/23, then started to ease. Saw steady improvement for the next week, and was feeling decently better 3/30-4/2. The cough started to come back yesterday and has gotten a little worse today. 
I’m worried. I know the crash tends to happen around a week to two weeks, so I should be past that point. I felt like I was on the mend, and now I’m back to feeling sick. 
Anyone else experience a relapse of symptoms this far out? Should I be concerned?</t>
        </is>
      </c>
      <c r="D232" t="n">
        <v>1</v>
      </c>
      <c r="E232" t="n">
        <v>7</v>
      </c>
      <c r="F232">
        <f>HYPERLINK("https://www.reddit.com/r/COVID19positive/comments/fv6bsv/cough_relapse_at_almost_3_weeks/")</f>
        <v/>
      </c>
      <c r="G232" t="inlineStr">
        <is>
          <t>2020-04-04 19:32:27</t>
        </is>
      </c>
      <c r="H232" t="inlineStr">
        <is>
          <t>Tested Positive - Me</t>
        </is>
      </c>
    </row>
    <row r="233">
      <c r="A233" t="inlineStr">
        <is>
          <t>fv7y9u</t>
        </is>
      </c>
      <c r="B233" t="inlineStr">
        <is>
          <t>Breathing through a cheese cloth</t>
        </is>
      </c>
      <c r="C233" t="inlineStr">
        <is>
          <t>For those of us who have tested positive or presumed,.have you found that certain food can make your breathing worse? Or maybe it's having a full meal rather than snacks?
I'm on day 19 or 20 honestly not sure. Symptoms have been coming and going. But they seem to get worse after eating a bigger meal. The worst was after pizza?? Happened twice it was so weird.</t>
        </is>
      </c>
      <c r="D233" t="n">
        <v>1</v>
      </c>
      <c r="E233" t="n">
        <v>6</v>
      </c>
      <c r="F233">
        <f>HYPERLINK("https://www.reddit.com/r/COVID19positive/comments/fv7y9u/breathing_through_a_cheese_cloth/")</f>
        <v/>
      </c>
      <c r="G233" t="inlineStr">
        <is>
          <t>2020-04-04 21:35:14</t>
        </is>
      </c>
      <c r="H233" t="inlineStr">
        <is>
          <t>Tested Positive</t>
        </is>
      </c>
    </row>
    <row r="234">
      <c r="A234" t="inlineStr">
        <is>
          <t>fv8hh2</t>
        </is>
      </c>
      <c r="B234" t="inlineStr">
        <is>
          <t>Family is mad at us for testing positive</t>
        </is>
      </c>
      <c r="C234" t="inlineStr">
        <is>
          <t>My boyfriend and I returned from an international trip earlier this month and my mom insisted that we quarantine with my parents when we got back. About 3 weeks after we got back, my boyfriend developed symptoms and got tested. He’s positive, which almost certainly means I’m also positive (with more mild symptoms). I told my parents &amp;amp; they immediately got upset. My mom won’t even talk to me really. Does anyone else have any experiences with people getting mad for possibly exposing them? I feel like it’s kind of unfair &amp;amp; an unneeded stressor</t>
        </is>
      </c>
      <c r="D234" t="n">
        <v>1</v>
      </c>
      <c r="E234" t="n">
        <v>19</v>
      </c>
      <c r="F234">
        <f>HYPERLINK("https://www.reddit.com/r/COVID19positive/comments/fv8hh2/family_is_mad_at_us_for_testing_positive/")</f>
        <v/>
      </c>
      <c r="G234" t="inlineStr">
        <is>
          <t>2020-04-04 22:17:54</t>
        </is>
      </c>
      <c r="H234" t="inlineStr">
        <is>
          <t>Tested Positive - Me</t>
        </is>
      </c>
    </row>
    <row r="235">
      <c r="A235" t="inlineStr">
        <is>
          <t>fvb57e</t>
        </is>
      </c>
      <c r="B235" t="inlineStr">
        <is>
          <t>Day 28</t>
        </is>
      </c>
      <c r="C235" t="inlineStr">
        <is>
          <t>I don't know how to link my previous post, but I made a post last week when I found out I was positive for Covid 19.  Since a few people have followed me and ask about the progression I wanted to give an update.
Day 20 - got the test in the morning,  was having trouble breathing so went to the ER.  ER gave prednisone for 4 days and albuterol inhaler as well as nausea medication 
Day 21 - breathing problems even worse than before, even with prednisone and inhaler.  Can't even leave the bed without getting winded.  Can't have conversations or speak full sentences without getting winded.   Sleep constantly. Temperature just over 100. Sweating and upper back pain is constant.  Using inhaler every couple of hours.
Day 22 - breathing is -a hair- better.  Now  feelings of dread and imminent death are constant.  Temperature still in the low 100's. Trouble sleeping but I think it's from the prednisone. 
Day 23 - breathing just a hair better still. Using inhaler every few hours. Still very winded from walking to the bathroom or having a conversation.  Feels almost like I lost my voice. Borderline hysterical from stress. High heart rates, still sweating. 
Day 24 - have finished prednisone. Breathing is better.  Using inhaler less. Still sleeping and not leaving bed.  Just reading books all day every day.  Feelings of stress and dread have decreased.  Temperature still low 100's.
My stool turned completely solid, like stone, I'm assuming from the anti nausea and anti diarrhea medicine. It's like shitting cement baseballs.  It's so hard and big that I was actually bleeding, every bowel movement leaves me in tears, which is exacerbated by the hysteria I'm already feeling.
Day 25 - breathing continues to improve. Only using inhaler a few times a day. Sleep has improved,  I'm assuming because I've finished the prednisone.  Stool is still difficult to pass but seems to be improving slowly.
Day 26 - breathing is way better.  Feelings of dread and stress mostly gone.  Stomach hurts a lot, am pooping a lot after being backed up and then constipated. Now when I wake up my entire body aches.  My face, hands,  legs, arms, breasts, armpits,  etc hurts to the touch. Everything feels like one giant bruise. Very interesting and unusual,  never felt anything like it. Almost like whole body whiplash from a car crash.
Day 27 - body aches just a touch improved but still very much there.  Did not use inhaler for the entire day. Able to have conversations and walk around without exhausting my voice or breath.  Spent a few hours cleaning and taking care of the house which I haven't done in a few weeks.  Almost no dread, very low stress.  Temperature now mid 99's.
Day 28 (today) - I haven't been to sleep yet but I feel pretty good.  Haven't used the inhaler since Friday (it's now Sunday).  Starting to consider going back to work. 
In all this my appetite has been extremely healthy.  I've gotten nausea and dry heaving and stomach cramps but overall I have not missed a meal and have had periods of being extremely hungry.  I weighed myself today and while my clothes still fit I have gained 7-8 pounds in the past 2 weeks since Iast weighed myself; I am sure some of it was due to the prednisone water retention and constipation. 
My advice for anyone who is sick or thinks they might be getting sick is to keep a diary or a log of some kind. Detail what you eat, your temperature,  mood and any other symptoms.   This can act as a gauge for you to determine whether you're getting better or worse, can be a gauge for your doctor, can help you identify things that make you feel better or worse (diet or whatnot) and can even possibly help you get tested if it comes to that.
The feelings of dread and hysteria are normal I think. Don't let it get the best of you. It will pass.
If you have a close friend, make sure they know you are sick so they can check up on you if they haven't heard from you in a day or two.
Finally,  call your doctor if you think you are sick. Many doctors are doing video visits.  
If you cannot breathe or are struggling to breathe, call 911 or go to the nearest ER!! You should err on the side of caution,  especially when it comes to breathing problems.  Don't doubt yourself or wonder if you are overreacting - if you are struggling to breathe, you need immediate medical attention.</t>
        </is>
      </c>
      <c r="D235" t="n">
        <v>1</v>
      </c>
      <c r="E235" t="n">
        <v>37</v>
      </c>
      <c r="F235">
        <f>HYPERLINK("https://www.reddit.com/r/COVID19positive/comments/fvb57e/day_28/")</f>
        <v/>
      </c>
      <c r="G235" t="inlineStr">
        <is>
          <t>2020-04-05 02:29:35</t>
        </is>
      </c>
      <c r="H235" t="inlineStr">
        <is>
          <t>Tested Positive - Me</t>
        </is>
      </c>
    </row>
    <row r="236">
      <c r="A236" t="inlineStr">
        <is>
          <t>fvc5jc</t>
        </is>
      </c>
      <c r="B236" t="inlineStr">
        <is>
          <t>Has anybody read of patients testing positive and have been placed on the ventilator for weeks and eventually recover?</t>
        </is>
      </c>
      <c r="C236" t="inlineStr">
        <is>
          <t>Hi, I hope everyone is hanging on during this pandemic like I am. I’m wondering if anyone has any articles of patients having to be ventilated for more than a week? My dad is fighting in the ICU...I personally admitted him to the ER on 3/20. He tested positive for COVID 19 on 3/22. On 3/24 they decided to ventilate him because of his shortness of breath with having pneumonia AND COVID-19. We have gotten 2 calls in the last week and a half about placing him on comfort care because they said he should have gotten better with the support he has on the vent but we have not given up because his vitals are stable and his organs are not failing. He’s not getting worse but he isn’t getting better. He’s making tiny improvements in his lungs but i feel like its still something. I don’t want to give up on him unless his body says otherwise. He has no underlying conditions and is 54 which I feel is an advantage...
If anyone could link or share, if not, encouragement is accepted as well. I love my dad so much and this truly would be a huge blow to me (and others) if he were to pass away. I’ll be 22 on the 17th of April and i would love for him to be here for that. thank you and god bless.</t>
        </is>
      </c>
      <c r="D236" t="n">
        <v>1</v>
      </c>
      <c r="E236" t="n">
        <v>24</v>
      </c>
      <c r="F236">
        <f>HYPERLINK("https://www.reddit.com/r/COVID19positive/comments/fvc5jc/has_anybody_read_of_patients_testing_positive_and/")</f>
        <v/>
      </c>
      <c r="G236" t="inlineStr">
        <is>
          <t>2020-04-05 04:06:39</t>
        </is>
      </c>
      <c r="H236" t="inlineStr">
        <is>
          <t>Tested Positive - Family</t>
        </is>
      </c>
    </row>
    <row r="237">
      <c r="A237" t="inlineStr">
        <is>
          <t>fve9u6</t>
        </is>
      </c>
      <c r="B237" t="inlineStr">
        <is>
          <t>Took over two weeks for my results, work gave me crap for not coming back to work during it all.</t>
        </is>
      </c>
      <c r="C237" t="inlineStr">
        <is>
          <t>I got tested on the 20th, didn’t get the results back officially till the 1st. I work in a hospital and based all my actions off of  what HR, Nurses, and Occupational Health told me. Stay home. Thus, I kept calling into working and communicating everything with my manager. Then, I get a call from the top dog basically accusing me of lying/it shouldn’t take this long. I was taken aback by her attitude towards me. 
After the phone call I was like “I’m going to be fired over this.”. I tracked down my results after it taking over an hour and being told to call multiple number. It came back negative. 
I was so scared of being fired/getting attitude for all this that I went in the next day and quit. 
Plot twist: I get a call from the urgent care I got tested at. They mixed up my lab results with someone who has the same name as me and birthdate. The god damn chances. That’s why it took so long. I was able to get an email and letter stating this. 
Yes, I’m trying to get my job back and seeing how my field of work is drowning I THINK I’ll get it back. And yes, I’m a complete idiot for quitting, I know.</t>
        </is>
      </c>
      <c r="D237" t="n">
        <v>1</v>
      </c>
      <c r="E237" t="n">
        <v>59</v>
      </c>
      <c r="F237">
        <f>HYPERLINK("https://www.reddit.com/r/COVID19positive/comments/fve9u6/took_over_two_weeks_for_my_results_work_gave_me/")</f>
        <v/>
      </c>
      <c r="G237" t="inlineStr">
        <is>
          <t>2020-04-05 07:11:24</t>
        </is>
      </c>
      <c r="H237" t="inlineStr">
        <is>
          <t>Tested Positive - Me</t>
        </is>
      </c>
    </row>
    <row r="238">
      <c r="A238" t="inlineStr">
        <is>
          <t>fvgjzu</t>
        </is>
      </c>
      <c r="B238" t="inlineStr">
        <is>
          <t>Got swabbed today. Presumptive positive for now, here’s my recorded symptoms.</t>
        </is>
      </c>
      <c r="C238" t="inlineStr">
        <is>
          <t>EDIT - some extra info about me, I am 26F, blood type O+, I have anti-phospholipid syndrome (I clot too much), exercise-induced asthma (I still exercise, I just try to avoid dry/cold conditions outdoors) and generalized anxiety disorder.
Husband is an RN, I’m not. They swabbed me today, and I’ve been writing down my symptoms ever since I suspected something might be hinky. 
Symptoms 
3/23- chest pain. Felt like acid reflux or a gallstone. Burning chest pain (like reflux) but my mid-back hurt as well. Definitely uncomfortable. 
It wasn’t consistent. Every now and again. Trouble sleeping. I’ve had chest pain at night for a few nights but thought it was gallstone/acid reflux/anxiety, something.
3/24- chest pain and back pain is definitely more constant. Some shortness of breath, like a band of tension around my ribs, but I also get that with anxiety and sometimes reflux. Confused and concerned but thinking it’s probably anxiety. 
Burning sensation all through my lungs. Up to my collarbones, down to mid-back. Uncomfortable. 
3/25- oral temp of 100.8. Constant chest and back pain. Chilly, body sore. No runny nose, no cough.
Urge to cough around lunch time. Feels like it’s going to be a junky cough, but there’s no “junk”.
Ok the cough might have just been my usual “get a little mucousy after I eat” thing. No more of that. Chest pain is ok, unless I lay down. Then it feels like the inside of my lungs are burning. 
Temp got up to 101.5, back down to 99.9 and 100 towards evening. I’m very cold. Freaking freezing, really. 
3/26
My throat is so sore today! So ridiculously sore and agitated. 
I had chest pain upon laying down last night, but I took melatonin to help fall asleep. 
More 101-102 fever, goes up in the afternoon, I don’t wake with it. 
I’m trying not to use any anti-pyretics right now because I’ve got a theory that my fever is helping the fight, and taking Tylenol just gets rid of symptoms. I can live through feeling crappy, I want to let my body do what it needs to do. 
I could be wrong here, and if it does get bad, I’ll intervene. 
*this is not recommended, this is just me doing me-things. I’m not a doctor, I’m a software developer. My husband is an ED nurse and thinks I’m weird for not taking anything 
I feel some chest discomfort on the left side too now, it’s been stronger in the right until today. Same burning feeling up my back and in my chest, like it’s the entirety of my lungs. This is probably going to get worse before it gets better. I’m a bit nervous. 
3/27 
I feel a little more “classically sick” today. Shivery, runny nose, sore throat. Tired. Still short of breath. 
Last night, I almost passed out just walking back and forth in the grocery store. It was bad. 
I had to use my inhaler a couple times. It feels like asthma, like you’re drawing in air to a tight chest, but that air doesn’t have any oxygen in it. 
3/28
Still short of breath. This shortness of breath has been a bitch and a half. I hate it. 
My nose is actually a little runny and my head hurts a bit. My throat is sore and I feel cantankerous. 
I woke up essentially in a puddle of sweat, no fever this morning. We’ll see how the rest of the day goes. 
Feeling like shit towards the evening again. Febrile. Taking Tylenol. Absolutely screw this. 
My ears are hot and my head is pounding. Wtf is this?! 
3/29 
Headaaaaache. I hate this headache. It feels like excess pressure in my head, all around. It’s not sharp or in one spot. Shortness of breath feels worse today than yesterday. 
Today, I take DayQuil. It feels like I can actually use my lungs after this. Deep breath all the way through. 
3/30
No meds at all today. 
Just chest pain and SOB. It’s hard to tell if this is anxiety or not though. This is frustrating. 
It still has that “burning” feeling. A lot of times, it’s in my back, mid-back, sometimes up to my traps, but mostly a couple inches below where my bra band goes. 
When it’s not there, it’s sub-sternal. 
I could live without these symptoms, I tell you what. 
Strangest thing- no cough. No cough with any of this. 
Idk what the deal is. 
3/31
No headache. I’m still sleeping quite a bit, I’m fairly tired. 
Chest tightness is still here, but the pain isn’t, thank goodness. I struggle to breathe doing simple things, like trying to load a dishwasher. It sounds like I’ve just stopped running. 
Took NyQuil to make sure my lungs are clear while I’m asleep. They’ve been feeling funky, hard to breathe. Inhaler helps. 
4/1
I feel like I’m dying. My entire body is tingling, and it feels like a few seconds delay between my thoughts and my actions. 
Still hard to breathe. Is this NyQuil giving me some out of body experience, or is something wrong? 
Okay I’m awake now. Trying to wake up while still under the influence of NyQuil is nightmare fuel. That was scary. 
I still have a headache today, but breathing is easier, and I’m slightly less winded. So, yay! 
Today I felt like my lungs were getting “gummy”. 
All I did was walk from my front porch to my driveway (literally a few yards) and back and almost passed right out. I heard loud rushing in my ears and saw stars for a few minutes after, even sitting down. 
Using DayQuil and my inhaler is the only way I breathe fully, but I get killer chest pain from using my inhaler. Is that bad? Probably? 
A lot of this is definitely exacerbated by anxiety. I thought I couldn’t breathe tonight, but it was a panic attack. Gee, thanks GAD! 
4/2 
Still some chest tightness. I’ve had about enough of this crap. It also feels like serious acid reflux all in my chest. Not sure if that makes sense. It’s that same burn. 
I almost passed out (again) after talking on the phone. It’s super obvious when I’m going to because it gets dark in my periphery and there’s a “rushing” sound, like putting your ear to a seashell, that drowns out other noise. I 
have a little “ahem” throat clearing that’s producing some junk. 
I talked to my mom today. She said she made a note on the day I first mentioned to her that I wasn’t feeling well (she’s a journaling/doodling person and will take note of things like that) and she said it was March 19th that I had my chest tightness, but I said it felt like anxiety. I think it just got prevalent enough for me to start noticing it as maybe not anxiety, and I started recording it on the 22nd/23rd. 
By the end of the day, my breathing has improved significantly, I feel. I’m not feeling like a fish out of water. My lungs feel irritated and slightly tight, like I do when hiking outside in the cold. But I took a short walk without dying, did dishes, made rice pudding, and did laundry. I’m much better. 
I know people have talked about getting better and then getting worse, so I hope this holds. 
4/3
I felt pretty dang good most of the day. I still get winded with activity, but now I can go to the bathroom, get dressed, shower, and even talk a short (SHORT) walk without seeing stars!
After my walk, I had chest pain. I still have chest pain laying in bed. 
My beautiful mother left a pulse ox from cvs on my porch. I have anxiety, and it has helped so far to see that the chest pain isn’t coming with super low O2 sats. 
Husband doesn’t hear any crackling when he listens to deep breaths, he says I sound pretty alright, he can clearly hear air in both lungs without any suspicious sounds. 
So. It looks like I’m okay? Today, at least. 
4/4
No other symptoms aside from chest pain. Ridiculous, stupid chest pain. I’ve had it on and off, it was my first symptom. It’s relieved by leaning forward and exacerbated by laying on my back. It’s sharp, through to my back. 
I also have ridiculous pelvic pain, because of course, PMS is still a thing regardless of whatever else is going on in life. 
WHY. I have no room left for uncomfortable/painful symptoms! Can my body just not for a minute?
4/5
I scared the shit out of my nurse husband with the chest pain last night. I felt like I was going to die. I don’t know how else to describe it. 
I’ve had piercings galore, tattoos in sensitive places. I played rugby, ripped my belly button ring out playing rugby. I broke bones. Nothing make me yell or scream, pull back or even curse. 
I’m typically so good with pain. But this was something else. It was crushing and sharp at the same time. It left me gasping for air even though my lungs were clear. I tried to sleep. I took aspirin. I sat up and leaned forward, the only thing that even mildly relieves it. 
I made it to morning. Still had mild chest pain, but I was breathing and laying on my side. My husband’s had enough. He wanted me to go in last week. I’m too tired to fight it. I don’t ever want to go through that again. 
You want to know one other thing that made me curse? That damn sars swab. I guess I am a huge baby now. But dang that thing sucks. Omg. That swab sucks. I don’t think it got left in long enough because I yelled “holy SHIT”.  I didn’t grab at my nurse, I think the sensation just really surprised me, I was not prepared. 
So. It might come back negative regardless 😂
—
They’re sending me home. My troponin is negative, d-dimer and CK are negative. White count, neutrophils are up. Idk what the values are, this is just my husband telling me. O2 sats are perfect at 100%. BP is good. I’m a little tachy, but probably because I want to go home and I don’t want to get poked. 
(I do indeed get poked. I have a clotting disorder for which I take aspirin for, and I bled everywhere. On the floor. On me. Ick.)
X-ray of chest is clear. They said they can do a ct because they’re pretty sure I’ve got viral inflammation somewhere in there, which is probably causing pain, but it wouldn’t change their treatment of me. 
They think I likely had covid, and I’m almost over it, but that the residual inflammation is causing pain. 
Steroids and Tylenol for pain, so I’m alright. Going home, thank goodness. 
They’ll call me about my covid swab results when it gets back.</t>
        </is>
      </c>
      <c r="D238" t="n">
        <v>10</v>
      </c>
      <c r="E238" t="n">
        <v>13</v>
      </c>
      <c r="F238">
        <f>HYPERLINK("https://www.reddit.com/r/COVID19positive/comments/fvgjzu/got_swabbed_today_presumptive_positive_for_now/")</f>
        <v/>
      </c>
      <c r="G238" t="inlineStr">
        <is>
          <t>2020-04-05 09:30:21</t>
        </is>
      </c>
      <c r="H238" t="inlineStr">
        <is>
          <t>Tested Positive - Me</t>
        </is>
      </c>
    </row>
    <row r="239">
      <c r="A239" t="inlineStr">
        <is>
          <t>fvi6mt</t>
        </is>
      </c>
      <c r="B239" t="inlineStr">
        <is>
          <t>is this real SOB or anxiety? 26M please help I am so anxious</t>
        </is>
      </c>
      <c r="C239" t="inlineStr">
        <is>
          <t>Hey guys. I’m a 26M. I posted earlier this week about being anxious/scared about this virus. And everyone was super reassuring and told me basically I’ll be fine. My fever has mostly subsided. It may go up to like 99.5 or something later in the evening.
My biggest fear is the chest tightness and shortness of breath? I’m not panting like when talking or walking. Is this mostly anxiety? I find myself constantly trying to get a deep breath and then I’ll breathe through my nose. At night time, it gets worse and I start shaking due to panic and that leads to worse SOB.
I hear different things between real SOB and anxiety. I have a tight chest and feel like I can’t take a deep breath when I try to fully inhale and then I yawn and get annoyed by it. I also suffer from GAD. I can’t find an oximeter at all and I wish I had one so I can distinguish real SOB or anxiety/panic/stress. My test results should come back today as well. I’m on either day 8 or 10. Day 8 since onset of symptoms. Day 10 of being exposed I think. I can’t stop researching what true SOB is or if this is what is anxiety “air hunger”
Any words of reassurance would be super helpful. Thank you guys :)</t>
        </is>
      </c>
      <c r="D239" t="n">
        <v>1</v>
      </c>
      <c r="E239" t="n">
        <v>13</v>
      </c>
      <c r="F239">
        <f>HYPERLINK("https://www.reddit.com/r/COVID19positive/comments/fvi6mt/is_this_real_sob_or_anxiety_26m_please_help_i_am/")</f>
        <v/>
      </c>
      <c r="G239" t="inlineStr">
        <is>
          <t>2020-04-05 11:05:41</t>
        </is>
      </c>
      <c r="H239" t="inlineStr">
        <is>
          <t>Tested Positive - Me</t>
        </is>
      </c>
    </row>
    <row r="240">
      <c r="A240" t="inlineStr">
        <is>
          <t>fvimko</t>
        </is>
      </c>
      <c r="B240" t="inlineStr">
        <is>
          <t>Others still feeling fatigue after 3 weeks?</t>
        </is>
      </c>
      <c r="C240" t="inlineStr">
        <is>
          <t>I keep thinking I've put this illness behind me, only to get hit the next day with more fatigue.  I see that others have experienced the same roller-coaster pattern of symptoms like I have.  But I wonder - do some people also feel this pattern keeps going even as most symptoms fade away?  I know there's a great variety of symptoms, person to person.  And I assume some people go from "sick" to "healthy" pretty abruptly.  But I'm curious if others feel like they just can shake it off, as each good day is belied by the next day's tiredness, or other symptom.</t>
        </is>
      </c>
      <c r="D240" t="n">
        <v>8</v>
      </c>
      <c r="E240" t="n">
        <v>32</v>
      </c>
      <c r="F240">
        <f>HYPERLINK("https://www.reddit.com/r/COVID19positive/comments/fvimko/others_still_feeling_fatigue_after_3_weeks/")</f>
        <v/>
      </c>
      <c r="G240" t="inlineStr">
        <is>
          <t>2020-04-05 11:31:09</t>
        </is>
      </c>
      <c r="H240" t="inlineStr">
        <is>
          <t>Tested Positive - Me</t>
        </is>
      </c>
    </row>
    <row r="241">
      <c r="A241" t="inlineStr">
        <is>
          <t>fvjsal</t>
        </is>
      </c>
      <c r="B241" t="inlineStr">
        <is>
          <t>Presumed positive &amp;amp; coping with anxiety..</t>
        </is>
      </c>
      <c r="C241" t="inlineStr">
        <is>
          <t>Hi guys I hope everyone is doing well and doing whatever they can to get through this! I know it's horrible not least the physical effects (fatigue, soreness, fever) but also the mental aspect with so much information coming out each and every day.
I hope we can get through this together and come out better on the otherside!
If anyone needs to talk just for a general chat and support just let me know, I myself am struggling with the anxiety related to Covid19 but we don't have to suffer in silence.
Take care guys</t>
        </is>
      </c>
      <c r="D241" t="n">
        <v>8</v>
      </c>
      <c r="E241" t="n">
        <v>9</v>
      </c>
      <c r="F241">
        <f>HYPERLINK("https://www.reddit.com/r/COVID19positive/comments/fvjsal/presumed_positive_coping_with_anxiety/")</f>
        <v/>
      </c>
      <c r="G241" t="inlineStr">
        <is>
          <t>2020-04-05 12:35:55</t>
        </is>
      </c>
      <c r="H241" t="inlineStr">
        <is>
          <t>Tested Positive - Friends</t>
        </is>
      </c>
    </row>
    <row r="242">
      <c r="A242" t="inlineStr">
        <is>
          <t>fvlnq8</t>
        </is>
      </c>
      <c r="B242" t="inlineStr">
        <is>
          <t>The Mildest COVID-19 Symptomatic Experience Possible</t>
        </is>
      </c>
      <c r="C242" t="inlineStr">
        <is>
          <t>To start off, I’m a 20 years old male uni student. I have a medical history of Asthma which had somehow died down around 12 years ago. Other than that, Im extremely healthy and active. 
First Symptom:  Night of March 26th. Dyspnea, no fever, no chills, taste buds all good. 
Possible Infection Sources? 
-Either food delivery, or the supermarket. Schools are closed, but here in my country, life goes on, in additions to rules banning public gathering but no curfews are enforced. I’m guessing, Its due to contaminated food or probably got infected by the airborne pathogen in the supermarket. 
Did I Perform Preventative Measures? 
-Heck yes. I always wore a face mask which I never took off till I got back home and disposed after one use. Also washed my hand with hand sanitizer so often, that the upper skin layer of my hand were kinda shedding. 
In my case: Mask and Hand Sanitizer DID NOT WORK.
Tested Positive: 30th of March. 
Now, why did it takes me 3 days to go for a test? You see, on the 26th, I ate some really high sodium food, I felt bloated afterward. Then 4 hours later, I started experiencing dyspnea. I had Corona infection on my thoughts but dismissed it after googling. Its simply a case of self diagnosis gone wrong. Googling led me to believe that my dyspnea was caused by the high salt consumption 4 hours prior, and that the quickest way to flush the salt out, was to exercise. I was wrong, exercising made it worst.
But fortunately, the dyspnea was very bearable. I heard stories about how severe it was for other patients that I simply dismissed the possibility of me, being infected. Where in my case, it was just like, holding a heavy pillow on your chest.
3 days later, it did not go away, I could no longer believe that it was a simple salt-overconsumption problem. I went for a test on the 29th, informed that I’m positive on the 30th.
At first, the doctors were gonna have me hospitalized, but after a new wave of elderly patients came in and they need the hospital beds. After doing some tests on me, they said I have pneumonia. The good thing was, my history of asthma did not relapse. 
The doc, decided that I’m healthy enough to fight it off at home. They gave me medicines for common colds, anti inflammatory drugs and a few tablets of Paracetamol (LOL!) and I was transport back to self isolate at home. 
My family were moved out, local authorities informed to keep tabs on me. Also I were to receive regular check up once, every 2 days. 
Life goes on in self isolation. Netflix, taking my meds, eating delivered meals, laundry, cleaning, games, exercising, having a few guys in Hazmat suits came to take my nasal swabs. Repeat. 
I Noticed that my sleep hours became LONGER, after showing symptoms: I slept for over 11 hours a day!
On the 2nd of April, my Dyspnea PEAKED. I remember waking up, laying in bed for an hour, manually breathing, exerting my whole concentration and energy on inhales and exhales. I felt like I would suffocate if I dont focus on breathing in and out. But then, it got better. The dyspnea became mild again. In fact, It goes away nearly completely, it comes back from times to times but I could barely notice any difficulty breathing now.
However, after dyspnea started disappearing, my taste buds went off. Especially my salt receptors. Beef tastes like rubber, everything tastes like rubber. Except for some sour and spicy food. My tongue feels like sand paper. I also started experiencing mild fever and night sweats. But no cough at all, aside from an occasional burning feelings at the back of my throat.
Im currently on my 10th day, still in home isolation, under strict monitoring. But daily exercise and eating normally is bringing me back to health. The meds they gave me was just to treat symptomatic conditions. If it goes well, I’ll be free in a week.
As I’m writing this in the middle of the night, I’m having a cold sweat right now, my chest feels a bit heavy but I know I’m getting better.
I told my doctors about my experience, they said I’m one of the lucky ones. My condition is the most mildest case amongst other COVID-19 patients. That dyspnea peak I had 4 days ago, could be fatal for other patients, occasionally requiring immediate lungs intubation. 
So yeah, that was my experience as one of the healthier patient of COVID-19. Eat well, sleep well and in case you got infected, I hope you’re having it easy like me. 
Feel free to ask any questions, I have absolutely nothing to do here. I could go into more details on any parts you have questions for. 
Sorry for the bad English ;-).</t>
        </is>
      </c>
      <c r="D242" t="n">
        <v>13</v>
      </c>
      <c r="E242" t="n">
        <v>39</v>
      </c>
      <c r="F242">
        <f>HYPERLINK("https://www.reddit.com/r/COVID19positive/comments/fvlnq8/the_mildest_covid19_symptomatic_experience/")</f>
        <v/>
      </c>
      <c r="G242" t="inlineStr">
        <is>
          <t>2020-04-05 14:21:28</t>
        </is>
      </c>
      <c r="H242" t="inlineStr">
        <is>
          <t>Tested Positive - Me</t>
        </is>
      </c>
    </row>
    <row r="243">
      <c r="A243" t="inlineStr">
        <is>
          <t>fvm2gr</t>
        </is>
      </c>
      <c r="B243" t="inlineStr">
        <is>
          <t>Reinfected or relapsed? 34/f</t>
        </is>
      </c>
      <c r="C243" t="inlineStr">
        <is>
          <t>I'm in NY. First fever 3/17, on and off with a huge array of symptoms. Tested positive on 3/27. Symptom free starting on 4/2 except for headaches and occasional cough. Now I have a 100.3 fever, chills, aches, sore throat.
I don't know if I'm reinfected or relapsing... Surrounded by sick family and been so cautious (masks, isolated, cleaning, closing toilet lid, only go in shared space or after them to cook).</t>
        </is>
      </c>
      <c r="D243" t="n">
        <v>1</v>
      </c>
      <c r="E243" t="n">
        <v>30</v>
      </c>
      <c r="F243">
        <f>HYPERLINK("https://www.reddit.com/r/COVID19positive/comments/fvm2gr/reinfected_or_relapsed_34f/")</f>
        <v/>
      </c>
      <c r="G243" t="inlineStr">
        <is>
          <t>2020-04-05 14:45:18</t>
        </is>
      </c>
      <c r="H243" t="inlineStr">
        <is>
          <t>Tested Positive - Me</t>
        </is>
      </c>
    </row>
    <row r="244">
      <c r="A244" t="inlineStr">
        <is>
          <t>fvnlji</t>
        </is>
      </c>
      <c r="B244" t="inlineStr">
        <is>
          <t>No joke this is rough (hospitalized on day 13)</t>
        </is>
      </c>
      <c r="C244" t="inlineStr">
        <is>
          <t>Had my first test today, came back negative, but had to call an ambulance later,Cause i could not breathe good. now I'm in hospital with corona after Every other flue test was negative. And the covid test is apparently unreliable 
Feel free to ask me questions.</t>
        </is>
      </c>
      <c r="D244" t="n">
        <v>2</v>
      </c>
      <c r="E244" t="n">
        <v>45</v>
      </c>
      <c r="F244">
        <f>HYPERLINK("https://www.reddit.com/r/COVID19positive/comments/fvnlji/no_joke_this_is_rough_hospitalized_on_day_13/")</f>
        <v/>
      </c>
      <c r="G244" t="inlineStr">
        <is>
          <t>2020-04-05 16:17:00</t>
        </is>
      </c>
      <c r="H244" t="inlineStr">
        <is>
          <t>Tested Positive - Me</t>
        </is>
      </c>
    </row>
    <row r="245">
      <c r="A245" t="inlineStr">
        <is>
          <t>fvoflp</t>
        </is>
      </c>
      <c r="B245" t="inlineStr">
        <is>
          <t>Family with cancer diagnosed with Covid-19</t>
        </is>
      </c>
      <c r="C245" t="inlineStr">
        <is>
          <t>Hi guys,  one of my mother's close friends and family friend has recently been diagnosed with covid-19 after picking it up in a hospital while  recovering from brain surgery to remove a malignant tumour. She also has cancer of the liver, breast and crucially lung. Understandibly my mother is devastated and I'm asking if holding out for hope is in anyway realistic and in the worse case scenario how quickly will this progress? I'm unaware of how long she has been displaying symptoms but she was diagnosed yesterday.
EDIT: The title should read family friend</t>
        </is>
      </c>
      <c r="D245" t="n">
        <v>3</v>
      </c>
      <c r="E245" t="n">
        <v>4</v>
      </c>
      <c r="F245">
        <f>HYPERLINK("https://www.reddit.com/r/COVID19positive/comments/fvoflp/family_with_cancer_diagnosed_with_covid19/")</f>
        <v/>
      </c>
      <c r="G245" t="inlineStr">
        <is>
          <t>2020-04-05 17:10:54</t>
        </is>
      </c>
      <c r="H245" t="inlineStr">
        <is>
          <t>Tested Positive - Friends</t>
        </is>
      </c>
    </row>
    <row r="246">
      <c r="A246" t="inlineStr">
        <is>
          <t>fvp365</t>
        </is>
      </c>
      <c r="B246" t="inlineStr">
        <is>
          <t>My husband tested positive, I am presumed positive. Our symptoms are almost identical.</t>
        </is>
      </c>
      <c r="C246" t="inlineStr">
        <is>
          <t>I just wanted to outline what a mild case(so far) might look like for some people. 
My symptoms started on March 15th with a sore throat and a cough. A few day later I ran a low grade fever. About a week after that my husband exhibited the same symptoms but he had chills associated with his fever. 
We’re both still coughing (wet mucousy) and have had nasal congestion and diarrhea for approximately two weeks. I’m the only one with chest tightness and while breathing in is fine, exhaling hurts when I get to the end of my breath and it seems as if my lungs won’t hold as much air. I have also had headaches while he has not. 
He was tested last Wednesday and got his positive result on Friday morning.</t>
        </is>
      </c>
      <c r="D246" t="n">
        <v>4</v>
      </c>
      <c r="E246" t="n">
        <v>15</v>
      </c>
      <c r="F246">
        <f>HYPERLINK("https://www.reddit.com/r/COVID19positive/comments/fvp365/my_husband_tested_positive_i_am_presumed_positive/")</f>
        <v/>
      </c>
      <c r="G246" t="inlineStr">
        <is>
          <t>2020-04-05 17:52:54</t>
        </is>
      </c>
      <c r="H246" t="inlineStr">
        <is>
          <t>Tested Positive - Family</t>
        </is>
      </c>
    </row>
    <row r="247">
      <c r="A247" t="inlineStr">
        <is>
          <t>fvpfrm</t>
        </is>
      </c>
      <c r="B247" t="inlineStr">
        <is>
          <t>To Help Reassure Others we're not All Doomed, Here's my Detailed Experience with a Mild Case! 27M</t>
        </is>
      </c>
      <c r="C247" t="inlineStr">
        <is>
          <t>So today is the 5th of April, and I'm happy to finally be feeling 100% again! With that being said, I dealt with symptoms for roughly two weeks, and I wanted to document my experience here so as to help reassure others that not all positive tests are nightmarish! It'll probably end up being pretty TL;DR-ish, but I like being as detailed as possible.
So here we go!
&amp;amp;#x200B;
**How did I contract Covid-19?**
I can't say for sure where I contracted the virus from, however I am fairly certain it was passed on via community transmission in my home. My roommate, who we'll call R1, works in a hospital setting and likely passed it on to me and the rest of the house (myself and roommate 2, who we'll call R2). Before then, I was limiting my amount of time in public spaces due to the statewide SaH order (California), and had little contact with friends/family outside of the house since. R1 started showing slight symptoms early on which were incredibly mild, which lead the whole house to believe he had a slight flu, but nothing serious. It wasn't until he lost his sense of smell &amp;amp; taste that R2 and I realized he probably had Covid-19, and by that time he had already likely passed it on to us. R2 and I started showing symptoms almost at the same time, myself presenting only a day or so behind. **Thankfully, we have all made full recoveries and have stopped showing symptoms.** Also, it seems now that the last few people we've all come in contact with before we all self quarantined **have NOT shown any signs or symptoms of Covid-19,** which is a HUGE relief!
&amp;amp;#x200B;
**Personal Health** 
\- I'm a \*presumably\* healthy 27 y/o male with no prior health complications. Admittedly (I'm embarrassed to say), I haven't seen a physician in almost a decade. This will definitely change soon, however. 
\- I have a normal BMI (158lbs @ 5"10), and am not overweight.  
\- Despite long family history (both sides) of High BP/type 2 Diabetes, I don't seem to show any signs of having these ailments.
\- I am relatively active as an adult, walking an average of 3-5 miles per day for work (before the stay at home orders that is).
\- I've been an on/off smoker, starting up for a few months and quitting for a year or two since about 2014. Used vaping three times now to help quit. Recently (new years 2020) picked up smoking again after 2 years of no cigarettes. Smoked consistently for about 3 weeks before starting up vaping again. Haven't had a cigarette since late Jan 2020. Was vaping up until contracting Covid.
\- I take a daily men's multivitamin, to help supplement a lack of vitamins. (I've adopted an IF timed eating schedule for weight loss, and sometimes have trouble taking in daily amounts of vitamins)
&amp;amp;#x200B;
**Day 1 (Sunday 3/22/20)**
No symptoms at all in the morning, very normal day. Felt fine. Previous day had taken an 8 mile walk with a friend for exercise, and showed no symptoms then too. Mid-day felt a tiny scratch at the back of my throat. Didn't cause me to cough, but just felt the need to clear my throat every now and then. Happened every hour or so; almost unnoticeable.
**Day 2 (Monday 3/23/20)**
Felt great in the morning; no symptoms. Scratch in my throat seemed to have disappeared. Midday the scratch felt like it returned, but didn't concern me all that much. Around 3PM went for a 5 mile walk, and felt some heat around my eyes. Thought it was sunburn from my 8 mile walk from the previous Saturday (lips had slightly sunburned, attributed the hot feeling to lack of sunscreen). Got home after the walk, still felt warm but thought nothing of it. Scratch was almost non existent. Went to bed feeling a bit warm.
**Day 3 (Tuesday 3/24/20)**
Woke up, again, feeling fine. Didn't feel warm and no scratch in throat. No issues until about 3PM, when I went out for another 5 mile walk. Before the 1 mile mark, I started feeling warm again, but this time it was a more noticeable. Still attributed to sun burn. Got home, and felt a good deal warmer than normal. Started to really feel the heat around my eyes around 8PM. Scratch was there but so minute, was easily ignored.
**Day 4 (Wednesday 3/25/20)**
Woke up feeling a bit warm. R2 had a pretty bad fever, which prompted me to check my temperature. Sure enough, at about 10AM I had a temp of 101.2. Realized the previous two days I wasn't sunburn, and the familiar warmth around my eyes was actually a fever. Made the realization I had developed a consistent fever. Scratch wasn't really noticeable. Started to check my temperature on an hourly basis, with the temperature averaging around 101.5. Wasn't taking any medication to curb symptoms. As the fever progressed, about 6PM started to feel an odd headache set in. Didn't have sharp pain like an average headache, but just a dull pressure near the mid-eyebrow region. Wen't to bed with the fever, assuming I probably had Covid-19.
**Day 5 (Thursday 3/26/20)**
Woke up with the fever, starting at about 101.7. Fever peaked at 102.6 around noon, which prompted me to start a Tylenol regimen. Took slow release ES Tylenol every 8 hours. Headache had developed to a pretty steady dull sinus pressure right around the same mid-eyebrow region. Felt slightly off balance if I moved/walked too fast, and felt an odd headache pain only if I would turn my head too fast. Almost as if my brain was a boxing speed bag, and if I turn my head too fast it would bump into the side of my skull causing slight pain. Consistent fever throughout the day, as well as the headache **(fever and headache/dizziness symptoms started and ended in tandem, throughout the whole experience).** Once night set in and got closer to me going to bed, the fever seemed to get a bit worse. At about 9PM had a temp of about 102, being 4 hours into Tylenol cycle. Went to bed with a relatively high temperature. Still no signs of any respiratory strain; was breathing fine.
**Day 6 (Friday 3/27/20)**
Woke up with a fever of 101.2, and after taking Tylenol, fever dipped into high 100's for a while. Headache/sinus pressure was still present in same degree as previous day. **Started noticing a loss of smell and taste. Scratch in throat developed into a slightly raw/burnt throat feeling.** Almost like if I was drinking hot coffee, swallowed wrong and coughed, and burnt the back of my throat on the hot coffee. Felt raw, can't really explain any other way. Nose began running pretty regularly today as well. Fever/headache/dizziness persisted throughout the day, worsened at night.  **Also had an odd sensation at the back of throat/upper nasal passages.** I've never had an allergic reaction in my adult life before, but the only way I can compare the feeling was like having an allergic reaction at certain times when I would breathe in. Nostrils felt immensely cold on breathing in, but as the air would make its way further into my nasal passages it would get warm and a wee bit thinner until the air got my lungs. Again, air felt very warm, and slightly thinner until reaching the lungs, where everything would open up. Didn't feel like I couldn't breathe properly, just felt much different. Again, felt like what I can only imagine as an allergic reaction in my nasal cavity. Very unusual. Could still take full deep breathes completely unlabored. Felt a slight pang of nausea around 9PM. No vomit, but just slightly nauseous. Lasted about an hour or so. Fever peaked at about 102 again at the end of Tylenol cycle. Also noticed that breathing through my nose felt increasingly cold, to the point where it almost hurt because it felt so cold. Still haven't developed any type of cough, just the odd throat sensation and nasal oddities.
**Day 7 (Saturday 3/28/20)**
Woke up with Fever at about 101 flat. Barely broke 101.5 by nightfall, so seemed like the Fever had started to dissipate. Still same headache/dizziness. Back of throat still felt raw/burnt, and had seemingly creeped it's way into my upper nasal passages. Almost like it blended in with the weird breathing sensation that started up. I wan't to clarify here, **it was only the BACK of my throat that felt raw, as in right behind the uvula. Didn't feel like the raw feeling extended any further down into my throat, which was odd.** Otherwise, all else was about the same. Nostrils felt painfully cold to breathe through at times. Sense of Smell and taste had further degenerated, could barely taste my morning black coffee, as well as my food for the day. Felt another small pang of nausea around 7PM, only to have it subside after about two hours. Still taking Tylenol regularly. The odd nostril breathing sensation of warmth and thin air was still present, but only at certain times. Again, this sensation didn't seem to change my overall ability to breathe in deeply, just felt very odd. Still felt like I had normal lung capacity. If I breathed through my mouth the nasal issues seemed to not affect me. Went to bed with a Fever of about 100.3
**Day 8 (Sunday 3/29/20)**
Woke up with a temperature of around 100.1, Tylenol brought it down to almost completely normal. **Officially lost all taste and smell.** Still had the raw feeling in throat, as well as upper nasal passage. Nose was painfully cold to breathe through at times. The nasal warmth/thin air sensation had dissipated noticeably. Also noticed nasal passages felt incredibly dry, almost cracked. Headache/dizziness were still present, but very muted. Only felt the slight pressure of the headache localized right at the front of my face near my nose, and very little actual headache pain left at this point. Not much dizziness at all. No nausea. Temperature was at about 99.7 by 9PM without Tylenol. Felt a lot better today than I had in a while. Also felt a bit of warmth when breathing in the center of my chest/lungs. **Started to notice a slight rattle at the back of my throat right before bed**. Also felt a bit of warmth when breathing in the center of my chest/lungs.  Nothing major, just tiny amounts of phlegm that I could clear up at the back of my throat if I really tried. Still felt as if I could breathe normally. 
**Day 9 (Monday 3/30/20)**
**Got tested today via nasal and throat swab!** Made an appointment through my healthcare provider to get tested! I was glad to finally be able to get out of the house, considering I hadn't left the house in almost 10 days. I don't wan't to scare anyone as it seems some swabs differ in comfort level, **but that nasal swab HURT.** I've got a pretty high threshold to pain, but HOLY hell was that swab painful. It felt like they stuck a pipe cleaner with a pissed off wasp on the end of it ALL the way up my nose. I didn't think the nasal cavity even went up that far. Apparently my Roommate (R2) had a pain free nasal swab, and (R1) had the same experience I had. Who knows. 
Otherwise, I actually felt amazing today! Woke up with a temperature of about 99 flat. Felt like the headache was just at the precipice of being gone. No nausea, and the raw throat feeling felt lessened. Decided to not take the normal Tylenol regimen today to see where my temp was at on its own, and sure enough never broke 99.2 the entire day. Nose was still very cold to breathe through, but was muted due to the start of a stuffy nose. Still a complete loss of taste a smell. **Also, noticed the rattle was still slightly there as night closed in.** Seems like during the day the symptoms got better, and they would reappear, or slightly worsen by nightfall. **Again, it wasn't a lung rattle, but more of a throat rattle.** Could still clear my throat to loosen up minute amounts of phlegm. Hadn't once coughed, though. Nasal sensation of heat and thin air had officially stopped. still felt a bit of warmth when breathing in the center of my chest/lungs.
**Day 10 (Tuesday 3/31/20)**
**No Fever at all!** Headache was totally gone, as were a majority of the other symptoms. At this point the only thing that seemed to affect me was the loss of taste and smell, and a few other things. It seems so silly, but it was killing me not being able to taste anything. I'm a glutton at heart, and not being able to enjoy food for it's flavor was driving me nuts. Still felt painfully cold to breathe through nostrils, but the raw throat feeling had subsided completely, as well as from the nasal passage. **I did notice that breathing deeply, I felt like I had lost a small bit of lung capacity**. Odd way to put it, i know, but if you've ever smoked a cigarette and then tried to run afterword, that's how it felt to take a full deep breath. Slightly shallow. It wasn't alarming, just noticeable. Never felt out of/short of breath. If I had to put a number on it, I'd say I felt like I could take \~95% of a full normal breath. Still felt the remnants of the headache every now and then, but it was faint, almost unnoticeable. The throat rattle was still there but was NOT worsening, which was very reassuring. The warmth when breathing in the center of my chest/lungs, was still present, but fading!
**Day 11 (Wednesday 4/1/20)**
No fever and no headache! Still felt the slight shallowness on deep breathing, but it felt a good bit better today. Nostrils were still very very cold to breathe through, but not painful like they were. Taste and smell are at about 25%, which is exciting! Still had the slight phlegm clearing in back of throat. Warmth in chest lungs when breathing has almost disappeared. Otherwise, all other symptoms have gone away! First day in a while I've felt like I was genuinely getting better. Also received my positive test results for Covid, even though I pretty much knew I had it. 
**Day 12 (Thursday 4/2/20)**
Felt amazing today! Breathing felt back to 100%. Nostrils still cold to breathe through, but nowhere near as painful as previous days; almost felt like normal again. Definitely felt better in that department. Not much throat phlegm clearing left; that symptom started to clear up nicely. No real nasal symptoms left. Taste is officially at 50%! Celebrated by cheating out on my Intermittent fasting/calorie counting and splurged on a dozen donuts. Couldn't taste them like I was hoping I would, but they were still damn good.
**Day 13 (Friday 4/3/20)**
Woke up feeling great! **All symptoms seem to have subsided, except the taste and smell.** I'd say today, they're at about 70%. Also, Nostrils feel pretty dry. Felt fantastic otherwise! 
**Day 14 (Saturday 4/4/20)**
Only symptom left is lack of taste and smell. I'd say they're at about a 85%. Felt golden otherwise!
**Day 15 (Sunday 4/5/20)**
Happy to say, I feel like this is my first day being totally symptom free. I could thoroughly taste my black coffee in the morning (that was my gauge for how well I could or couldn't taste), and everything I ate tasted like normal. I can smell everything in the house again, and I finally feel like I'm back to myself! 
&amp;amp;#x200B;
Sorry for such a long drawn out explanation of my experience with COVID-19, but I'd be lying if I said this wasn't a good way to keep me busy during this whole thing. I hope my write up will help those who might already have it or those worried through this whole thing! **I plan on staying quarantined for another 2-3 days just to 100% ensure I'm totally, without a doubt symptom free.** Hopefully once I know I'm not posing any possible risk to others, I plan on being an errand runner for groceries and essentials for family who I don't want to risk leaving and being exposed. Also am definitely not leaving the house without masks and gloves. I'm not sure what the reinfection chances are, if any at all but I DON'T want to have to deal with this again!  
Feel free to leave me any questions at all, I'll try my absolute best to get back to you! Godspeed to everyone else out there currently dealing with Covid! I consider myself insanely fortunate to have my health and situation.</t>
        </is>
      </c>
      <c r="D247" t="n">
        <v>6</v>
      </c>
      <c r="E247" t="n">
        <v>151</v>
      </c>
      <c r="F247">
        <f>HYPERLINK("https://www.reddit.com/r/COVID19positive/comments/fvpfrm/to_help_reassure_others_were_not_all_doomed_heres/")</f>
        <v/>
      </c>
      <c r="G247" t="inlineStr">
        <is>
          <t>2020-04-05 18:17:08</t>
        </is>
      </c>
      <c r="H247" t="inlineStr">
        <is>
          <t>Tested Positive - Me</t>
        </is>
      </c>
    </row>
    <row r="248">
      <c r="A248" t="inlineStr">
        <is>
          <t>fvre37</t>
        </is>
      </c>
      <c r="B248" t="inlineStr">
        <is>
          <t>Covid 19 In The Jails, A Healthy Prisoner Is Next To Ones With Covid 19...</t>
        </is>
      </c>
      <c r="C248" t="inlineStr">
        <is>
          <t>this shit is real yo</t>
        </is>
      </c>
      <c r="D248" t="n">
        <v>1</v>
      </c>
      <c r="E248" t="n">
        <v>2</v>
      </c>
      <c r="F248">
        <f>HYPERLINK("https://www.reddit.com/r/COVID19positive/comments/fvre37/covid_19_in_the_jails_a_healthy_prisoner_is_next/")</f>
        <v/>
      </c>
      <c r="G248" t="inlineStr">
        <is>
          <t>2020-04-05 20:32:02</t>
        </is>
      </c>
      <c r="H248" t="inlineStr">
        <is>
          <t>Tested Positive - Friends</t>
        </is>
      </c>
    </row>
    <row r="249">
      <c r="A249" t="inlineStr">
        <is>
          <t>fvsafw</t>
        </is>
      </c>
      <c r="B249" t="inlineStr">
        <is>
          <t>Will he survive?</t>
        </is>
      </c>
      <c r="C249" t="inlineStr">
        <is>
          <t>My dad (66y) with history of only hypertension tested positive for the virus and has been hospitalized and admitted for 4 days now. He has pneumonia all over his lungs. He’s had symptoms for 13 days including high fevers, fatigue, dizziness, chest pain and shortness of breath that started 4 days ago. 
Currently: His fever nowadays come and go, with his last fever being 24 hours ago. His oxygen saturation level levels form 95-100 mostly 97+ but he still feels as if his breathing isn’t great. But I’m still very happy his o2 levels are good. He’s extremely fatigued and still has chest pain sometimes with no appetite. Since it’s his 13th day of symptoms, is it very likely he can recover fully since his oxygen level isn’t dropping or is there more bad things to come in your experiences?? I keep asking the nurses on the phone but they keep giving generic answers and are in a rush with the doctor nowhere to be seen. Has anyone gone through a similar experience and had a positive outcome?? Is his pneumonia recovering while he’s on oxygen with a good oxygen level? Please tell me I don’t know if I should be prepared or extremely optimistic. Any healthcare worker advice or anyone with similar experiences themselves or with family/friends input will be greatly appreciated please.</t>
        </is>
      </c>
      <c r="D249" t="n">
        <v>1</v>
      </c>
      <c r="E249" t="n">
        <v>10</v>
      </c>
      <c r="F249">
        <f>HYPERLINK("https://www.reddit.com/r/COVID19positive/comments/fvsafw/will_he_survive/")</f>
        <v/>
      </c>
      <c r="G249" t="inlineStr">
        <is>
          <t>2020-04-05 21:40:21</t>
        </is>
      </c>
      <c r="H249" t="inlineStr">
        <is>
          <t>Tested Positive - Family</t>
        </is>
      </c>
    </row>
    <row r="250">
      <c r="A250" t="inlineStr">
        <is>
          <t>fvsh0u</t>
        </is>
      </c>
      <c r="B250" t="inlineStr">
        <is>
          <t>Going back to work</t>
        </is>
      </c>
      <c r="C250" t="inlineStr">
        <is>
          <t>Hello, I was feeling sick around the 24th of march and tested positive on the 26th. I quickly recovered the next few days. By the 28th my fever subsided my cough was gone and the only symptom that was lingering is my sense of smell and taste. Its been about 2 week and I haven’t felt any symptoms but my sense of smell and taste is about 50%. I feel pretty healthy and confident I am okay. My work (BloodBank lab) said I can come come back because I meet the CDC guidelines. I live with my parents and they have not felt sick during this entire period. So its been about 10 days and I go back to work after 14 days of symptom free. 
I am having anxiety going back because I am worried about others. At the same time I am worried I will be looked at like I am still infectious. Is anyone else worried about how they are going to integrate back into their life situations.</t>
        </is>
      </c>
      <c r="D250" t="n">
        <v>1</v>
      </c>
      <c r="E250" t="n">
        <v>5</v>
      </c>
      <c r="F250">
        <f>HYPERLINK("https://www.reddit.com/r/COVID19positive/comments/fvsh0u/going_back_to_work/")</f>
        <v/>
      </c>
      <c r="G250" t="inlineStr">
        <is>
          <t>2020-04-05 21:54:46</t>
        </is>
      </c>
      <c r="H250" t="inlineStr">
        <is>
          <t>Tested Positive - Me</t>
        </is>
      </c>
    </row>
    <row r="251">
      <c r="A251" t="inlineStr">
        <is>
          <t>fw19s8</t>
        </is>
      </c>
      <c r="B251" t="inlineStr">
        <is>
          <t>Timeline of symptoms so far</t>
        </is>
      </c>
      <c r="C251" t="inlineStr">
        <is>
          <t>(Presumed positive due to contact with friend who is positive, but cannot test due to state only testing serious cases.) 
Day 1- 3/29 slight cough developed. Body aches, night sweats, fatigue, tremors.
Day 2- 3/30 cough persist along with mild SOB. Fatigue, Complete loss of appetite. Diarrhea, along with nausea. Ate maybe a quarter of a piece of toast at most. Diarrhea was pretty much water. Temp was low 99’s. (98.4-98.6 for me is norm) this is the only day temp was raised throughout. 
Day 3- 3/31 diarrhea and loss of appetite persist. Diarrhea is complete water. Mild Shortness of breath and very mild itch in chest. Like breathing in cold air, or a hair or dust in my chest. Accidentally have too much zinc (about 100mg) freak myself out about that. Try to eat vegetables. Barely able to. Eat maybe 2 spoonfuls of rice. Puke while brushing my teeth at night. Tried my best to hold it in but couldn’t. 
Day 4- 4/1 appetite is somewhat back. Anxiety through the roof though. Poop is green but semi solid in the morning. Goes back to green water by mid to end of day. Ate a little oatmeal for breakfast and then some white rice and applesauce for dinner. Drank light blue Gatorade which might’ve added to my rainbow poops. Still unsure and have stuck to pedialyte just to be safe. Shortness of breath is there with that same tickle. 
Day 5- 4/2 actually feel a bit better. Ate some more, shortness of breath but it’s not too bad. Somewhat of a cough. Diarrhea is bad this day. 
Day 6- 4/3 felt a lot better. Diarrhea has turned into soft stools, no longer green! Also not pooping twice every hour. Shortness of breath but not too bad. Cough a bit to try to see if I can get that feeling out of my chest. Doesn’t work. Anxiety makes it all worse. 
Day 7- 4/4 feel genuinely better. Every once in a while shortness of breath but not bad. Sit outside with my GF in the backyard with large amount of space just to get some mental fortitude and sun. (She’s quarantined away from my room since I showed symptoms.) feel good but worried it’s not real and things will get worse. 
Day 8- 4/5 (yesterday) feel good breathing wise.  Shortness of breath pretty much not a thing! Soft stool but not liquid! Also brown still! Barely notice a feeling in my chest so I purposely try to cough. Doesn’t get out and makes it worse I think. I feel better about an hour after trying. Use a steam inhaler my GF got me and that makes me feel good and calm. Worst night for me anxiety wise. Read things that just make me feel bad about a potential wave 2. Anxiety gets the worst of me and break down. Get a stress headache. Go to sleep without eating due to stress. 
Day 9- 4/6 (today) this morning woke up a little groggy. I attribute it to not eating the night before and going to sleep with a bad stress headache. Drink water and walk around and feel better. Ate toast with butter! Poop is brown, not completely diarrhea but soft. Also have mainly been eating soft foods but who knows. Breathing is good today. I can breathe all the way in and feel good. After eating I get a small chest tickle. Anxiety obv heightens it. But over all I feel I’ve been steadily improving the last 4 days. 
Have not lost my sense of taste or smell throughout.
Throughout all of this anxiety has been the hardest thing to deal with. I’m very grateful that so far my case has been this mild don’t get me wrong. But it’s hard to read all this stuff and not get into your own head. Tomorrow is day 10. That’s my next milestone before day 14. Hoping that I get better. Hoping that we all do. 🙏🏼 
If anyone has similar symptoms please comment! Sorry for the long post.</t>
        </is>
      </c>
      <c r="D251" t="n">
        <v>4</v>
      </c>
      <c r="E251" t="n">
        <v>18</v>
      </c>
      <c r="F251">
        <f>HYPERLINK("https://www.reddit.com/r/COVID19positive/comments/fw19s8/timeline_of_symptoms_so_far/")</f>
        <v/>
      </c>
      <c r="G251" t="inlineStr">
        <is>
          <t>2020-04-06 09:00:09</t>
        </is>
      </c>
      <c r="H251" t="inlineStr">
        <is>
          <t>Tested Positive - Friends</t>
        </is>
      </c>
    </row>
    <row r="252">
      <c r="A252" t="inlineStr">
        <is>
          <t>fw1a27</t>
        </is>
      </c>
      <c r="B252" t="inlineStr">
        <is>
          <t>Grandma Presumptive +</t>
        </is>
      </c>
      <c r="C252" t="inlineStr">
        <is>
          <t>It is not confirmed yet, but my grandma passed away earlier this morning from what is probably COVID19. She was 88 years old, lived in a long term memory care facility b/c of dementia, had TB back and the doctors back then removed some of her lungs- and ultimately succumbed to the detail.
I wasn't really close with my grandma as she was not the nicest or most affectionate person. But either way even if I wasn't close, its still extremely sad. I now only have one living  grandparent. 
I'm not too sure of the details, but the virus completely took over her. 
&amp;amp;#x200B;
Be well, all.</t>
        </is>
      </c>
      <c r="D252" t="n">
        <v>4</v>
      </c>
      <c r="E252" t="n">
        <v>5</v>
      </c>
      <c r="F252">
        <f>HYPERLINK("https://www.reddit.com/r/COVID19positive/comments/fw1a27/grandma_presumptive/")</f>
        <v/>
      </c>
      <c r="G252" t="inlineStr">
        <is>
          <t>2020-04-06 09:00:29</t>
        </is>
      </c>
      <c r="H252" t="inlineStr">
        <is>
          <t>Tested Positive - Family</t>
        </is>
      </c>
    </row>
    <row r="253">
      <c r="A253" t="inlineStr">
        <is>
          <t>fw1ofz</t>
        </is>
      </c>
      <c r="B253" t="inlineStr">
        <is>
          <t>Short of breath, but oxygen good, 3+ weeks later</t>
        </is>
      </c>
      <c r="C253" t="inlineStr">
        <is>
          <t>For anyone that’s been dealing with this a long time, can you please give me hope that the feeling of breathlessness gets better? 
My initial symptoms were a cold, some body aches and a low grade fever for over a week, a burning in my chest and pain in my
back. They disappeared and I felt great for several
days. Then I started in again with the shortness of breath which has come and gone. 
Today it’s been really frustratingly unwavering. My pulse ox (downloaded app) shows oxygen ranging from 97-99. I went to an urgent care and my my X-ray shows clear lungs. What the hell?</t>
        </is>
      </c>
      <c r="D253" t="n">
        <v>1</v>
      </c>
      <c r="E253" t="n">
        <v>63</v>
      </c>
      <c r="F253">
        <f>HYPERLINK("https://www.reddit.com/r/COVID19positive/comments/fw1ofz/short_of_breath_but_oxygen_good_3_weeks_later/")</f>
        <v/>
      </c>
      <c r="G253" t="inlineStr">
        <is>
          <t>2020-04-06 09:21:56</t>
        </is>
      </c>
      <c r="H253" t="inlineStr">
        <is>
          <t>Tested Positive - Family</t>
        </is>
      </c>
    </row>
    <row r="254">
      <c r="A254" t="inlineStr">
        <is>
          <t>fw2irq</t>
        </is>
      </c>
      <c r="B254" t="inlineStr">
        <is>
          <t>After effects</t>
        </is>
      </c>
      <c r="C254" t="inlineStr">
        <is>
          <t>I was sick from about March 10-26th and pulled through with lots of steroids, inhalers, pseudoephedrine and a massive dosage prescripton of Mucinex PE. I started to feel better but was having chest pain and tightness and breathing difficulties with activity but tried to get back into my routines. I went back to urgent care the 31st with an ear infection and got antibiotics and have been down with that for a week. As far as secondary infections go, I’m glad it was such a simple one.
Today I have been feeling well enough to get out of bed again and do some much needed cleaning. But here I am again, short of breath and dependent on my rescue inhaler. I don’t have asthma. I did have a hospitalization with pneumonia last year.
Is anyone else having this problem with continued lung problems and how are you dealing with it?</t>
        </is>
      </c>
      <c r="D254" t="n">
        <v>2</v>
      </c>
      <c r="E254" t="n">
        <v>14</v>
      </c>
      <c r="F254">
        <f>HYPERLINK("https://www.reddit.com/r/COVID19positive/comments/fw2irq/after_effects/")</f>
        <v/>
      </c>
      <c r="G254" t="inlineStr">
        <is>
          <t>2020-04-06 10:06:55</t>
        </is>
      </c>
      <c r="H254" t="inlineStr">
        <is>
          <t>Tested Positive</t>
        </is>
      </c>
    </row>
    <row r="255">
      <c r="A255" t="inlineStr">
        <is>
          <t>fw50za</t>
        </is>
      </c>
      <c r="B255" t="inlineStr">
        <is>
          <t>Uncle w/ COVID declared brain dead</t>
        </is>
      </c>
      <c r="C255" t="inlineStr">
        <is>
          <t>Hi there. Wanted to give a positive update but also a solemn update. Positive first since it’s shorter. I was confirmed positive with no know sick contacts 15 days ago. I am finally symptom free and able to run a little without shortness of breath, also seems I self isolated soon enough and well enough that my asthmatic bf whom I live with didn’t catch it or showed no symptoms. 
The sad news. My uncle who was confirmed positive right at one month ago who required hospitalization but not vent or life support had seemed to make a full recovery. This morning at 3am his gf called 911 as he fell to the ground unable to talk. No history of high blood pressure or stroke in family. Scans showed catastrophic stroke and he has been declared brain dead. Speaking with physicians it appears this is not the first case of COVID pt with thrombotic issue and they believe it is correlated. He is in a different state than my entire family, our state and his with stay at home orders. Unclear at this time how to handle a funeral or his estate or anything with that in place. He also wanted to be an organ donor but looking at UNOS website appears they may be declining covid positive organs. Idk where or what to do.</t>
        </is>
      </c>
      <c r="D255" t="n">
        <v>1</v>
      </c>
      <c r="E255" t="n">
        <v>80</v>
      </c>
      <c r="F255">
        <f>HYPERLINK("https://www.reddit.com/r/COVID19positive/comments/fw50za/uncle_w_covid_declared_brain_dead/")</f>
        <v/>
      </c>
      <c r="G255" t="inlineStr">
        <is>
          <t>2020-04-06 12:19:30</t>
        </is>
      </c>
      <c r="H255" t="inlineStr">
        <is>
          <t>Tested Positive</t>
        </is>
      </c>
    </row>
    <row r="256">
      <c r="A256" t="inlineStr">
        <is>
          <t>fw7uek</t>
        </is>
      </c>
      <c r="B256" t="inlineStr">
        <is>
          <t>Some good news about COVID</t>
        </is>
      </c>
      <c r="C256" t="inlineStr">
        <is>
          <t xml:space="preserve">[https://finance.yahoo.com/news/pulmonary-fibrosis-foundation-statement-covid-152000379.html](https://finance.yahoo.com/news/pulmonary-fibrosis-foundation-statement-covid-152000379.html)
Please check this article..I am hearing alot of people saying you DEFINATELY will get pulmonary fibrosis and this is not true... 
Also keep in mind lung function post-pneumonia can take months to recover...my doctor told me actually it could be 3 months they're thinking with COVID 19. </t>
        </is>
      </c>
      <c r="D256" t="n">
        <v>1</v>
      </c>
      <c r="E256" t="n">
        <v>2</v>
      </c>
      <c r="F256">
        <f>HYPERLINK("https://www.reddit.com/r/COVID19positive/comments/fw7uek/some_good_news_about_covid/")</f>
        <v/>
      </c>
      <c r="G256" t="inlineStr">
        <is>
          <t>2020-04-06 14:52:34</t>
        </is>
      </c>
      <c r="H256" t="inlineStr">
        <is>
          <t>Tested Positive - Me</t>
        </is>
      </c>
    </row>
    <row r="257">
      <c r="A257" t="inlineStr">
        <is>
          <t>fwao8l</t>
        </is>
      </c>
      <c r="B257" t="inlineStr">
        <is>
          <t>Back tingles</t>
        </is>
      </c>
      <c r="C257" t="inlineStr">
        <is>
          <t>Just went on a walk to breathe some fresh air, when I returned after a little I got weird tingles almost itches in my back. Anyone else get this?</t>
        </is>
      </c>
      <c r="D257" t="n">
        <v>1</v>
      </c>
      <c r="E257" t="n">
        <v>6</v>
      </c>
      <c r="F257">
        <f>HYPERLINK("https://www.reddit.com/r/COVID19positive/comments/fwao8l/back_tingles/")</f>
        <v/>
      </c>
      <c r="G257" t="inlineStr">
        <is>
          <t>2020-04-06 17:42:26</t>
        </is>
      </c>
      <c r="H257" t="inlineStr">
        <is>
          <t>Tested Positive - Friends</t>
        </is>
      </c>
    </row>
    <row r="258">
      <c r="A258" t="inlineStr">
        <is>
          <t>fwb2s3</t>
        </is>
      </c>
      <c r="B258" t="inlineStr">
        <is>
          <t>24 year old female with likely false negative coronavirus test - here's my story</t>
        </is>
      </c>
      <c r="C258" t="inlineStr">
        <is>
          <t>Full disclosure - I posted this 14 days ago in another subreddit
\--
I just wanted to share because there aren't many people I can talk to about this. I'm a healthy, 24-year-old female and I have coronavirus. I hung out with a friend on March 7, before all of the protective measures were in place. She got it from a coworker and I got it from her. My symptoms didn't show up until 15 DAYS LATER.
SYMPTOMS
Day 1 - slight cough, nasal and chest congestion, stomach cramps (i thought it was my period coming on...), no fever, slight fogginess/fatigue; at this point, I thought it was the early stages of a cold
Day 2 - chills at night, woke up with 100 degree fever, strange headache (it didn't hurt but intense pressure), I tried to get out of bed but quickly realized I didn't have the energy, my heart was racing as if I had just sprinted a marathon; this is when I knew I had acquired coronavirus; those symptoms only lasted 10-15 mins. With this virus, it's off and on - something new every day.
Day 3 - no cough, no fever, hard to breathe due to chest and nasal congestion, I have to take deep breaths like I'm meditating; my doctor assured me that these are mild symptoms, and I believe her. I've been well enough to work and do normal things. The symptoms only get bad at night when it's difficult to catch my breath.
TAKEAWAYS - This is nothing like I've ever experienced. Coronavirus is unique because it affects your upper and lower respiratory tracts. I know I'll be fine - the key is staying calm, doing some deep breathing exercises, rest, hydrate, and medicate. But I see how this is dangerous for older adults and adults living with chronic illnesses/conditions.
TESTING - It hurts like hell to get the coronavirus test. They stick a long wire deep in your nose for 15 seconds. It burns. I cried. I get my results back in 4-7 days but I know I have it. Get tested if you can!
ANXIETY - I'm afraid I may have passed it to my mom and my little sister during the two weeks that I was asymptomatic. Every day is a waiting game. I feel so guilty even though I haven't intentionally done anything. I worked from home. I isolated when they told us to. Yes, I still had a few one-on-one hangouts early on. No, I didn't think they would come back to haunt me.
STIGMA - It's almost as bad as the virus itself. I feel embarrassed, I feel ashamed, I feel like I didn't socially distance well enough, I feel like I can't tell my friends or my coworkers. I don't want their judgment. Social media shamers have made it worse (people who mean well but are posting things that are deeply stigmatizing) - it creates an "us vs them" environment. Please be kind with your language.
Advice from the World Economic Forum: [https://www.weforum.org/agenda/2020/03/covid-19-coronavirus-who-media-guidelines-stigma-language/?fbclid=IwAR2BrQHI4v7c1O1mIFENHbzXVZ4Vy7H3MigY-5t8r3cAnjMHgsKQYXN3M5s](https://www.weforum.org/agenda/2020/03/covid-19-coronavirus-who-media-guidelines-stigma-language/?fbclid=IwAR2BrQHI4v7c1O1mIFENHbzXVZ4Vy7H3MigY-5t8r3cAnjMHgsKQYXN3M5s)
"WORDS MATTER. It's not a “plague” or an “apocalypse”; it's not a “Chinese” or “Asian" disease; and people with COVID-19 should not be described as “spreading the virus”. "
DON'T talk about people “transmitting COVID-19” “infecting others” or “spreading the virus” as it implies intentional transmission and assigns blame. "Using criminalizing or dehumanizing terminology creates the impression that those with the disease have somehow done something wrong or are less human than the rest of us, feeding stigma, undermining empathy, and potentially fuelling wider reluctance to seek treatment or attend screening, testing and quarantine."
UPDATE - 4/6/20
**Before I write about the rest of my experience, I want to apologize if this post made anyone anxious. I didn't realize this wasn't the right group, and I should've looked around more before posting.**
Day 4 - didn't feel any better, didn't feel any worse; mentally and physically tired
Day 5 - tossed and turned all night (it's always worse at night) due to bad chest congestion, bad chest pressure, shortness of breath, stomach cramps, mild coughs; I woke up that morning with the worst headache I've ever experienced, very low energy, bad stomach ache; This was the worst I've felt so far; I slept most of the day; I was afraid that this was the "turning point" that so many reference before ending up in the hospital
Day 6 - a freaking great day, I woke up feeling so good, which is weird because the day before was the worst; I thought it was finally over
Day 7 - experienced real shortness of breath, like I hadn't experienced before; rapid heart rate; couldn't do anything but stay in bed; this was a sad day
Days 8-12 - I stopped journaling because I was too depressed; being sick during a global pandemic really messes with your mental state
SOMETHING UNEXPECTED HAPPENED - MY TEST CAME BACK NEGATIVE
The doctors told me to go to the ER. Nobody could figure out what my symptoms were or why my test came back negative. They told me that it was likely a false negative and that given my symptoms, I likely do have coronavirus and should continue to isolate. One nurse told me that my viral load was likely too low for the test to pick up the virus - this isn't surprising because I'm generally healthy and young. They decided not to do another test because I was getting better and a 2nd test wouldn't have changed my treatment. Also, those tests are expensive and labs are already at capacity - better to save that test for someone who actually needs it.
TODAY (15 days since my first symptoms appeared) - I'm slowly getting better. Every day I feel more and more like myself, but recovery hasn't been linear. Some days I'm very fatigued. Some days I feel completely fine. The important things is, most of my symptoms are gone. I'm finally out of isolation. I can play with my little sister again (my family is all fine, it's been 2+ weeks and no one is sick). Every time I breathe I'm so grateful. I went for two weeks without being able to take a deep breath. 10 days isolated in my room with no contact. There were nights I was convinced I wouldn't wake up - and my symptoms were "MILD".
Overall, I feel very blessed and lucky to be alive. My heart goes out to everyone who has it worse. The fact that my test came back negative was a cruel twist. But maybe it was a blessing in disguise. Having a low viral load could be the reason none of my friends or family members got sick. But what are the chances that I got a virus that mimics the same disease occurring during a global pandemic?
If anything, this will make a hell of a story to tell one day. I hope you all are doing well.
HERE ARE SOME THINGS THAT MADE IT SLIGHTLY BETTER FOR ME
Humidifier, chest rub, pulse oximeter and thermometer (checking my vitals every hour helped my peace of mind), acetaminophen, guaifenesin, sims 4, chicken noodle soup, deleting social media, not checking the news, becoming a workaholic &amp;lt;3</t>
        </is>
      </c>
      <c r="D258" t="n">
        <v>1</v>
      </c>
      <c r="E258" t="n">
        <v>15</v>
      </c>
      <c r="F258">
        <f>HYPERLINK("https://www.reddit.com/r/COVID19positive/comments/fwb2s3/24_year_old_female_with_likely_false_negative/")</f>
        <v/>
      </c>
      <c r="G258" t="inlineStr">
        <is>
          <t>2020-04-06 18:08:58</t>
        </is>
      </c>
      <c r="H258" t="inlineStr">
        <is>
          <t>Tested Positive - Friends</t>
        </is>
      </c>
    </row>
    <row r="259">
      <c r="A259" t="inlineStr">
        <is>
          <t>fwccoz</t>
        </is>
      </c>
      <c r="B259" t="inlineStr">
        <is>
          <t>Anyone else have pain/sensitivity to the touch around their sternum and general diaphragm area?</t>
        </is>
      </c>
      <c r="C259" t="inlineStr">
        <is>
          <t xml:space="preserve">
21 days in and confirmed positive. 
I’ve had an extremely deep cough which resulted in outright coughing fits at times throughout this, perhaps that could be responsible?
Also, does anyone have any good at home breathing exercise? My lungs feel real weakened and 10 consecutive deep breaths feels like it fatigues me and taxes the lungs much more than it should.</t>
        </is>
      </c>
      <c r="D259" t="n">
        <v>1</v>
      </c>
      <c r="E259" t="n">
        <v>10</v>
      </c>
      <c r="F259">
        <f>HYPERLINK("https://www.reddit.com/r/COVID19positive/comments/fwccoz/anyone_else_have_painsensitivity_to_the_touch/")</f>
        <v/>
      </c>
      <c r="G259" t="inlineStr">
        <is>
          <t>2020-04-06 19:32:58</t>
        </is>
      </c>
      <c r="H259" t="inlineStr">
        <is>
          <t>Tested Positive - Me</t>
        </is>
      </c>
    </row>
    <row r="260">
      <c r="A260" t="inlineStr">
        <is>
          <t>fwfqim</t>
        </is>
      </c>
      <c r="B260" t="inlineStr">
        <is>
          <t>A Story w/ a Happy Ending (severe covid)</t>
        </is>
      </c>
      <c r="C260" t="inlineStr">
        <is>
          <t>I’ve been resistant to posting our story on this page because I wasn’t sure how it would pan out. In many ways, I still don’t know how it will pan out, but I do know that 1) we are a far cry from where we were a week ago, and 2) as the despair starts to settle deep into our collective psyche, it might help you to read a story like ours. A story in which the protagonist knocked on death’s door, and maybe even opened it a little bit (he has always been the curious type), but walked away in the end. “Not today,” he said to the god of death. 
&amp;amp;#x200B;
My partner Laufey (name changed for a bit of privacy, account is also a throwaway) and I live in the current epicenter of the global pandemic, New York City. Laufey is a public school teacher in the Bronx, and I am a research scientist at a Manhattan university. We are both in our early thirties with no preexisting conditions. When the pandemic started to hit our city, many of our friends started to file out of the city to wait it out in more rural parts of the country. Though we technically had the option of leaving the city and going to my parents’ house down south, we decided against it for a few reasons. One, my parents are both high-risk, being in their seventies, and we didn’t want to bring the virus home to them. Two, my parents don’t totally approve of our relationship. We are an interracial couple who are premaritally cohabitating, and they are extremely “traditional.” We just didn’t want to expose ourselves to weeks or months of their judgment. And three, we figured that if we did happen to get infected, we’re young and healthy enough to fight it without too much of a hassle. 
&amp;amp;#x200B;
Boy, were we wrong on that last bit. 
&amp;amp;#x200B;
Our symptoms started on Thursday, March 19th, but we didn’t recognize them as covid symptoms until days later. I woke up that morning with total **anosmia**. I flagged it as weird, but I just attributed it to allergies, since mine can be severe. I took an allergy pill and went about my day, which involved going to work one last time to wrap up my experiments. (Spoiler alert: The allergy pill didn’t make my anosmia improve at all.) Laufey woke up with a **headache** and felt **panicked**, but he thought it was all just stress. It was the end of a very tough week for teachers, and he was amidst the challenging transition from teaching seventh graders in person to teaching them online, during his first year of being a teacher no less. So, he popped an ibuprofen, got on the subway, and went to work. Business as usual. 
&amp;amp;#x200B;
The next day was our first day working from home together. It didn’t go too well, but I’m not going to get into the minute details. I will say, however, that on that day we purchased a room divider from Amazon so that we can split our studio apartment in half during the work day and not murder each other. We haven’t had the chance to use the room divider yet, but it did arrive and nicely matches the décor of our apartment. Putting it up while we work from home this week will be a bit of a beacon for us that things are back to normal, at least with our bodies. 
&amp;amp;#x200B;
On Saturday, March 20th, Laufey was in the kitchen cooking a fragrant salmon dinner for us. I came over to give him a hug, and he was **burning up**. I took his temperature: 101F. Holy shit. It was in that moment that Laufey realized how **exhausted** he actually was. I told him that I’d take over cooking to let him lie down for a bit, and he never had the energy to get back out of bed and eat with me. This was when we first suspected covid. 
&amp;amp;#x200B;
From Sunday to Tuesday, his symptoms didn’t change at all, even though his temperature fluctuated some. His temperature dropped to 99F, rose to 103F, and all the while, he worked through the fever and fatigue. He kept taking ibuprofen and acetaminophen to help reduce his fever, switching exclusively to acetaminophen when a friend informed us about the (anecdotal) contraindications of taking ibuprofen during a coronavirus infection. As for my symptoms, they didn’t really worsen too much. The anosmia stayed. Some mornings, I would wake up with a **headache**, for which I just took acetaminophen. I also started developing some **nasal weirdness**. I wouldn’t call it congestion, but rather it was more of a stinging sensation, similar to sucking water deep into your nose while swimming. No fever or noticeable fatigue for me, but I was dealing with some incredible **anxiety** during these days. I chalked it up to general pandemic anxiety, but now that I think about it, I’m pretty sure it was the corporeal anxiety of fighting a viral infection. 
&amp;amp;#x200B;
On Tuesday the 24th, Laufey developed a dry cough on top of the fever and fatigue. That’s when we determined that it was most likely covid. We called our health clinic for a telemedicine session, and they just suggested Laufey continue to get rest, take acetaminophen to reduce the fevers, hydrate, and hope for the best. Wednesday and Thursday only brought a worsening of symptoms, and by Friday, he started to experience **labored breathing**. That’s when the clinic finally agreed to take him in for an evaluation. He was at the clinic for maybe fifteen minutes before he called me (I was waiting outside because of the quarantine) and told me he has **pneumonia** and they’re sending him to the ER. I walked him to the ER, a block away from both the clinic and our apartment, gave him a giant hug goodbye, and went home, unsure of when I’d see him next. To my surprise, he texted me a couple hours later say that he was walking home and probably needed help walking up the stairs (we’re on the third floor of a walk-up). When I asked him what the ER did for him, he said, “Nothing really.” They just sent him back home with – believe it or not – Zofran, the anti-nausea medication. They gave him Zofran because he **threw up** all over the ER floor after drinking a glass of water. They didn’t give him a covid test. They didn’t give him anything. They just gave him some fluids via IV, checked his oxygen saturation, and determined that **92%** was good enough to send him home to recover. When Laufey asked his nurse about being admitted, she said, “Believe me, you don’t want to be admitted.” 
&amp;amp;#x200B;
Saturday the 28th was the sickest and saddest I’d ever seen Laufey. He kept on crying because he **couldn’t breathe** (in our four years together, I’d seen him cry only a handful of times). He kept on **coughing**, but nothing was coming out. He was **dry heaving** through all the coughs. All he could do was lie down, but he felt like he was **drowning** every time he went horizontal. We tried some steam inhalation and chest percussion to try to get mucus out of his lungs. It worked a little bit, but as he coughed up mucus, he was also **coughing up blood**. I reached out to our community for a pulse oximeter to get a sense of his oxygen levels, and our good friend Freyja (name also changed) brought one to our doorstep an hour later. He was hovering around **88%** all day. We were terrified, but we didn’t know what to do. We were afraid that if we went back to the ER, they would just turn him away again. I saw a comment in this subreddit that suggested CityMD, since they have the ability to do chest x-rays and prescribe medications, and they’re way less overwhelmed than the hospitals. We decided to go in the morning. 
&amp;amp;#x200B;
The morning of Sunday the 29th came. I woke up and tested his oxygen saturation: **84%**. Horrified, we immediately went to CityMD. I wasn’t allowed to sit in the waiting room due to the quarantine, so I just waited on the sidewalk, making sure that I kept my distance from all passersby. Laufey called me after a long half hour (he usually has a beautifully loud voice, but I could barely hear his raspy whispers over the phone) and told me that they’re sending him back to the ER. A nurse came out and found me on the sidewalk, let me inside the clinic, and walked me to Laufey’s room to see him and talk to his doctor. As soon as I walked into the room, Laufey looked up at me with the heaviest eyes I’ve ever seen on him and says, “I think I’m going to die from this.” I squatted down to his level, fought back a giant cascade of tears, save the few that slipped through, and said to him, “You’re not going to fucking die from this. You can fight this, and you will fight this, and I will fight it with you.” His doctor pulled me out of the room for a moment to tell me that he has “a little bit of pneumonia” – his bizarre euphemism for **severe bilateral pneumonia** – and that he needs to go back to the hospital right away. I asked the doctor if he’s going to die from this, and he assured me that he’s young and has the strength to fight it. I wasn’t sure if I could believe him. 
&amp;amp;#x200B;
When I left him at the ER doors that afternoon, I wasn’t sure if I was saying goodbye to the love of my life. I walked home, crying the whole way, and sent out a million text messages to our friends and family letting them know about our situation and asking them to keep Laufey in their thoughts. I tried to channel my efforts into 1) being as useful as possible and 2) taking care of myself as much as possible, lest my own symptoms get worse (they didn’t, thankfully). I kept in close touch with the hospital, and since Laufey listed me as a proxy upon his arrival, it wasn’t too challenging to get information on his status. (Partners of the hospitalized: Please ensure you do this!) I tried to limit how many calls I made to the hospital since they’re beyond overwhelmed, but I must have averaged one call every couple of hours for Laufey’s first 24 hours in the hospital. He wasn’t responding to his texts much due to sheer exhaustion, so it was the only way I could find out what was happening. 
&amp;amp;#x200B;
The hospital did a lot of things right, and I am beyond thankful for all of the amazing and resilient health workers fighting this beast right now. But the hospital also did a lot of things wrong. (I should get Laufey to write his own story of how things looked from the inside.) They didn’t pay much attention to patients on Laufey’s side of the ER. Patients were packed like sardines in Laufey’s section of the ER, and they had trouble getting the attention of any of the health workers. Their call buttons didn’t seem to be functioning at all, either because they were broken or being ignored. Whenever Laufey needed anything simple like water or an outlet to keep his phone charged, I had to call the hospital to make sure he got it. This process was relatively straightforward (even though it required persistence since they answered their calls less than half the time), but there were a couple of times it got hairy. One instance: They finally decided to admit Laufey to the hospital around 7:00 pm on Sunday, but when Monday morning came, he was still in the ER with no bed. Laufey texted me to try calling the hospital to find out about that bed, because none of the ER staff stopped and talked to him. I called the hospital and asked for the chart nurse, who couldn’t estimate how long it would take to get a bed; there were many people still ahead of Laufey. I asked the chart nurse if there was anything I could do, and he suggested that I call other hospitals to try to find an empty bed. He also mentioned the USNS Comfort, which had just docked that day, but “was being reserved for non-covid patients.” At this time, almost a full day after Laufey first got tested for covid, neither Laufey nor I had been informed of his covid test results. I asked the chart nurse, “Does this apply to Laufey?” And he said, “You don’t know? Ask Laufey,” and hung up the phone. He himself then found Laufey in the ER and told him, “Tell your girlfriend I’m sorry we haven’t told you yet: You have indeed **tested positive for covid**.” That’s actually why his section of the ER was being ignored. They were in quarantine. 
&amp;amp;#x200B;
I took the chart nurse’s advice and called almost every hospital in the city to ask about empty hospital beds. I called or emailed anyone I thought might know more than me about getting a hospital bed, like my therapist, my boss, my colleague whose wife is a doctor. No luck on any front. One of the hospitals I called actually laughed at my question; I probably should have been offended, but the absurdity of it gave some comic relief to my unrelenting anxiety. After a few hours of gathering information like Laufey’s life depended on it, I gave up on trying to find a place to move him. He was relatively stable in the ER, and he was at least high up on the queue to get a bed. In the ER, he stayed on an **oxygen mask** to supplement his respiration. He could breathe on his own, so he didn’t need a ventilator, but he needed to inhale a higher oxygen concentration than the air could provide to keep his oxygen saturation above 95%. They also started him on the promising (yet risky) new drug treatment for severe covid patients: **azithromycin** and **hydroxychloroquine**. They took an EKG before giving him the hydroxychloroquine (this drug can be terrible for a less healthy heart) and then gave him three doses over the next 24 hours. I’m pretty sure these drugs actually saved his life, since he started sounding better and thinking more complex thoughts just a couple hours after his first dose. That said, the drug did make him **hallucinate** a little bit after each dose, and it still affects the quality of his sleep a week later. He has been having extraordinarily **vivid dreams**. This could be a result of the emotional trauma of covid too. 
&amp;amp;#x200B;
The night of Monday the 30th brought Laufey great sleep, since he was finally admitted to the hospital late in the evening and was able to enjoy his own space until his discharge the next evening. But Tuesday morning brought another instance of things getting a little hairy. Laufey kept on passing out because his oxygen machine was set too low. His nurse was nowhere to be found. He managed to squeeze a text out to me that said, “Losing time… not enough oxygen…” I obviously freaked the fuck out and called the hospital. It took several times for me to get through to his nurse, but I finally did, and the nurse checked on him and turned up his oxygen. By later Tuesday evening, Laufey was finally able to keep his oxygen levels **above 92%** without a machine, so they discharged him to make room for more patients. I went to pick him up, and it took us almost an hour to walk home from the hospital, one block away. He kept running out of breath. The hardest part was climbing the stairs to our third-story walkup. He didn’t leave the apartment at all for a few days, but a couple days ago he started taking walks to get his body moving (with a mask and gloves, of course). He’s walking a little bit farther every day. 
&amp;amp;#x200B;
I’m happy to say that now, **20 days** after our symptoms started, we’re almost at the end of our covid story. Both of us have been mostly asymptomatic for a couple days now, though Laufey is still working on clearing his lungs. He is now able to keep his oxygen levels at **95%**, and he’s coughing way less. He’s finally able to sleep lying flat again. He is **eating normally** again, and so am I (I spent a couple weeks not eating enough due to the anosmia and stress). He is finally **afebrile**. He tried to go back to work today, but after a two-hour conference call, he had to take a long nap. It’ll take us a while to get back to 100% health, but we are well on our way. 
&amp;amp;#x200B;
If your symptoms are severe or if you’re caring for someone whose symptoms are severe, please take our story as an example of how things can get better from the brink. Stay strong, stay persistent, hydrate, rest, get help when you need to, and stay connected to loved ones. This virus will go away someday. &amp;lt;3
&amp;amp;#x200B;
I’ve already received a lot of questions and speculation from our friends and family about why our symptoms were so different. I’ll put a few things out there in case any of you guys want to speculate too: 
&amp;amp;#x200B;
*Age*: I am 30. Laufey is 33. 
*Sex* (seems to be a newly identified factor!): I am cis-female, and Laufey is cis-male.
*Blood Type*: I am A-. Laufey is O+.
*Body Type*: I am on the upper range of normal weight. Laufey is on the lower range of overweight. 
*Diet*: Pretty much the same. We both eat lots of whole foods and vegetables, with the occasional indulgence. 
*Exercise*: I exercise hard (weight lifting) 5-6 days a week. Laufey does some movement, usually walking or jogging, most days. 
*Stress*: Laufey’s baseline stress levels are significantly higher than mine. He’s a public school teacher. I am working on my PhD in science. Enough said. Thank a teacher. 
*Acute Illness*: I have gotten sick 3-4 times since the cold/flu season started in September; one time was pretty bad (out of work for 3+ days). Laufey has gotten sick once or twice and took maybe one sick day. 
*Possible Comorbidities*: I have celiac disease. Laufey has sleep apnea.</t>
        </is>
      </c>
      <c r="D260" t="n">
        <v>1</v>
      </c>
      <c r="E260" t="n">
        <v>71</v>
      </c>
      <c r="F260">
        <f>HYPERLINK("https://www.reddit.com/r/COVID19positive/comments/fwfqim/a_story_w_a_happy_ending_severe_covid/")</f>
        <v/>
      </c>
      <c r="G260" t="inlineStr">
        <is>
          <t>2020-04-06 23:49:03</t>
        </is>
      </c>
      <c r="H260" t="inlineStr">
        <is>
          <t>Tested Positive</t>
        </is>
      </c>
    </row>
    <row r="261">
      <c r="A261" t="inlineStr">
        <is>
          <t>fwi1do</t>
        </is>
      </c>
      <c r="B261" t="inlineStr">
        <is>
          <t>CAMPAIGN TO SURVIVE</t>
        </is>
      </c>
      <c r="C261" t="inlineStr">
        <is>
          <t>*COVID-19 PANDEMIC 0.0020 BTC HUMANITARIAN DONATIONS CAMPAIGN*
Its a good thing that you are alive and safe today.
Many of our 8,000 staff are frontline workers in hard-to-reach areas which are poorly equipped to deal with a potential spread of the virus. We are well-known for working closely with communities and we do not want to stop this now.
Your help will enable us to do the following:   
Ensure that we can continue our crucial work to provide others with life-saving assistance. In refugee camps and communities, densely populated with vulnerable groups, your donation helps prevent a spreading of the virus by providing training and essential items.
Protect our staff by enabling continued presence and providing our team with clean water, soap, hand sanitizer, and protective clothing.
Your donation helps us prevent another crisis, which could have a devastating effect on those we have been asked to serve. Your funds will only be used for COVID-19 prevention and response, and with priority to the most exposed programs.
You can Donate 0.0020BTC or Below. Thanks
Copy Bitcoin address:
18QQD33XUkYeU5rxyJs7UhD7axBdmHP3qU</t>
        </is>
      </c>
      <c r="D261" t="n">
        <v>1</v>
      </c>
      <c r="E261" t="n">
        <v>7</v>
      </c>
      <c r="F261">
        <f>HYPERLINK("https://www.reddit.com/r/COVID19positive/comments/fwi1do/campaign_to_survive/")</f>
        <v/>
      </c>
      <c r="G261" t="inlineStr">
        <is>
          <t>2020-04-07 03:15:32</t>
        </is>
      </c>
      <c r="H261" t="inlineStr">
        <is>
          <t>Tested Positive - Family</t>
        </is>
      </c>
    </row>
    <row r="262">
      <c r="A262" t="inlineStr">
        <is>
          <t>fwk0rt</t>
        </is>
      </c>
      <c r="B262" t="inlineStr">
        <is>
          <t>Corona virus at 14</t>
        </is>
      </c>
      <c r="C262" t="inlineStr">
        <is>
          <t>(Excuse my english, i live in the Netherlands and have been learning it for only a bit)
I live in zuid-holland province in the Netherlands and tested positive, sorry if i go all over the place writing this, my brain is really foggy.
I’m turning 15 this month and tested positive, i’m on day 4 of symptoms (was lucky to get tested, theres a huge shortage of tests here currently, espevially in my area) and my current symptoms include:
-Bad nausea (only after eating)
-Discomfort in stomach
-Discomfort in guts
-Life feels like i’m dreaming (that feeling you have with a fever)
-Tightness on chest / pressure on chest / slight shortness of breath
-Heat flashes
-No energy
My symptoms imo are pretty severe from someone whos my age and healthy but i’m hoping for the best. My doctor told me i was allowed to stay home, get rest and keep eating / drinking / sleeping.
We also have a little thing that clips onto your finger (i forgot what it’s called) that measures bpm and saturation, my doctor said if my breathing starts to get even more difficult and my saturation drops i’ll need to go to a hospital which is pretty scary to me.
I hope everyone here makes a full recovery, good luck to you guys!</t>
        </is>
      </c>
      <c r="D262" t="n">
        <v>1</v>
      </c>
      <c r="E262" t="n">
        <v>81</v>
      </c>
      <c r="F262">
        <f>HYPERLINK("https://www.reddit.com/r/COVID19positive/comments/fwk0rt/corona_virus_at_14/")</f>
        <v/>
      </c>
      <c r="G262" t="inlineStr">
        <is>
          <t>2020-04-07 05:55:22</t>
        </is>
      </c>
      <c r="H262" t="inlineStr">
        <is>
          <t>Tested Positive - Me</t>
        </is>
      </c>
    </row>
    <row r="263">
      <c r="A263" t="inlineStr">
        <is>
          <t>fwkm2t</t>
        </is>
      </c>
      <c r="B263" t="inlineStr">
        <is>
          <t>Flushed cheeks come with covid 19, will it ever go away</t>
        </is>
      </c>
      <c r="C263" t="inlineStr">
        <is>
          <t>Day 20-23..
Started to have running nose..(hope it’s spring allergy not another waves of symptoms 
Does anyone else who also have flushed red cheek ( without fever)? Will it ever go away?</t>
        </is>
      </c>
      <c r="D263" t="n">
        <v>1</v>
      </c>
      <c r="E263" t="n">
        <v>11</v>
      </c>
      <c r="F263">
        <f>HYPERLINK("https://www.reddit.com/r/COVID19positive/comments/fwkm2t/flushed_cheeks_come_with_covid_19_will_it_ever_go/")</f>
        <v/>
      </c>
      <c r="G263" t="inlineStr">
        <is>
          <t>2020-04-07 06:35:45</t>
        </is>
      </c>
      <c r="H263" t="inlineStr">
        <is>
          <t>Tested Positive</t>
        </is>
      </c>
    </row>
    <row r="264">
      <c r="A264" t="inlineStr">
        <is>
          <t>fwl1ey</t>
        </is>
      </c>
      <c r="B264" t="inlineStr">
        <is>
          <t>Help TURN THEM IN for spreading this virus!</t>
        </is>
      </c>
      <c r="C264" t="inlineStr">
        <is>
          <t>&amp;amp;#x200B;
We have learned that Covid is no joke, and people are still at risk.  We see what it's like to have this virus, and to see thousands at risk just makes me sick(ER).  These are the conditions my sister and hundreds of other workers are having to face because of greed overriding safety.
&amp;amp;#x200B;
&amp;amp;#x200B;
Belk Distribution 3805 Furman L Fendley Hwy, Jonesville, SC 29353
Belk Fulfillment Center
 HR was notified and it was known that Belk Distribution
had a confirmed case as of 3/30/2020 on 1st shift.  Infected person was ------ ---------- of Union.  
&amp;amp;#x200B;
Belk had all 3 shifts (1st2nd3rd&amp;amp;weekend) up and running at all times thruout c19.  
Manager admitted there's no time to clean without causing panic, so they
dont clean at all/ no professional extensive cleaning as recommended.  This puts
everyone that orders from [Belk.com](https://Belk.com) at RISK BIG TIME!
&amp;amp;#x200B;
no gloves, lysol disinfectant, face masks or disinfectant soaps to clean with  or
to wash hands
&amp;amp;#x200B;
over 100 people on 1st shift and hiring groups of new hires. Never in groups less
than 30 never more than 200 in a single work day.    These groups are 
coming in 15-20 at a time for the employees working on the floor to train them,
exposing them to even more people.  
&amp;amp;#x200B;
changed schedule around 1 group goes to lunch at 11. the other goes in at 1130.  
they told employees there is no time to clean between the two lunches,
but at first told employees they were moving lunch schedules so they could clean.
employees have all discussed this and figured out that all of this is being
hidden from them-or Belk and Prologistix think it's covered and swept under
the rug.  
&amp;amp;#x200B;
found out theyre making their own cleaning solution.  no one knows what it is,
most think water, since it has no smell
&amp;amp;#x200B;
wont allow employees to discuss anything about Covid -were told youd be
fired and personally walked out.  2 people have been walked out for this so far.
if you tell them you do not feel well, you will likely lose your job if you leave. 
&amp;amp;#x200B;
belk stores are closed.  belk corporate offices are closed, only the
distribution center is running.  they make or ship nothing essential. 
&amp;amp;#x200B;
you have people from greenville gaffney north carolina lancaster union and 
spartanburg working here.  Covid is all over all of these areas and spreading VERY fast.  
&amp;amp;#x200B;
conditions should be looked into
board all yellow-this showing everyone working there is working voluntarily 
when in fact they have NO choice, sick with Covid symptoms or not. 
&amp;amp;#x200B;
Does not plan to and has not complied with any standards given including the new 
stay at home order by our Governor.  
  Please help them, you're the only one that can.  Help BLOW THIS UP because everyone that has ordered from Belk since March 30th and anyone who orders anything in the near MONTHS are at extreme risk</t>
        </is>
      </c>
      <c r="D264" t="n">
        <v>1</v>
      </c>
      <c r="E264" t="n">
        <v>3</v>
      </c>
      <c r="F264">
        <f>HYPERLINK("https://www.reddit.com/r/COVID19positive/comments/fwl1ey/help_turn_them_in_for_spreading_this_virus/")</f>
        <v/>
      </c>
      <c r="G264" t="inlineStr">
        <is>
          <t>2020-04-07 07:03:17</t>
        </is>
      </c>
      <c r="H264" t="inlineStr">
        <is>
          <t>Tested Positive</t>
        </is>
      </c>
    </row>
    <row r="265">
      <c r="A265" t="inlineStr">
        <is>
          <t>fwly41</t>
        </is>
      </c>
      <c r="B265" t="inlineStr">
        <is>
          <t>I’m not experiencing any cough or fever??</t>
        </is>
      </c>
      <c r="C265" t="inlineStr">
        <is>
          <t>I’m presumed positive by my mom who works at a hospital and was exposed to COVID19. On day 4 of symptoms SOB develop but no sort of cough or fever present. Timeline
Day 1: sore throat not to much fatigue, no fever
Day 2: less sore throat a little more fatigue, no fever 
Day 3: more fatigued no sore throat minor SOB, sore throat gone, no fever 
Day 4: less fatigue, more SOB, no fever</t>
        </is>
      </c>
      <c r="D265" t="n">
        <v>1</v>
      </c>
      <c r="E265" t="n">
        <v>2</v>
      </c>
      <c r="F265">
        <f>HYPERLINK("https://www.reddit.com/r/COVID19positive/comments/fwly41/im_not_experiencing_any_cough_or_fever/")</f>
        <v/>
      </c>
      <c r="G265" t="inlineStr">
        <is>
          <t>2020-04-07 07:58:48</t>
        </is>
      </c>
      <c r="H265" t="inlineStr">
        <is>
          <t>Tested Positive - Me</t>
        </is>
      </c>
    </row>
    <row r="266">
      <c r="A266" t="inlineStr">
        <is>
          <t>fwmm9d</t>
        </is>
      </c>
      <c r="B266" t="inlineStr">
        <is>
          <t>Day 22: Cough still persists. How much longer?</t>
        </is>
      </c>
      <c r="C266" t="inlineStr">
        <is>
          <t>To anyone who has recovered, how long did it take for your cough to recover? 
My symptoms began on March 16th, I officially tested positive on March 28th.
Now on day 22 of symptoms and I seem to be coughing a lot today. Most of my other symptoms (fever, chills, sense of taste/smell, etc.) have gone away. The only thing that seems to be persisting is this damned cough and some diarrhea (I have IBS, so I'm not even 100% sure if this is from COVID-19)
Whats concerning is I just had a coughing fit that left me a bit light headed, which I haven't had in over a week. 
Appreciate any input.</t>
        </is>
      </c>
      <c r="D266" t="n">
        <v>2</v>
      </c>
      <c r="E266" t="n">
        <v>16</v>
      </c>
      <c r="F266">
        <f>HYPERLINK("https://www.reddit.com/r/COVID19positive/comments/fwmm9d/day_22_cough_still_persists_how_much_longer/")</f>
        <v/>
      </c>
      <c r="G266" t="inlineStr">
        <is>
          <t>2020-04-07 08:38:21</t>
        </is>
      </c>
      <c r="H266" t="inlineStr">
        <is>
          <t>Tested Positive - Me</t>
        </is>
      </c>
    </row>
    <row r="267">
      <c r="A267" t="inlineStr">
        <is>
          <t>fwnmrt</t>
        </is>
      </c>
      <c r="B267" t="inlineStr">
        <is>
          <t>Contracting covid-19 second time?</t>
        </is>
      </c>
      <c r="C267" t="inlineStr">
        <is>
          <t>My first symptoms were March 11th. Had a fever for a few days, headaches, body aches, loss of smell taste. By March 25th was feeling fine and April 2nd started feeling symptoms again just not as harsh. Slight body and headaches, shortness of breath. Has anyone tested positive after being recovered? Here an article on it. [51 recovered coronavirus patients test positive again](https://nypost.com/2020/04/07/51-recovered-coronavirus-patients-test-positive-again-in-south-korea/)</t>
        </is>
      </c>
      <c r="D267" t="n">
        <v>2</v>
      </c>
      <c r="E267" t="n">
        <v>18</v>
      </c>
      <c r="F267">
        <f>HYPERLINK("https://www.reddit.com/r/COVID19positive/comments/fwnmrt/contracting_covid19_second_time/")</f>
        <v/>
      </c>
      <c r="G267" t="inlineStr">
        <is>
          <t>2020-04-07 09:34:22</t>
        </is>
      </c>
      <c r="H267" t="inlineStr">
        <is>
          <t>Tested Positive - Me</t>
        </is>
      </c>
    </row>
    <row r="268">
      <c r="A268" t="inlineStr">
        <is>
          <t>fwo7lm</t>
        </is>
      </c>
      <c r="B268" t="inlineStr">
        <is>
          <t>Grandpa (78) on day 10 of vent. Need medical information.</t>
        </is>
      </c>
      <c r="C268" t="inlineStr">
        <is>
          <t>(Cross posted)
Hi all. I just need some information from anyone who understands. Bear with me, this will be a long story...this happened in NJ.
My grandpa went to the hospital about 2 weeks ago with mild COVID-19 symptoms (fever, cough, shortness of breath) after acquiring it in Queens, NY. They hooked him up to oxygen and gave him the anti-malaria drug. Within 4 days he was doing very well. They transitioned him to a normal floor and his fever broke. We talked to him and the doctors were very optimistic for his being discharged within 24 hours.
Overnight his condition worsened. They transferred him to the ICU. They tell us it is because he required more oxygen and that's all (2 liters to 4 liters to 6 liters and then automatic ICU transfer). He's lucid still, speaking to us, mild fever. Doctors say do not panic.
Day 2 in the ICU he's doing ok. Then, overnight they have him sign a waiver to be intubated without telling the family.  The doctors called us after it was already done the next morning (my mom broke down crying). They told us at the time it was "preventative" because of suspected pneumonia, and he still had a very good chance of survival. Now we are on day 10 of the ventilator. I keep picturing him signing that waiver and that being his last lucid moment on this earth...and I am also pissed seeing the stats that people intubated too early are dying because of it.
A break to explain more details. My grandpa has no comorbidities other than that he is mildly overweight. He is 78 and that's a daunting number, but he fixes cars and wires houses even now and is completely healthy and lucid. He is an Italian immigrant and he can work all day at difficult labor. However, his wife just passed away 4 months ago from metastatic breast cancer, so he has been depressed. This may have contributed to his sickness. Everyone hears his age and assumes a death sentence but he's the healthiest 78 year old I've ever met; for context, his older brother (82) was admitted to the same hospital for COVID-19 and all they did was give him morphine and he died in his sleep within 3 days. No, grandpa doesn't even know that happened.
Ok. With all that said. Third day on the vent his PEEP is at 18 and oxygen is at 70%. Viral pneumonia, lower left lung very bad. They have the palliative care doctors call us. The palliative care doctor says on the phone "We have no idea if he will die or not, this call is premature." Over the next few days his PEEP drops: 18 to 15 to 12 and now its at 10. They take the paralytic off and he does fine. We wonder if he's getting better? But the doctors call us and pressure us to sign a DNR because they need more ventilators. (???) We ask if he is getting better because his numbers have been dropping. They say: we don't know and we expected better from him by now. When they do breathing trials they evidently are not going well. Maybe some of you will understand these numbers from 2 days ago:  Assist Control 25, Title Volume 520, PEEP 10, Oxygen 50%.
He has no fever and no other symptoms. The only medicine he is receiving is related to his being comatose on the vent. There has been no organ failure, no worsening of anything, kidneys good, blood good, heart good. He's just sedated and on a ventilator and the settings are mildly and slowly improving. One doctor tells us he may recover on the vent; one says they might try a trach; the next doctor says absolutely no trach for another week; another doctor says we should let him die instead of putting him on a trach. No continuity of care. No more meds available for him. Only confusing mixed messages and doctors who are frankly implying that we give up on his life to free up resources for the hospital.
So, my family calls a lawyer and the lawyer says hospitals do have a right to take the vent off and refuse care. Mom calls chief medical officer of the hospital who says that they won't be doing that anytime soon because they still have 77 spare vents. So...super weird that they were pressuring us in the first place.
Ok, reddit. There's my story. What chance do we have of his recovery? What is going on? What should we advocate for? Is all hope lost? What should we ask them? What would be an indicator that he is getting better or worse? I have seen studies on vent recovery which look terrible and some which look great. The truth would be the best.</t>
        </is>
      </c>
      <c r="D268" t="n">
        <v>1</v>
      </c>
      <c r="E268" t="n">
        <v>19</v>
      </c>
      <c r="F268">
        <f>HYPERLINK("https://www.reddit.com/r/COVID19positive/comments/fwo7lm/grandpa_78_on_day_10_of_vent_need_medical/")</f>
        <v/>
      </c>
      <c r="G268" t="inlineStr">
        <is>
          <t>2020-04-07 10:06:08</t>
        </is>
      </c>
      <c r="H268" t="inlineStr">
        <is>
          <t>Tested Positive - Family</t>
        </is>
      </c>
    </row>
    <row r="269">
      <c r="A269" t="inlineStr">
        <is>
          <t>fwrkuk</t>
        </is>
      </c>
      <c r="B269" t="inlineStr">
        <is>
          <t>The first 15 countries with the highest mortality rate caused by CoronaVirus 07/04/2020</t>
        </is>
      </c>
      <c r="C269" t="inlineStr">
        <is>
          <t xml:space="preserve"> [https://www.youtube.com/watch?v=MYBiCnzSiDE](https://www.youtube.com/watch?v=MYBiCnzSiDE)</t>
        </is>
      </c>
      <c r="D269" t="n">
        <v>1</v>
      </c>
      <c r="E269" t="n">
        <v>3</v>
      </c>
      <c r="F269">
        <f>HYPERLINK("https://www.reddit.com/r/COVID19positive/comments/fwrkuk/the_first_15_countries_with_the_highest_mortality/")</f>
        <v/>
      </c>
      <c r="G269" t="inlineStr">
        <is>
          <t>2020-04-07 13:04:37</t>
        </is>
      </c>
      <c r="H269" t="inlineStr">
        <is>
          <t>Tested Positive - Friends</t>
        </is>
      </c>
    </row>
    <row r="270">
      <c r="A270" t="inlineStr">
        <is>
          <t>fwtlic</t>
        </is>
      </c>
      <c r="B270" t="inlineStr">
        <is>
          <t>Presumed mild case of Covid-19. Don't worry! (NOT TESTED. Didn't know what flare to chose.)</t>
        </is>
      </c>
      <c r="C270" t="inlineStr">
        <is>
          <t>(English is my second language so expect mistakes)  
So when I moved back home because our dorms at school closed I was pretty sure I was gonna get it since my mom meets a lot of people everyday for work and doesn't practice the best hand hygiene.  
She interacted with a person at work who is presumed to have it. Later she got these symptoms.  
\*Loss of taste and smell  
\*Runny nose  
\*Slight headache  
\*Low grade fever for one day  
\*Tingling in chest.  
We didn't even think about Covid and just assumed allergies (even though her allergy season haven't started.)  
She is 59 and otherwise healthy.  
About me. Male 24, Smoker (for a year, not a heavy one), no underlying conditions, a bit underweight
\*Last Thursday I started feeling a bit under the weather and and mild aches in my legs. Just wrote it off as being tired.   
\*On Friday I found some petechiae on my arm, thought it was a normal rash.  
\*Woke up Saturday(4th of April) with a cough some tightness/tingling in my chest and a very mild SOB nothing worse than I get during my allergy season (which doesn't start until June). Started feeling worse during the day and later that evening I got the chills a mild fever and my appetite was totally gone. (37.5).  
\*On Sunday(5th of April) I woke up with a cough and felt tired. Fever came and went during day (Max 37.8), but so far this was the worst day. Appetite came back during the evening which I appreciated since we were having tacos. Fever went away right before bed.  
\*Monday (6th of April) Woke up with no fever but it went up to 37.5 during the day but went away 2-3 hours later. Felt absolutely exhausted after helping with some chores though. Contacted a doctor about my petechiae need to go in for blood work.  
Tuesday (7th of april, today). Had no fever during the whole day, had some tingling in my chest and and cough is till there but better. Went my local health center for blood work. Called ahead and said I had Covid-19 symptoms. Small town so not much space in the health center so had to do my examination behind the building outdoors with doctors in protective gear. Oxygen levels 100%, lungs sounded fine, a bit of a rapid heartbeat (probably because it was cold and was only in a t-shirt). Blood work came back, everything was perfect except for something (can't remember) which was high in count suggesting I was fighting off an infection. (I am aware lol.) Doctor said not to worry about my petechiae probably triggered my my viral infection, it can happen. Didn't get to test for corona because of resources. Understandable.  
And that is it so far. My cough is slightly worse now during the evening but only slightly. My doctor told me that there is a chance of the illness getting a second wind but it shouldn't be much worse than what I have already had if that happens since it has been so mild. Feeling like i'm on the way of getting better. My family has been lucky with both of us having such mild cases. I am guessing most people actually get it like this but write it off as an allergy/cold and that is why it spreads.  
Some final advice from me. If you have allergies, before you write it off as allergies check the pollen levels in your area. It is just a quick google search and an easy way to determine if it is allergies or something else.  
To the people who have major anxiety about getting this disease. I know how you feel! I have been diagnosed with GAD &amp;amp; panic disorder. I had a panic attack when I started feeling sick. But you know what? You will probably get it, and you probably won't even notice. Stop reading about cases here because it will only worsen your anxiety. This sub is probably not very representative of the actual disease.  
And to all of you sick right now, I hope you have a speedy recovery and sorry if you got it worse!  
Take care people, I will update this thread if anything else happens.</t>
        </is>
      </c>
      <c r="D270" t="n">
        <v>1</v>
      </c>
      <c r="E270" t="n">
        <v>7</v>
      </c>
      <c r="F270">
        <f>HYPERLINK("https://www.reddit.com/r/COVID19positive/comments/fwtlic/presumed_mild_case_of_covid19_dont_worry_not/")</f>
        <v/>
      </c>
      <c r="G270" t="inlineStr">
        <is>
          <t>2020-04-07 14:55:43</t>
        </is>
      </c>
      <c r="H270" t="inlineStr">
        <is>
          <t>Tested Positive</t>
        </is>
      </c>
    </row>
    <row r="271">
      <c r="A271" t="inlineStr">
        <is>
          <t>fwtom4</t>
        </is>
      </c>
      <c r="B271" t="inlineStr">
        <is>
          <t>Days 28-30</t>
        </is>
      </c>
      <c r="C271" t="inlineStr">
        <is>
          <t>I've been detailing my symptoms of Covid19 for the past couple weeks, since I got my positive test results.
I've been doing it for myself as a diary to keep track of my symptoms, and also to reach out to those who are sick and don't know what to expect or wonder if what they're experiencing is normal.
I was very fearful and uncertain when I was diagnosed and had a lot of questions. 
By the beginning of day 28, my last post,  I hadn't been to bed yet and I was feeling on top of the world.  I had zero shortness of breath, I could take deep breaths, I was washing dishes and doing light chores around home.
I slept in and awoke late morning/early afternoon.   It was a beautiful day, and for once it wasn't raining.   The sky was blue, the birds were out and my dog stared longingly out the back window. 
My GI issues had calmed down.  I was clear-headed.  My temperature had FINALLY gotten down into the 98's.  I had almost no back pain or body aches.  I was feeling better than the best.
My roommate and I decided to take the dog for a walk to the park, which is very close to home, less than a quarter mile away.  We went very slowly to accommodate me.
At the park it wasn't so much as a 'walk' as a 'stand and stare at the dog being a derp in the grass', rolling around in the grass, chasing squirrels and other dog things.
After 30 minutes or less of watching the dog we made the very slow trek back. 
Now as I mentioned previously I am (now, was) a light smoker, and until Sunday had not had a cigarette in over a week.  Upon arrival at home I thought 'fuck it' and took a drag of a cigarette. 
It was not appealing to me.  I didn't like how it smelled or tasted or felt so I crushed the entire cigarette in the tray. 
I returned to my bedroom and soon realized I was getting short of breath.  After a couple of hours I finally pulled out my albuterol inhaler but quickly realized that any effect it used to have was gone.  I puffed that inhaler over and over and the only thing I got from it was shaky hands and a pounding heartbeat.
I had not used the inhaler in over 35 hours by that point.  All of that progress flushed down the drain.
The rest of the day was spent in bed, trying to breathe.  I haven't been sleeping much which I thought was the prednisone but perhaps it's the albuterol. 
Day 29 - woke up sore, even more than before, especially in one particular spot on upper right back.  Every movement makes me audibly gasp in pain.  Temperature normal in the morning. Had a video call with my doctor.  
My doctor has extended my return to work. Initially I had planned to try to return this week, but that's off the table.  My doctor also mentioned that the guidelines of returning to work have now changed: instead of 3 days without a fever, you must be 7 days free to return to work.  My doctor indicated that I now need a stronger inhaler that is long-lasting.  That particular inhaler is out of stock so I can't get it yet.
My appetite has remained strong. Each day my sense of smell and taste improve. Even though I seem to be improving overall,  the breathing setback has really darkened my mood again.  I am now worried about running out of paid leave and losing my job. I've been out for 2 weeks, now this will be a third.  Classes started over a week ago and I haven't even logged in, I'm considering dropping my classes this term.
By evening my temperature returned to the mid 99's again. 
Day 30 (today) - I had a really hard time sleeping last night, so by 3 AM I decided to simply stay awake and go grocery shopping at 6, as soon as the store opened.  It's been weeks since either me or my roommate got grocerjes.  We were in desperate need of perishables like milk, meat, vegetables, etc.  We do have frozen foods which is how we've been surviving the past few weeks but we are simply running out of some foods. 
I got short of breath just putting pants on.  Nonetheless I put my inhaler in my pocket and went shopping with a mask, gloves and I brought my hand sanitizer. 
All the customers stayed away from eachother. It felt like it took me forever to get my shopping done but by the time I got home I realized only 30 minutes had passed since the store opened.
I put all the food away, wiped down all the surfaces. I felt really, really tired. My shortness of breath was coming back and the inhaler wasn't really doing shit for me anymore.   I sometimes have to stand with my back arched, hunched over, head to knees, to get a good breath.  I stood for a while catching my breath then went to the bathroom to discover my entire face was beet red and I was sweating.
I normally get a red face with exertion like cardio but not from shopping or putting away groceries.
I did have a red face last week with minimal activity but I thought it was the prednisone side effects, since I also got the typical moon face side effect too.
I finally started the beginning of my period (the day or two of spotting before the flow).
I slept for a few hours.  Upon awakening my back pain has reduced. My sense of smell and taste are alllllllmost there, every time I eat or drink something I realize how much more I can taste.
Now my nose has started running which hasn't been an issue for me.  My tickle in my throat is more frequent,  probably from the runny nose.  Finally got my advair inhaler - one puff and I can already feel a HUGE difference in my shortness of breath.  My temperature is low 99's this afternoon. 
I reached out to my naturopath (why didn't I think of this before??) and they said:
"However, the medical community is observing that in younger people without pneumonia, the difficulty breathing is triggered by an excessive immune reaction that develops a film in the lungs. This especially would effect people with existing allergies and asthma. So this would be my approach:
1. Low dose anti-viral herbs (Lonicera Complex that we have at the office).
2. High Dose Curcumin (1000mg, 2x/day) that acts as an anti-inflammatory and immune modulator.
3. High dose EPA/DHA fish oil (2000mg, 3x/day) that is a synergistic anti-inflammatory that works with Curcumin. It also helps repair cell linings.
Definitely continue with your steroidal inhaler and maybe try saline sprays to prevent post-nasal drop into the lungs (3-5x/day, blow your nose right after spraying). "
A few thoughts:
1. I'm foolish for thinking of even trying one drag from a cigarette 
2. Why didn't I call my  naturopath before now?
The naturopath's office is closed so I can't go get the recommended supplies until tomorrow.  I'm excited to try this treatment and see if it's effective for me.  I'm feeling hopeful; my naturopath is really good.</t>
        </is>
      </c>
      <c r="D271" t="n">
        <v>1</v>
      </c>
      <c r="E271" t="n">
        <v>21</v>
      </c>
      <c r="F271">
        <f>HYPERLINK("https://www.reddit.com/r/COVID19positive/comments/fwtom4/days_2830/")</f>
        <v/>
      </c>
      <c r="G271" t="inlineStr">
        <is>
          <t>2020-04-07 15:00:30</t>
        </is>
      </c>
      <c r="H271" t="inlineStr">
        <is>
          <t>Tested Positive - Me</t>
        </is>
      </c>
    </row>
    <row r="272">
      <c r="A272" t="inlineStr">
        <is>
          <t>fwvizn</t>
        </is>
      </c>
      <c r="B272" t="inlineStr">
        <is>
          <t>Mild coronavirus with no cough, I tested positive a week after end of symptoms</t>
        </is>
      </c>
      <c r="C272" t="inlineStr">
        <is>
          <t>Healthy 22F, no medical conditions, don't smoke, normal BMI. AB+ blood type. 
Possible point of infection- I'm in close contact with a person who says they feel almost better from being "a bit sniffly". Two days later, symptoms begin.
Day 1: I wake up with post nasal drip and a mild sore throat. The sick person texts me saying they've gotten sicker instead of better, with now a headache and feeling unusually warm.
Day 2: Sore throat disappears, now I just have the post nasal drip. I sneeze on rare occasion.
Day 3: Post nasal drip fades in the morning. I feel better, almost 100%. I tell myself that this definitely isn't coronavirus. As I'm lying in bed I feel the post nasal drip come back, but I figure it's just because I'm lying down. 
Day 4: Nope, the post nasal drip and sore throat have returned, with now the added symptoms of fatigue and a mild headache. Sneezing has slightly worsened. Halfway through my shift at work, which was deemed essential, I start to feel flu-like symptoms. I feel feverish. I alternate between feeling too hot and too cold. My limbs ache and I feel weak. I'm exhausted. I start to feel extremely faint while standing, hop on google and realize I likely have dehydrated myself. I down some water and force some lunch down my throat. My appetite has disappeared. I've read online that ibuprofen can worsen coronavirus but it's all I have, and I'm desperate to get through work and to the weekend. The combination of water, food, and ibuprofen helps immensely. Now I just have the post nasal drip and fatigue. The ibuprofen wears off at night and I start feeling warm and achy, but its mild. The battery in my thermometer is dead, so I have no clue what my temperature is. I have strange, feverish dreams.
Day 5: I wake up to feeling the same as I did at the very start of Day 4. But I'm probably running what I assume is a mild fever. My gut twinges on rare occasion and I'm not hungry. Rather than take more ibuprofen, I'll just ride it out. I sneeze for the last time at about noon. It's 2 am and my fever has spiked, I'm huddled under three heavy blankets and still cold. My arms in particular ache. I can't figure out whether my breathing is shallow or not, and if it is if it's just from anxiety about the possibility of coronavirus. A fingertip pulse oximeter that tells me my oxygen saturation is ranging from 96-99, which is lower than my typical of 99-100 but not concerning. Taking very deep breaths occasionally gives a mild sharp pain in my lower chest, but its so faint I can't even tell if I'm imagining it or not. I'm on this subreddit trying to figure out if I have coronavirus and taking online quizzes about getting tested where I can't answer properly if I have a temperature. It's not recommended for me to seek a test apparently. I fall asleep and wake up to kick off the blankets at 4 am, my fever has broken. I'm desperately thirsty and drag an entire package of water bottles over to my bed to drink through the night.
Day 6: I wake up feeling a lot better. Now, I only have a headache and a general sense of being sick (a little tired, a little weak). The area right under my jaw hurts. I hope it's my lymph nodes/immune system finally figuring themselves out, but I have no idea. I go to make an omelette and am cutting the onion when I realize I don't smell anything. I give it a good whiff, practically snorting the thing, and manage to get some scent off of it. I walk around my house sniffing random objects and guesstimate about 90% of my sense of smell is gone. The omelette tastes like nothing but salt. I have my first and only case of diarrhea.
Days 7-8: The jaw pain disappears, followed quickly by the headache, and then slowly my sense of taste and smell returns.
Days 9-14: No symptoms at all. 
Day 15: My state has relaxed restrictions for coronavirus testing as of yesterday, there's now a drive-thru test site. I live with a family member who works in the ER and now feels sick, but is a notorious hypochondriac. The family member schedules a test for both of us online, even though I figure after a week of no symptoms that even if I did have coronavirus, that I would no longer test positive. The phone call comes, she's negative but I'm positive. I'm absolutely blown back. 
Honestly, I thought this virus would be way worse than this. I had only about two days where I felt really sick. Probably didn't even make it into my top 5 worse cases of illness. I experienced many symptoms, but none were that severe. I never developed a cough, never struggled to breathe. Wouldn't have thought anything of it normally. Feel free to ask me any questions.</t>
        </is>
      </c>
      <c r="D272" t="n">
        <v>1</v>
      </c>
      <c r="E272" t="n">
        <v>176</v>
      </c>
      <c r="F272">
        <f>HYPERLINK("https://www.reddit.com/r/COVID19positive/comments/fwvizn/mild_coronavirus_with_no_cough_i_tested_positive/")</f>
        <v/>
      </c>
      <c r="G272" t="inlineStr">
        <is>
          <t>2020-04-07 16:47:39</t>
        </is>
      </c>
      <c r="H272" t="inlineStr">
        <is>
          <t>Tested Positive - Me</t>
        </is>
      </c>
    </row>
    <row r="273">
      <c r="A273" t="inlineStr">
        <is>
          <t>fwwwql</t>
        </is>
      </c>
      <c r="B273" t="inlineStr">
        <is>
          <t>My wife doesn't want to tell our families she has COVID because she doesn't want them to worry, and we saw my parents recently, from a distance.</t>
        </is>
      </c>
      <c r="C273" t="inlineStr">
        <is>
          <t>As title says, we saw my parents last week. Stayed 6ft+ away, but my dad is in poor health. Terrified we may have given it to them, so don't want to say anything and worry anyone. My wife needs some support. She's not feeling well. Any help would be great. I'm either A-symptomatic or haven't gotten it yet. On another floor. She just needs to talk/interact with some people. Stay occupied. She's on day 4 with fever of 100+. On slope down. Taking test tomorrow, won't find out for 5 days confirmed, but has all the symptoms. Thank you and sorry for all those who have to go through this illness.</t>
        </is>
      </c>
      <c r="D273" t="n">
        <v>1</v>
      </c>
      <c r="E273" t="n">
        <v>13</v>
      </c>
      <c r="F273">
        <f>HYPERLINK("https://www.reddit.com/r/COVID19positive/comments/fwwwql/my_wife_doesnt_want_to_tell_our_families_she_has/")</f>
        <v/>
      </c>
      <c r="G273" t="inlineStr">
        <is>
          <t>2020-04-07 18:15:30</t>
        </is>
      </c>
      <c r="H273" t="inlineStr">
        <is>
          <t>Tested Positive</t>
        </is>
      </c>
    </row>
    <row r="274">
      <c r="A274" t="inlineStr">
        <is>
          <t>fwyoua</t>
        </is>
      </c>
      <c r="B274" t="inlineStr">
        <is>
          <t>Managing COVID Symptoms</t>
        </is>
      </c>
      <c r="C274" t="inlineStr">
        <is>
          <t>While cov2 doesn't have any official treatments yet, I figure it doesn't hurt to talk about managing symptoms to make the experience as comfortable as possible. I know many people have their own experience, so please add to this and share what worked for you. This is not medical advice.
1. Managing O2/CO2 - Whether the mechanism that prohibits efficient respiration occurs in the lungs or directly on red blood cells, having too much CO2 and not enough O2 leads to nasty symptoms. Hypercapnia, or excessive CO2 in the blood, can cause severe dizziness, headaches, delirium, muscle spasms, arrhythmia, hr spikes, and other things you don't want. Therefore, conserve your movements if you're having a blood attack! If you can feel your face and hands going numb when you get a glass of water, you should be resting between movements. Do not push yourself here.
2. Managing hypertension - As the cov2 spike protein attacks your ACE2 receptors, it signals your body to increase blood pressure. This is also an uncomfortable feeling. If your hands and feet feel swollen, or you can see your veins popping out, that's why. Avoid excessive salt consumption throughout this journey. Maybe you can also eat nitric oxide rich foods and potassium rich foods. There are a number of herbs and over the counters which also help lower blood pressure. I'm not a doctor so I won't tell you how to do this, but the hypertension definitely makes things feel worse. I will also say, the mechanism your body uses to increase blood pressure causes you to excrete your potassium faster than otherwise. Take a vitamin, eat some kiwis or plums.
3. Managing doom and gloom - The hardest part about this is feeling like it's endless and you're powerless. Maybe even alone. You can break this cycle! It does wonders talking or video chatting with friends and family. It's hard to think straight when there's so much funk in your head, so I would say healthy distractions are key after getting oxygen and nutrition figured out. Anxiety only heightens the other symptoms, so find something that calms you.
4. Chills/Weak blood/shakes - The best thing that worked for me here was hot baths. I know this isn't always viable, but it seemed to help get me back to normal temperatures for awhile.
5. GI Issues - A probiotic and garlic helped me. Maybe there's other suggestions out there?
6. Find your placebo - I took excessive amounts of garlic and I'm still not sure that it didn't actually help me. Its antiviral, right? But I believed it was helping and that gave me something at least to make me feel better. I know this is kind of hand wavey, but thinking something is helping you definitely helps.
I don't have a good suggestion for any of the following, so feel free to expand with what worked for you: Shortness of breath, lung pain, headaches, dizziness, congestion, nasal swelling, runny nose, body stiffness, random body pains, night sweats, insomnia, fatigue, cough, fever</t>
        </is>
      </c>
      <c r="D274" t="n">
        <v>1</v>
      </c>
      <c r="E274" t="n">
        <v>17</v>
      </c>
      <c r="F274">
        <f>HYPERLINK("https://www.reddit.com/r/COVID19positive/comments/fwyoua/managing_covid_symptoms/")</f>
        <v/>
      </c>
      <c r="G274" t="inlineStr">
        <is>
          <t>2020-04-07 20:13:02</t>
        </is>
      </c>
      <c r="H274" t="inlineStr">
        <is>
          <t>Tested Positive - Me</t>
        </is>
      </c>
    </row>
    <row r="275">
      <c r="A275" t="inlineStr">
        <is>
          <t>fx0ffa</t>
        </is>
      </c>
      <c r="B275" t="inlineStr">
        <is>
          <t>At what point can we feel confident that household members are asymptomatic?</t>
        </is>
      </c>
      <c r="C275" t="inlineStr">
        <is>
          <t>Sorry if this isn't allowed or should be posted in a different sub.
My husband has tested positive for COVID-19. Does anyone know, how much time needs to pass before we can be sure that I or others in our household are not going to get sick from this as well? My husband is sure sick but so far the kids and I are fine. Thank you</t>
        </is>
      </c>
      <c r="D275" t="n">
        <v>1</v>
      </c>
      <c r="E275" t="n">
        <v>9</v>
      </c>
      <c r="F275">
        <f>HYPERLINK("https://www.reddit.com/r/COVID19positive/comments/fx0ffa/at_what_point_can_we_feel_confident_that/")</f>
        <v/>
      </c>
      <c r="G275" t="inlineStr">
        <is>
          <t>2020-04-07 22:22:45</t>
        </is>
      </c>
      <c r="H275" t="inlineStr">
        <is>
          <t>Tested Positive - Family</t>
        </is>
      </c>
    </row>
    <row r="276">
      <c r="A276" t="inlineStr">
        <is>
          <t>fx1xom</t>
        </is>
      </c>
      <c r="B276" t="inlineStr">
        <is>
          <t>Day 26 Update Covid19/pneumonia</t>
        </is>
      </c>
      <c r="C276" t="inlineStr">
        <is>
          <t>Hello all, 
Yes I am still alive!  That has been the biggest question Ive been recieving in my inbox.  I was trying not to look on reddit much because reading this subreddit gives me extreme anxiety.   So around day 12 I still was not getting better and was still having shortness of breath.  I did one of those virtual Dr visits and the Dr told me I sound fine and prescribed me an inhaler.  Talked to a few people and they told me to get a chest Xray.  Well I had pneumonia in my left lung.  Prescribed me a zpak/Cefdinir.  I then had a fever day 16 and I was extremely frustrated.  I finally  started feeling some energy around Day 19.  On day 26 I am feeling better but still feeling tightness in my chest.  I have yet to find a pulmonologist willing to take me because I tested positive for covid.  I do not have my sense of smell back yet.  I still have a lot of anxiety because I am very active and I do not want this to affect me long term.  I know this is not as organized as my last post but I wanted to give everyone an update.  I know at least 50 people who tested positive.  A lot of older 40+ had fevers for up to 10+ days.  And I know at least 5 people under 35 who have the same prognosis as me pneumonia in the lower left lung.  For all the myths i am O+ and this virus crushed me.  I have ZERO underlying illnesses 27 years old..  I've been sick before but jesus christ this virus owns me.  I will be the first person in line to recieve the vaccine.  If you have any questions or just need to talk to help with anxiety over the fears of covid I will do my best to answer them all since I have a lot of time on my hands.  For all of you going through it right now just focus on how you feel NOW and try not to worry about whats to come tomorrow.  Take care of yourself and continue to follow the social distancing.  Godspeed</t>
        </is>
      </c>
      <c r="D276" t="n">
        <v>1</v>
      </c>
      <c r="E276" t="n">
        <v>17</v>
      </c>
      <c r="F276">
        <f>HYPERLINK("https://www.reddit.com/r/COVID19positive/comments/fx1xom/day_26_update_covid19pneumonia/")</f>
        <v/>
      </c>
      <c r="G276" t="inlineStr">
        <is>
          <t>2020-04-08 00:22:57</t>
        </is>
      </c>
      <c r="H276" t="inlineStr">
        <is>
          <t>Tested Positive - Me</t>
        </is>
      </c>
    </row>
    <row r="277">
      <c r="A277" t="inlineStr">
        <is>
          <t>fx6105</t>
        </is>
      </c>
      <c r="B277" t="inlineStr">
        <is>
          <t>Tested positive yesterday, a week after I tested. AMA</t>
        </is>
      </c>
      <c r="C277" t="inlineStr">
        <is>
          <t>Testes positive yesterday. Feeling almost 100% (knocks on wood)  luckily I had non life threating symptoms. Took 21 days to be where I am. Please fel free to AMA.</t>
        </is>
      </c>
      <c r="D277" t="n">
        <v>1</v>
      </c>
      <c r="E277" t="n">
        <v>27</v>
      </c>
      <c r="F277">
        <f>HYPERLINK("https://www.reddit.com/r/COVID19positive/comments/fx6105/tested_positive_yesterday_a_week_after_i_tested/")</f>
        <v/>
      </c>
      <c r="G277" t="inlineStr">
        <is>
          <t>2020-04-08 05:59:08</t>
        </is>
      </c>
      <c r="H277" t="inlineStr">
        <is>
          <t>Tested Positive - Me</t>
        </is>
      </c>
    </row>
    <row r="278">
      <c r="A278" t="inlineStr">
        <is>
          <t>fx7h35</t>
        </is>
      </c>
      <c r="B278" t="inlineStr">
        <is>
          <t>Grandparents (92/93) seem to have made it through to the other side</t>
        </is>
      </c>
      <c r="C278" t="inlineStr">
        <is>
          <t>This seems to be the story of a mild case so I thought I’d share it since we don’t hear these stories as often. This isn’t my own personal experience with the virus, but based on the existence of the “tested positive - family” tag I think I’m allowed to post this.  If not allowed, I will delete. 
My grandparents live in an assisted living facility where a worker tested positive. That worker no longer came to work but I suspect the residents had already been exposed. I’m not totally sure when my grandma began showing symptoms but she learned she was positive on Thursday 3/19. She only ever had a low fever (never above 100) and a mild cough for a few days. My grandpa tasted negative and has not been retested, but I strongly suspect he’s positive because they live in a 600 square foot apartment together. Interestingly, he never showed any symptoms. He has COPD so we were nervous about what could happen if he did get sick. 
The facility quarantined everyone to their apartments but once 14 days had passed with no symptoms they were once again allowed to go into common areas of the facility.  Based on what my grandpa said, it seems that a large number of residents tested positive. 
Some other facts that may be relevant:
- grandma rarely if ever gets colds (which, to my understanding, can be caused by other corona viruses) so we’re wondering if she has some sort of natural resistance to corona viruses. I know some people can have resistance to noroviruses so perhaps it can happen with coronaviruses too. If so, we wonder if that could explain her mild symptoms. 
- she also has a vocal cord disorder that means she basically speaks barely above a whisper. Compared to normal speaking, she barely uses her lungs to “push” at all, so is it possible she just didn’t expel much virus and my grandpa just really wasn’t exposed? Maybe. But without another test for him (antibody test later?) I guess we won’t be sure. 
Anyway, if anyone has questions I can try to get more info, but that’s what I know right now and I thought it was worth sharing.</t>
        </is>
      </c>
      <c r="D278" t="n">
        <v>1</v>
      </c>
      <c r="E278" t="n">
        <v>13</v>
      </c>
      <c r="F278">
        <f>HYPERLINK("https://www.reddit.com/r/COVID19positive/comments/fx7h35/grandparents_9293_seem_to_have_made_it_through_to/")</f>
        <v/>
      </c>
      <c r="G278" t="inlineStr">
        <is>
          <t>2020-04-08 07:31:29</t>
        </is>
      </c>
      <c r="H278" t="inlineStr">
        <is>
          <t>Tested Positive - Family</t>
        </is>
      </c>
    </row>
    <row r="279">
      <c r="A279" t="inlineStr">
        <is>
          <t>fx7wwn</t>
        </is>
      </c>
      <c r="B279" t="inlineStr">
        <is>
          <t>I can take deep breath but I don’t feel I get enough oxygen, ER said my O2 level is good though 98%</t>
        </is>
      </c>
      <c r="C279" t="inlineStr">
        <is>
          <t>Day 23 now.. 
haven’t had fever for a week, most symptoms disappeared ( had second waves around day 14 after feeling better for 2 days)
Now most concerning symptom I have is my breathing. I could go around house to my chores slowly.. although I need to always take deep breath from time to time, on a bad day i don’t feel i get enough oxygen through deep breathing. Went to the hospital, they checked oxygen level 98%sent me home, told me as I continue to recover this will disappear too. ( note: they wouldn’t do chest x ray, but listened to my lungs which seems ok)
Any of you have the same experience? O2 level ok but feel lack of oxygen (or SOB)? Any tips that could help this?</t>
        </is>
      </c>
      <c r="D279" t="n">
        <v>1</v>
      </c>
      <c r="E279" t="n">
        <v>26</v>
      </c>
      <c r="F279">
        <f>HYPERLINK("https://www.reddit.com/r/COVID19positive/comments/fx7wwn/i_can_take_deep_breath_but_i_dont_feel_i_get/")</f>
        <v/>
      </c>
      <c r="G279" t="inlineStr">
        <is>
          <t>2020-04-08 07:57:43</t>
        </is>
      </c>
      <c r="H279" t="inlineStr">
        <is>
          <t>Tested Positive</t>
        </is>
      </c>
    </row>
    <row r="280">
      <c r="A280" t="inlineStr">
        <is>
          <t>fx7zky</t>
        </is>
      </c>
      <c r="B280" t="inlineStr">
        <is>
          <t>Late Onset Vertigo/Dizziness?</t>
        </is>
      </c>
      <c r="C280" t="inlineStr">
        <is>
          <t>Glad to find this community.
21 days now after first symptoms. First started off with a headache, body aches and four day hangover-like feeling. Then came the loss of smell and taste, which I lost for about two weeks, still slowly coming back. Never really had a fever, just a slight cough and some phlegm build up in the throat/chest. Tested positive for COVID about a week after my first symptoms appeared.
Today, all I have is that  slight lingering cough that is just about gone (thank goodness). But the other symptom that I have recently developed in the past day or two is this vertigo/dizziness feeling.  Is it possible to start feeling additional symptoms this late in the game? And has anyone else felt this symptom? It's incredible how long this virus has been affecting me, and it's a frustrating step back when I thought I was nearly in the clear.
Thank you.</t>
        </is>
      </c>
      <c r="D280" t="n">
        <v>1</v>
      </c>
      <c r="E280" t="n">
        <v>24</v>
      </c>
      <c r="F280">
        <f>HYPERLINK("https://www.reddit.com/r/COVID19positive/comments/fx7zky/late_onset_vertigodizziness/")</f>
        <v/>
      </c>
      <c r="G280" t="inlineStr">
        <is>
          <t>2020-04-08 08:01:47</t>
        </is>
      </c>
      <c r="H280" t="inlineStr">
        <is>
          <t>Tested Positive</t>
        </is>
      </c>
    </row>
    <row r="281">
      <c r="A281" t="inlineStr">
        <is>
          <t>fx84bj</t>
        </is>
      </c>
      <c r="B281" t="inlineStr">
        <is>
          <t>My COVID-19 Experience was a Sinus Infection...so far.</t>
        </is>
      </c>
      <c r="C281" t="inlineStr">
        <is>
          <t>(22M. New York, USA)
Hey all, so I just wanted to share my experience with this very weird virus so far: 
Day 1: Started to get post nasal drip and a cough, though, a productive cough. 
Day 2: Same as Day 1, but began to feel a little lethargic at work. 
Day 3: Same as Day 2, but add a sore throat. 
Day 4: Sore throat worsened and became dry. There were moments I had to gasp for air because I could not stop coughing, though the cough was in my throat, not my chest. In addition, I began having GI problems (nasuea / diarrhea), which I attributed to antibiotics I was on for a skin infection. At this point, I figured I was getting my usual seasonal spring allergies mixed with a bad rxn from the antibiotics. NOTHING felt out of the ordinary for me at this point!!
Day 5: My workplace (Direct Care Staff) sent me to get tested because I had been coughing. When I woke up on Day 5, my symptoms were IDENTICAL to a sinus infection (congestion / pain around eyes and forehead, loss of smell / taste / continued mucus and productive coughing).
Day 6 + 7: Same as Day 5.
Day 8: Sinus congestion completely gone, just no taste / smell. 
Day 9 + 10: Same as Day 8.
Day 11: Received my results back from the test. I was Positive for COVID-19. I was told to remain in quarentine for another week. Still no smell / taste. 
Currently on Day 12 and I will update as I progress through the remainder of the 7 days. 
TL;DR: I thought I had a sinus infection / allergies, turned out to be COVID-19.</t>
        </is>
      </c>
      <c r="D281" t="n">
        <v>1</v>
      </c>
      <c r="E281" t="n">
        <v>18</v>
      </c>
      <c r="F281">
        <f>HYPERLINK("https://www.reddit.com/r/COVID19positive/comments/fx84bj/my_covid19_experience_was_a_sinus_infectionso_far/")</f>
        <v/>
      </c>
      <c r="G281" t="inlineStr">
        <is>
          <t>2020-04-08 08:09:18</t>
        </is>
      </c>
      <c r="H281" t="inlineStr">
        <is>
          <t>Tested Positive - Me</t>
        </is>
      </c>
    </row>
    <row r="282">
      <c r="A282" t="inlineStr">
        <is>
          <t>fxbyj5</t>
        </is>
      </c>
      <c r="B282" t="inlineStr">
        <is>
          <t>[22F] Spent five days in the hospital, got out last week, and still don't feel normal</t>
        </is>
      </c>
      <c r="C282" t="inlineStr">
        <is>
          <t>I'm in my early 20s and a former college athlete in good shape. I still ended up hospitalized after 10 days of not improving. On Day 11 I had awful shortness of breath and went to the hospital. I was there for five days receiving constant oxygen as well as antibiotic IVs (they said that's to fight off secondary bacterial infections) before finally improving.
I'm home now and I still don't feel 100%. I tested negative before they released me. I just hope I didn't end up with long term damage.</t>
        </is>
      </c>
      <c r="D282" t="n">
        <v>1</v>
      </c>
      <c r="E282" t="n">
        <v>12</v>
      </c>
      <c r="F282">
        <f>HYPERLINK("https://www.reddit.com/r/COVID19positive/comments/fxbyj5/22f_spent_five_days_in_the_hospital_got_out_last/")</f>
        <v/>
      </c>
      <c r="G282" t="inlineStr">
        <is>
          <t>2020-04-08 11:33:06</t>
        </is>
      </c>
      <c r="H282" t="inlineStr">
        <is>
          <t>Tested Positive - Me</t>
        </is>
      </c>
    </row>
    <row r="283">
      <c r="A283" t="inlineStr">
        <is>
          <t>fxgd7x</t>
        </is>
      </c>
      <c r="B283" t="inlineStr">
        <is>
          <t>My dad (56M) is recovering after being on a vent for 11 days!</t>
        </is>
      </c>
      <c r="C283" t="inlineStr">
        <is>
          <t>My father has been in the hospital for 2 weeks battling Covid-19. Here is the timeline of events:
Severe symptoms started on Friday, March 20. Headache, fatigue, body aches, fever (never above 100.9), heaviness in chest. 
Saturday, March 21 - he decided to quarantine in his home as his symptoms worsened. 
Tuesday, March 24 - saw his PCP, got tested. They didn’t seem worried about the severity of his symptoms. He was incredibly weak and complained of his entire body being in pain. Riding in the car was painful for him. 
Wednesday, March 25 - he alerted me at 8 pm that his PCP told him that if he can’t hold his breath for 10 seconds without coughing, he needed to go to the hospital. He said he feels he’s there and was having an incredible amount of trouble breathing. 
March 25-28 - he was admitted to the hospital on a covid only floor. He felt his nurses were overwhelmed and wasn’t being monitored as closely as he could. We were able to speak with him on the phone for about 3 minutes at a time before he was too tired to continue. His breathing was pinched and wheezy. His voice sounded very weak. 
Saturday, March 28 - in the morning, the doctor said he’s nowhere near needed a vent but they would be evaluating if he needed a higher level of care that the ICU could provide. He was moved to the ICU and after resting there for an hour, he was put on a ventilator. 
The next few days were tough. They put him in the prone position on his stomach for maximum oxygen intake a total of 8 times over the next 11 days. His blood gases did not improve until day 9 on the vent. We were afraid we were losing him a few times when his condition got very critical. 
Today, April 8 is my birthday. All I wanted to do was talk to my dad for my birthday. This morning, he was extubated and they took the breathing tube out. He is awake and aware of his surroundings. My family and I get to FaceTime him tonight. 
If you are scared about your loved ones, I hope this provides some level of positivity that they will push through. This virus is nasty and terrifying and I never thought we would be going through this. This is just our experience, but at the times that I was hanging on to a tiny shred of hope that he would pull through, it’s stories like my dads that got me through to the next day. 
TLDR; my dad was on a vent for 11 days and has been hospitalized for 14 days total. Today he was extubated and is doing very well. Stay hopeful everyone.
*editing for typo</t>
        </is>
      </c>
      <c r="D283" t="n">
        <v>200</v>
      </c>
      <c r="E283" t="n">
        <v>164</v>
      </c>
      <c r="F283">
        <f>HYPERLINK("https://www.reddit.com/r/COVID19positive/comments/fxgd7x/my_dad_56m_is_recovering_after_being_on_a_vent/")</f>
        <v/>
      </c>
      <c r="G283" t="inlineStr">
        <is>
          <t>2020-04-08 15:28:56</t>
        </is>
      </c>
      <c r="H283" t="inlineStr">
        <is>
          <t>Tested Positive - Family</t>
        </is>
      </c>
    </row>
    <row r="284">
      <c r="A284" t="inlineStr">
        <is>
          <t>fxguf6</t>
        </is>
      </c>
      <c r="B284" t="inlineStr">
        <is>
          <t>Well, I had it. Tested positive. Rather mild run of it, no taste or smell (still very faint), tired all the time, bad cough, winded. Never had fever or chills. Now all I have is the taste and smell issue and the health dpt. let me out of quarantine.</t>
        </is>
      </c>
      <c r="C284" t="inlineStr">
        <is>
          <t>For a "mild" run it was still extreme, I wouldn't wish it on my worst enemy, and I can't imagine what people who got it worse went through.
I went outside for the first time in two weeks and it was shocking. Everything has changed in two weeks. I thought it was crazy before I locked myself in. But now gas has dropped to nothing, stores are only letting so many people in at a time, EVERYONE is wearing a mask (when I went inside nobody was), stores have directions on the floor (that people aren't following) to make the stores one way walk through.
I spoke with someone who asked me why I wasn't wearing a mask. I explained I had the virus but it was mild for me and I've been cleared to leave my home, that I don't have it anymore. They got out of line and ran away. Oh well. Guess I'll wear a mask and not mention that anymore.</t>
        </is>
      </c>
      <c r="D284" t="n">
        <v>6</v>
      </c>
      <c r="E284" t="n">
        <v>41</v>
      </c>
      <c r="F284">
        <f>HYPERLINK("https://www.reddit.com/r/COVID19positive/comments/fxguf6/well_i_had_it_tested_positive_rather_mild_run_of/")</f>
        <v/>
      </c>
      <c r="G284" t="inlineStr">
        <is>
          <t>2020-04-08 15:57:54</t>
        </is>
      </c>
      <c r="H284" t="inlineStr">
        <is>
          <t>Tested Positive - Me</t>
        </is>
      </c>
    </row>
    <row r="285">
      <c r="A285" t="inlineStr">
        <is>
          <t>fxjqy3</t>
        </is>
      </c>
      <c r="B285" t="inlineStr">
        <is>
          <t>Confirmed positive, currently on day 28 of symptoms, wondering when/if to go to the hospital?</t>
        </is>
      </c>
      <c r="C285" t="inlineStr">
        <is>
          <t>I was confirmed positive a couple weeks ago and am in day 28 of symptoms. I feel mostly better in terms of fever (usually no fever with an occasional slight fever of around 99.5-100). However, my breathing is still causing trouble. I was told by one doctor that I had bronchitis and I was prescribed albuterol. Then I started getting so lightheaded every single time I stood up that I was sure I was going to faint — all blood rushed to head, vision went out, ears started to ring, and once my nose started to bleed. I went to urgent care and my o2 was normal and so was my blood pressure, but my heart rate was really high and my lungs sounded “very loud and wheezy”. The doctor who told me I had bronchitis was one I had a video call with so she couldn’t listen to my lungs, but ordered an X-ray. X ray indicated no pneumonia. The urgent care doctor said it sounds like maybe I have bronchopneumonia that didn’t show up on the X-ray. He gave me antibiotics. This was 3 days ago and I still have trouble breathing and get incredibly winded and my heart beats super fast after just doing a small thing like walking to the kitchen. I’m also still getting lightheaded. My breathing is very shallow unless I open my mouth to take gasping breaths. He said he has no idea why I could be getting that lightheaded with my BP and o2 reading normally. I’ve been seeing comments where covid patients have normal o2 readings but then the blood test actually shows they aren’t getting enough oxygen. This is worrisome to me and I don’t know if this is normal or not. Has anyone experienced anything like this?</t>
        </is>
      </c>
      <c r="D285" t="n">
        <v>2</v>
      </c>
      <c r="E285" t="n">
        <v>33</v>
      </c>
      <c r="F285">
        <f>HYPERLINK("https://www.reddit.com/r/COVID19positive/comments/fxjqy3/confirmed_positive_currently_on_day_28_of/")</f>
        <v/>
      </c>
      <c r="G285" t="inlineStr">
        <is>
          <t>2020-04-08 19:03:04</t>
        </is>
      </c>
      <c r="H285" t="inlineStr">
        <is>
          <t>Tested Positive - Me</t>
        </is>
      </c>
    </row>
    <row r="286">
      <c r="A286" t="inlineStr">
        <is>
          <t>fxkagb</t>
        </is>
      </c>
      <c r="B286" t="inlineStr">
        <is>
          <t>MIL (a nurse) tested positive</t>
        </is>
      </c>
      <c r="C286" t="inlineStr">
        <is>
          <t>My mother-in-law is 60, diabetic but not overweight and not insulin dependent. Otherwise in good health. 
She’s a critical care nurse manager at a small hospital in a town a few hours from where her son and I live. 
She called us today and said she didn’t want to alert us until the worst was behind her and/or she knew more, so this was the first we heard of it. 
She reported she began feeling the symptoms (lack of taste was a specific one she mentioned) about 2 weeks ago, so she notified the hospital and immediately began self-quarantine. 
She said she was surprised she’d get sick because of all the gloves, masks, sanitizer and other precautions the staff always takes. She went back to the hospital once, to do a drive-thru swab testing; then she returned home where she lives with her husband. 
The hospital confirmed she was positive for Covid-19. 
During her quarantine, she experienced relatively mild (considering)flu-like symptoms but did not require hospitalization. Her husband, who works at the same hospital, began self-quarantining at their home the same day she did. He was recently tested and the test came back negative. 
Needless to say, we’re all extremely grateful that she came out on the other side of this, and that my FIL is still healthy. 
I continue to be baffled at the range of severity people report experiencing. There seems to be no accounting for it. As a 60 year old diabetic, you’d think she’d be much more at risk...and she may be, but it didn’t knock her down. 
I think that, after she’s medically cleared, she’d like to return to work and maybe even donate some plasma if possible.</t>
        </is>
      </c>
      <c r="D286" t="n">
        <v>1</v>
      </c>
      <c r="E286" t="n">
        <v>10</v>
      </c>
      <c r="F286">
        <f>HYPERLINK("https://www.reddit.com/r/COVID19positive/comments/fxkagb/mil_a_nurse_tested_positive/")</f>
        <v/>
      </c>
      <c r="G286" t="inlineStr">
        <is>
          <t>2020-04-08 19:40:15</t>
        </is>
      </c>
      <c r="H286" t="inlineStr">
        <is>
          <t>Tested Positive - Family</t>
        </is>
      </c>
    </row>
    <row r="287">
      <c r="A287" t="inlineStr">
        <is>
          <t>fxmeo2</t>
        </is>
      </c>
      <c r="B287" t="inlineStr">
        <is>
          <t>Sister tested positive</t>
        </is>
      </c>
      <c r="C287" t="inlineStr">
        <is>
          <t>Hi there. My sister just tested positive for covid19, she's 27. The test was performed seven days ago, but because of some problems of high volume at the lab we only got the results today. She has no clue when she got exposed. So far she hasn't shown almost any serious symptom (no fever or cough), just some debilitating pain on her knees. Given that seven days have passed since the test, can we be optimist about she just having mild covid? She hasn't changed any habit yet, are there any special care you recommend taking for her during the coming days? Thanks for your advice.</t>
        </is>
      </c>
      <c r="D287" t="n">
        <v>1</v>
      </c>
      <c r="E287" t="n">
        <v>8</v>
      </c>
      <c r="F287">
        <f>HYPERLINK("https://www.reddit.com/r/COVID19positive/comments/fxmeo2/sister_tested_positive/")</f>
        <v/>
      </c>
      <c r="G287" t="inlineStr">
        <is>
          <t>2020-04-08 22:14:40</t>
        </is>
      </c>
      <c r="H287" t="inlineStr">
        <is>
          <t>Tested Positive - Family</t>
        </is>
      </c>
    </row>
    <row r="288">
      <c r="A288" t="inlineStr">
        <is>
          <t>fxuf44</t>
        </is>
      </c>
      <c r="B288" t="inlineStr">
        <is>
          <t>update, day 21.</t>
        </is>
      </c>
      <c r="C288" t="inlineStr">
        <is>
          <t>Still fighting, thinking I am very slowly starting to improve but with this virus it almost feels like fools gold, esp since I have gotten better and worse 9 times.  Don't get me wrong, glad to be improving, just still very worried, and still having breathing trouble.  And things have changed but some things might have gotten worse.
I'm hoping in another 2 weeks I'll be "actually" clearing/cleared this thing.  That is what it feels like anyway.
Cheers, and thanks everybody for supporting me and I hope you guys are doing the best.</t>
        </is>
      </c>
      <c r="D288" t="n">
        <v>3</v>
      </c>
      <c r="E288" t="n">
        <v>22</v>
      </c>
      <c r="F288">
        <f>HYPERLINK("https://www.reddit.com/r/COVID19positive/comments/fxuf44/update_day_21/")</f>
        <v/>
      </c>
      <c r="G288" t="inlineStr">
        <is>
          <t>2020-04-09 08:28:35</t>
        </is>
      </c>
      <c r="H288" t="inlineStr">
        <is>
          <t>Tested Positive - Me</t>
        </is>
      </c>
    </row>
    <row r="289">
      <c r="A289" t="inlineStr">
        <is>
          <t>fxva9f</t>
        </is>
      </c>
      <c r="B289" t="inlineStr">
        <is>
          <t>BIL, an ICU doctor, tested positive. Sister develops symptoms soon after. Mild case for both.</t>
        </is>
      </c>
      <c r="C289" t="inlineStr">
        <is>
          <t>My sister’s boyfriend tested positive for Covid-19. He works as an ICU doctor in a Covid-19 ward in London. While my sister didn’t receive testing, I think we can safely assume what she contracted was Covid-19 considering the circumstances. 
Sister is 24, boyfriend is 24. They live together. 
**2nd April** -
Sister’s boyfriend develops a headache, a slight cough and achy muscles. Symptoms gradually decrease over the coming days. 
**5th April** -
Sister’s boyfriends symptoms have mostly gone, just bad fatigue and loss of taste; sister develops headache, fever and tiredness. 
**6th April** -
Sister’s boyfriends symptoms are now only loss of taste. Sister has a fever, sore throat and slight cough. She slept 10 hours throughout the day. 
**7th April** -
Sister’s boyfriends only symptom is still loss of taste. Sister has a sore throat and slight cough, but no fever and more energy. 
**8th April** -
Sister’s boyfriend only symptom is loss of taste - which has improved. Sister has a slight cough, no sore throat and no fever. Most of her energy is back and she is able to exercise at home. 
**9th April** -
Sister’s boyfriend has no symptoms and is due to return to work next week. Sister has a slight cough still but that is her only remaining symptom. 
For both my sister and her boyfriend, symptoms were mild - uncomfortable and inconvenient, but bearable and relatively short-lived. I post this with the hope of reassuring some of you. I, myself, am high risk so appreciate the positive news that is (rarely) spread on this subreddit. 
Stay safe friends!</t>
        </is>
      </c>
      <c r="D289" t="n">
        <v>4</v>
      </c>
      <c r="E289" t="n">
        <v>15</v>
      </c>
      <c r="F289">
        <f>HYPERLINK("https://www.reddit.com/r/COVID19positive/comments/fxva9f/bil_an_icu_doctor_tested_positive_sister_develops/")</f>
        <v/>
      </c>
      <c r="G289" t="inlineStr">
        <is>
          <t>2020-04-09 09:16:07</t>
        </is>
      </c>
      <c r="H289" t="inlineStr">
        <is>
          <t>Tested Positive - Family</t>
        </is>
      </c>
    </row>
    <row r="290">
      <c r="A290" t="inlineStr">
        <is>
          <t>fxvb46</t>
        </is>
      </c>
      <c r="B290" t="inlineStr">
        <is>
          <t>HANG IN THERE - Doctor diagnosed positive, super active, Day 33</t>
        </is>
      </c>
      <c r="C290" t="inlineStr">
        <is>
          <t>Hey everyone! me and my wife both got corona symptoms on March 5 and 6 respectively. Quarantined immediately. My wife is a professional dancer, and I'm a daily exerciser. In reading what felt like all of the internet, until this board I realized that there didn't seem to be a lot being said about what it felt like to be sick, and that complicated our feelings about our own recovery. Should we still be feeling sick? Do we go to the ER? Are there even tests available? Is this even a symptom?
Breaking out our symptoms for those who want a roadmap of what it has looked like for us. For the duration we've abstained from any and all alcohol. At the time of our symptoms outset, no tests were being given for people who had non-contact.
DAY 1 and 2-- slight fever. chills. body ache. (oh shit, quarantine)
DAY 3-7 - fever gone, but fatigue, sore back of throat. type of days where getting off the couch to get your own water felt like running a marathon.
DAY 8 - Add Gastrointestinal problems and abdominal pain to my symptoms. Talk to my physician cousin via facetime. He says, this sounds like COVID. stay put, monitor.
DAY 12 - here's where it got scary. chest pain and lightness of breath. began the solid week of "Do we get a test? Oh none available, emergency room?!". shortage of tests still happening (HOW?!)
Our decision hinged on being able to consult with cousin physician. We took the trio of heart rate (below 100 bpm resting), breath rate (below 30 breaths per minute resting) and temperature (no fever). Oximeter would've been helpful but they're sold out here. But basically, our operating theory was, if we're not sure if they'll admit us into the hospital, then it is best to stay home and spare us and them the additional exposure and overload.
DAY 17 - my gastroproblems are gone. thank god.
DAY 19 - signs recovery for my wife... she starts light computer work, trying to train. i myself am feeling better. i'm able to sit AT my computer instead of the couch or bed.
DAY 20 - just kidding, relapse for me. back to the couch. the fatigue feels overwhelming. i try to explain it to my cousin physician-- it feels like there's a soft, dull, sickness, behind my eyes and just in my blood and every breath.
DAY 22 - my wife is starting her cycle. for one day, she takes her ibuprofen, before i catch her and switch her to tylenol. It's enough to where our resumed in mask dog walks (live in a private area) around the block felt like it might floor us.
DAY 25 - i'm slowly getting better, but my wife appears to have completely new symptoms. this starts a week where every time she stands, she gets light-headed to the verge of passing out.
DAY 28 - wife on verge of tears because of the duration of the illness, chest pain and acute back pain. said her symptoms felt different than her first fights.  finally see a doctor at urgent care, because ERs slammed.  Her oximeter says she has full 99% oxygen. vitals are strong. But a weird thing, when she stands up or down, her heart rate shoots from her normal resting of 60 bpm, to over 125 bpm. Anything more than a 30 bpm jump is considered abnormal.
The poor urgent care doctor tries to diagnose her in addition to COVID  with virally induced POTS or Postural Orthostatic Tachycardia Syndrome. They're not administering tests except in the emergency room. I know about that syndrome and for a dancer who spends her life getting up and down from the floor, that seems highly unlikely. My wife points out that it seems, that doctors really don't have experience dealing with this. We decide that we're safe enough to not go to the ER, and that this is likely due to COVID.
DAY 30 - turning point. wife feels like the illness has moved down her body. Pain moved to her ribs. Im able to do light housework and stretching.
DAY 31- tried a light 45 stretch class on instagram live. Absolutely floored me. Had to go to sleep after. Still having fatigue and a weird feeling in my chest.
DAY 33 - both of us can have full but inactive days aka computer work actually able to do chores. was able to walk a mile and a half. still feel it, the inability to have endurance or any well of strength.
Anyway, thanks for reading. Hang in there. We're going to keep taking care of ourselves. We hope you do the same.</t>
        </is>
      </c>
      <c r="D290" t="n">
        <v>1</v>
      </c>
      <c r="E290" t="n">
        <v>45</v>
      </c>
      <c r="F290">
        <f>HYPERLINK("https://www.reddit.com/r/COVID19positive/comments/fxvb46/hang_in_there_doctor_diagnosed_positive_super/")</f>
        <v/>
      </c>
      <c r="G290" t="inlineStr">
        <is>
          <t>2020-04-09 09:17:23</t>
        </is>
      </c>
      <c r="H290" t="inlineStr">
        <is>
          <t>Tested Positive</t>
        </is>
      </c>
    </row>
    <row r="291">
      <c r="A291" t="inlineStr">
        <is>
          <t>fxvgyv</t>
        </is>
      </c>
      <c r="B291" t="inlineStr">
        <is>
          <t>My immunosuppressed mom (47) has recovered and now has a cold!</t>
        </is>
      </c>
      <c r="C291" t="inlineStr">
        <is>
          <t>My mom who came back on a flight as the cases in WA began to increase seems to have finally recovered and now has a cold. My mom takes immunosuppresants due to her underlying disease which causes her immune system to attack her body aggressively and could kill her. 
She returned about 3/4 weeks ago with chest pressure, shortness of breath, a cough, a fever, and extreme lethargy. I was supposed to go visit her after her return (I'm an EMT in Idaho) but canceled after I decided it wasn't safe to do so.
After her fever had subsided she began to cough blood and was hospitalized for a short while. And then released. Her chest scan revealed no pneumonia or edema but they did find a small nodule in her upper left lobe and calcification in the lower lobe.
Her recover lasted about 2 weeks and included a cough, chest pressure, and extreme lethargy. She compared the lethargy to when she had mono and the chest pressure to having someone sit on her chest. Her SPO2 (Oxygen saturation) remained above 95%.
A few days ago she contacted me saying she had a sore and swollen throat, plugged nose, and remained chest pressure. She has said she's getting better in all aspects.</t>
        </is>
      </c>
      <c r="D291" t="n">
        <v>4</v>
      </c>
      <c r="E291" t="n">
        <v>6</v>
      </c>
      <c r="F291">
        <f>HYPERLINK("https://www.reddit.com/r/COVID19positive/comments/fxvgyv/my_immunosuppressed_mom_47_has_recovered_and_now/")</f>
        <v/>
      </c>
      <c r="G291" t="inlineStr">
        <is>
          <t>2020-04-09 09:26:01</t>
        </is>
      </c>
      <c r="H291" t="inlineStr">
        <is>
          <t>Tested Positive - Family</t>
        </is>
      </c>
    </row>
    <row r="292">
      <c r="A292" t="inlineStr">
        <is>
          <t>fxvilg</t>
        </is>
      </c>
      <c r="B292" t="inlineStr">
        <is>
          <t>Global survey of doctors treating COVID-19</t>
        </is>
      </c>
      <c r="C292" t="inlineStr">
        <is>
          <t>A [global survey](https://public-cdn.sermo.com/covid19/c8/be4e/4edbd4/dbd4ba4ac5a3b3d9a479f99cc5/wave-i-sermo-covid-19-global-analysis-final.pdf) of doctors treating Covid-19, by SERMO.  Below are the topics covered
* Section 1: Peak Timing &amp;amp; Restrictions 
* Section 2: Government Effectiveness 
* Section 3: Top Three Physician Needs 
* Section 4: Average Time for Getting a COVID-19 Test Result 
* Section 5: Treatments &amp;amp; Efficacy 
* Section 6: Prioritizing Patient Treatment in Case of Ventilator Shortage 
* Section 7: Second Wave of Outbreak 
* Section 8: Physician Requests to Life Science Firms to Lessen the Impact of COVID-19 
* Section 9: COVID-19 Concerns</t>
        </is>
      </c>
      <c r="D292" t="n">
        <v>1</v>
      </c>
      <c r="E292" t="n">
        <v>1</v>
      </c>
      <c r="F292">
        <f>HYPERLINK("https://www.reddit.com/r/COVID19positive/comments/fxvilg/global_survey_of_doctors_treating_covid19/")</f>
        <v/>
      </c>
      <c r="G292" t="inlineStr">
        <is>
          <t>2020-04-09 09:28:28</t>
        </is>
      </c>
      <c r="H292" t="inlineStr">
        <is>
          <t>Tested Positive</t>
        </is>
      </c>
    </row>
    <row r="293">
      <c r="A293" t="inlineStr">
        <is>
          <t>fxwihm</t>
        </is>
      </c>
      <c r="B293" t="inlineStr">
        <is>
          <t>(10 days so far) strong russian girl. very mild GI-born covid19. breastfeeding a baby.</t>
        </is>
      </c>
      <c r="C293" t="inlineStr">
        <is>
          <t>So I am a monster. I dont get sick, I have no allergies, I was raised on a farm in russia but live in the US. I walk/run 5~10 miles a day for funsies, to catch a train, to get food, blah blah. Am 115 pounds now, can leg press 400. Had a baby last year, barely even looked pregnant.
tl;dr:
day 1-3: 🛌    👃🍰
day 4-5:💩⛲
day 6: 💩🗻
day 7:💩⛲   🤒   🦴    🤮
day 8: 🦴
day 9: 🌬
day 10:🌬  🤭
tested positive. have a nurx at-home test provided by my employer to everyone in our company (wow! good people exist??)
**beginning days:** lately ive been sleeping a lot. noticed a weird smell to my body sweat. sweet as sugar. Very weird because my blood sugar is usually so low that im the opposite of diabetes, like almost hypoglycemic. This starts to make sense later.
**day 4:** some diarrhea
**day 5:** I AM A MUDDY WHALE FROM THE SEVENTH CIRCLE OF HELL, SPRAYING BROWN WATER FROM THE SPOUT BENEATH ME
**day 6:**  A normal-ish rocky poo.
(note: when tummy is in pain, do it the russian way. lay perfectly flat face down for an hour or two. Helps pass everything thru, immensely.)
**day 7:** Basically peeing from my ass. Also vomiting at the same time. Bit of fever and bit of bone aches that night. 
(so far, all these symptoms were bearable, just a bit of discomfort, no pain. but for 1 hour on day 7 it was awful and unbearable after I had the diarrhea. I laid in bed lightheaded almost like I was gonna black out or something. really uncomfortable.)
**day 8:** I wake up feeling amazing! Bone pain a tiny bit there.
(I started googling shit around this time. Aparrently covid will make your blood sugar high, hence sweet smell.)
**day 9:** Panted once, after walking *down* the stairs. Oh no am I imagining things? Or is it getting to my respiratory system? Breathing feels clean and nice.
**day 10:** Panting after going down the stairs, a few times. Uh oh. never happens to me. Did the virus move to my respiratory system that time I vomited to hard that vomit came shooting out my nose? Slight tickle in back of throat for 2 hrs in the morning. Coughed a few times, cleared my throat, it soon went away. 
(will update more. will it get real bad and attack my respiratory system? or will I have generated enough antibodies during the time it was in my gut, to make the respiratory attack very mild? stay tuned for next week's update...🤦‍♀️)
So I have a theory as to how I got this. I was staying inside my home for 5 weeks. Got this on week 5. Must have ingested this via not microwaving delivery good enough. I'm thinking that ppl who breathe it in get their respiratory symptoms first, people who ingest it get their gastro symptoms first.</t>
        </is>
      </c>
      <c r="D293" t="n">
        <v>2</v>
      </c>
      <c r="E293" t="n">
        <v>22</v>
      </c>
      <c r="F293">
        <f>HYPERLINK("https://www.reddit.com/r/COVID19positive/comments/fxwihm/10_days_so_far_strong_russian_girl_very_mild/")</f>
        <v/>
      </c>
      <c r="G293" t="inlineStr">
        <is>
          <t>2020-04-09 10:22:14</t>
        </is>
      </c>
      <c r="H293" t="inlineStr">
        <is>
          <t>Tested Positive - Me</t>
        </is>
      </c>
    </row>
    <row r="294">
      <c r="A294" t="inlineStr">
        <is>
          <t>fxwt8y</t>
        </is>
      </c>
      <c r="B294" t="inlineStr">
        <is>
          <t>Tested positive - my sense of smell/taste came back this morning, after 18 days.</t>
        </is>
      </c>
      <c r="C294" t="inlineStr">
        <is>
          <t>Outside of being extremely excited/relieved, I wanted to post this for anyone that is experiencing daily stress and anxiety about their loss of sense/taste.  I checked this subreddit hourly looking for other people's experiences to see if/when my asnomia would go away.  Hoping this post provides some comfort for anyone else doing the same.
I lost my sense of smell on March 23rd, reached out to my doctor, got tested the next day and received a positive result.  The days prior I had some mild congestion, and woke up one night having sweated through my sheets.  Took my temperature daily, but did not record a fever.  I had no other major symptoms (no fever, no shortness of breath, no coughing fits, etc.) throughout the entire duration.  I couldn't smell anything, and my taste was limited to being able to discern salty, sweet, and spicy, but not actual flavors.
This morning, I woke up and did my daily smell test (spraying cologne on a wall), and couldn't smell it.  A few hours later, I caught a whiff of my coffee and immediately retested my smell.  Could smell clearly, I'd say back to 70% percent after smelling other things in my apartment.  Was like someone flipped a switch in my brain.
This was a stressful/annoying time, but by no means even close to as bad as other people's experiences with COVID-19.  Nonetheless, for anyone else experiencing this and searching this subreddit, wanted to share my experience. Hang in there and best wishes!</t>
        </is>
      </c>
      <c r="D294" t="n">
        <v>10</v>
      </c>
      <c r="E294" t="n">
        <v>24</v>
      </c>
      <c r="F294">
        <f>HYPERLINK("https://www.reddit.com/r/COVID19positive/comments/fxwt8y/tested_positive_my_sense_of_smelltaste_came_back/")</f>
        <v/>
      </c>
      <c r="G294" t="inlineStr">
        <is>
          <t>2020-04-09 10:38:52</t>
        </is>
      </c>
      <c r="H294" t="inlineStr">
        <is>
          <t>Tested Positive - Me</t>
        </is>
      </c>
    </row>
    <row r="295">
      <c r="A295" t="inlineStr">
        <is>
          <t>fxxfir</t>
        </is>
      </c>
      <c r="B295" t="inlineStr">
        <is>
          <t>Strange smelling urine??</t>
        </is>
      </c>
      <c r="C295" t="inlineStr">
        <is>
          <t>[26F] Has anyone who tested positive experienced strong, strange smelling urine? I have not heard much about this symptom but did see it mentioned in a couple of blog posts about covid.</t>
        </is>
      </c>
      <c r="D295" t="n">
        <v>1</v>
      </c>
      <c r="E295" t="n">
        <v>15</v>
      </c>
      <c r="F295">
        <f>HYPERLINK("https://www.reddit.com/r/COVID19positive/comments/fxxfir/strange_smelling_urine/")</f>
        <v/>
      </c>
      <c r="G295" t="inlineStr">
        <is>
          <t>2020-04-09 11:11:28</t>
        </is>
      </c>
      <c r="H295" t="inlineStr">
        <is>
          <t>Tested Positive - Me</t>
        </is>
      </c>
    </row>
    <row r="296">
      <c r="A296" t="inlineStr">
        <is>
          <t>fxxihq</t>
        </is>
      </c>
      <c r="B296" t="inlineStr">
        <is>
          <t>Tested positive over 3 weeks ago. Recovered. But...</t>
        </is>
      </c>
      <c r="C296" t="inlineStr">
        <is>
          <t>Hi. Wonder if anyone else can throw some light on this. I had a fever for 2 weeks which was the worst symptom for me. That broke a week ago and I began the road to recovery. Still have the cough and no taste and not much appetite but the fever had broken so I was getting better as far as I was concerned. It’s now a week later and I’ve started to feel unwell again. Headaches. Weak. Just unwell. Anyone else have this?</t>
        </is>
      </c>
      <c r="D296" t="n">
        <v>2</v>
      </c>
      <c r="E296" t="n">
        <v>14</v>
      </c>
      <c r="F296">
        <f>HYPERLINK("https://www.reddit.com/r/COVID19positive/comments/fxxihq/tested_positive_over_3_weeks_ago_recovered_but/")</f>
        <v/>
      </c>
      <c r="G296" t="inlineStr">
        <is>
          <t>2020-04-09 11:15:47</t>
        </is>
      </c>
      <c r="H296" t="inlineStr">
        <is>
          <t>Tested Positive - Me</t>
        </is>
      </c>
    </row>
    <row r="297">
      <c r="A297" t="inlineStr">
        <is>
          <t>fxz5ja</t>
        </is>
      </c>
      <c r="B297" t="inlineStr">
        <is>
          <t>Anyone else asymptomatic and freaked out by this sub?</t>
        </is>
      </c>
      <c r="C297" t="inlineStr">
        <is>
          <t>I tested positive a couple weeks ago and have not had any symptoms; however, when I read this sub it makes me feel like I can take a turn for the worst and die any minute. Obviously just anxiety, but for those that come on here and get scared to death just know it’s not always as bad as what gets popular on here. This is clearly the early stages of the virus and I’m not an expert and especially not downplaying what some are going through, but just know if you coughed once and are frantically searching through this sub, most likely you will be fine. Just peace of mind.</t>
        </is>
      </c>
      <c r="D297" t="n">
        <v>3</v>
      </c>
      <c r="E297" t="n">
        <v>60</v>
      </c>
      <c r="F297">
        <f>HYPERLINK("https://www.reddit.com/r/COVID19positive/comments/fxz5ja/anyone_else_asymptomatic_and_freaked_out_by_this/")</f>
        <v/>
      </c>
      <c r="G297" t="inlineStr">
        <is>
          <t>2020-04-09 12:41:53</t>
        </is>
      </c>
      <c r="H297" t="inlineStr">
        <is>
          <t>Tested Positive - Me</t>
        </is>
      </c>
    </row>
    <row r="298">
      <c r="A298" t="inlineStr">
        <is>
          <t>fy0q33</t>
        </is>
      </c>
      <c r="B298" t="inlineStr">
        <is>
          <t>I got tested positive for Covid-19</t>
        </is>
      </c>
      <c r="C298" t="inlineStr">
        <is>
          <t>I'm gonna start from the beginning, about 2 or 3 weeks ago. My mom has two jobs, both at hospitals. At one of them she was exposed to multiple patients with Covid-19. She did have the proper masks and such on. My Dad then became sick, then my mom. Then me. My mom got tested. It took 8 days to get her test back. Wich was about 3 days ago. She tested positive. I was still sick but my Dad got better,he still has a cough though. My mom is also better and also only has a cough. At this point my grandparents (who are living with us temporarily because their house burned down in February) are also getting sick. My grandfather especially. My sister has been perfectly good, probably because when we started getting sick she was on antibiotics for a sinus infection. I then got tested. The day after my grandfather got tested. My grandmother is doing better. My test came back today, positive. I then remembered I didn't do any of my homework, so I had to email ALL my teachers if I can be excused or to extend the due date for my work. I still feel like shit. We got quarantined for at least two weeks. The quarantine isn't a problem for me though as I already stayed inside as much as I could. I know that we'll be ok because we're young. Not sure about my grandfather though. But I'm having panic attacks just thinking about all the work I'm going to have to do when I'm better. Just thinking about it, I get trouble breathing, or maybe that's just my asthma or because of Covid. Sorry if all of this doesn't make any sense, but I'm not feeling well and can barely think straight. I just wanted to get some of my story out. I look forward to reading the replies as I yearn for some human connection,that isn't my family,right now. Stay healthy everyone!</t>
        </is>
      </c>
      <c r="D298" t="n">
        <v>1</v>
      </c>
      <c r="E298" t="n">
        <v>20</v>
      </c>
      <c r="F298">
        <f>HYPERLINK("https://www.reddit.com/r/COVID19positive/comments/fy0q33/i_got_tested_positive_for_covid19/")</f>
        <v/>
      </c>
      <c r="G298" t="inlineStr">
        <is>
          <t>2020-04-09 14:08:46</t>
        </is>
      </c>
      <c r="H298" t="inlineStr">
        <is>
          <t>Tested Positive - Me</t>
        </is>
      </c>
    </row>
    <row r="299">
      <c r="A299" t="inlineStr">
        <is>
          <t>fy2jl9</t>
        </is>
      </c>
      <c r="B299" t="inlineStr">
        <is>
          <t>Today found out my dad is in Hospital for Covid</t>
        </is>
      </c>
      <c r="C299" t="inlineStr">
        <is>
          <t>I just moved away from home and we are in different countries. My mom has symptoms too and he has tested positive, under supervised care, having trouble breathing. They decided to not tell me that he was sick until now to spare me worry which I'm pretty mad about but most of all I'm terrified. He seems in very bad condition but I have no clue how bad, bad is. He needs to take a breath between each word. He can't speak much. Hes an active 55yo man, he doesn't eat extremely well but its isnt awful and he's the strongest spirit  I know and I'm scared shitless. I don't  know enough and tomorrow my mom is probably going to hospital too.</t>
        </is>
      </c>
      <c r="D299" t="n">
        <v>1</v>
      </c>
      <c r="E299" t="n">
        <v>15</v>
      </c>
      <c r="F299">
        <f>HYPERLINK("https://www.reddit.com/r/COVID19positive/comments/fy2jl9/today_found_out_my_dad_is_in_hospital_for_covid/")</f>
        <v/>
      </c>
      <c r="G299" t="inlineStr">
        <is>
          <t>2020-04-09 15:53:54</t>
        </is>
      </c>
      <c r="H299" t="inlineStr">
        <is>
          <t>Tested Positive - Family</t>
        </is>
      </c>
    </row>
    <row r="300">
      <c r="A300" t="inlineStr">
        <is>
          <t>fy423m</t>
        </is>
      </c>
      <c r="B300" t="inlineStr">
        <is>
          <t>Female, 25, vapes</t>
        </is>
      </c>
      <c r="C300" t="inlineStr">
        <is>
          <t>Point of contact- I dont know, I did my duty and stayed home.
Health-dont know my blood type, female, 5 pounds overweight, vaped until day two of serious symptoms, used to smoke drugs on tin foil, used to smoke meth, smoked cigarettes since age 12 and vaped from age 22-now. Posting this because it was my main concern about catching covid.
Days 1-7ish? Didnt count, these are guesstimates. Headache for a week straight. Like, I went to bed with it and still woke up with it. That was weird. Also some shortness of breath but I have generalized anxiety and chalked it up to that. One night my boyfriend and I both got a scratchy throat but that's it, gone next day.
Day 8-woke up with no sense of smell. I have been keeping tabs, I knew what that meant but heck I was nervous! By lunch it came back so maybe I was just being anxious, I thought. Started to feel heaviness on my chest but ignored it as the same until my boyfriend came home from (essential) work feeling sick. Both of us were fatigued so we slept. I woke up starving and with body aches. Both of us confirmed we had pressure on our chests and felt like we had fevers but we had a cheap-o thermometer that said we didnt. We order food and slept. 
Day 9- boyfriend felt better except had that chest pressure that would come and go. I felt better but had the same. We called the covid line because it clearly wasnt anxiety if we both had it. Were told to test so I went and tested. Didnt need to waste 2, we live together. Continued to check temp and cheap-o still said no fever.
Day 10-boyfriend was good as new, but i still felt chest pressure. It almost seemed worse? Tried to comfort myself that all my other symptoms lessened so the chest discomfort probably did, too I was just being anxious. Felt nausea for about an hour but never experienced any GI distress. Still no high temp. 
Day 11-the worst day. Felt fine all day except that darn chest pressure. Probably anxiety still. That night I got the tightest lungs, I was so scared. It was the worst night. I could take a full breath but I felt like I couldn't breathe. I took some of my xanax and fell asleep.
Day 12- wake up feeling much better. Still having some lung problems but more mild. Go for a walk with my daughter and boyfriend and my whole nasal passage to my upper lungs feels just constricted, it's odd. Decide to call my doc cause enough is enough. Tell him I've been tested but havent received results. Is there anything else this could be? He wants me to come in and test for flu, check temp and pulse ox. I go in, flu test is negative, pulse ox is 99, good news! And temp is 99.3 okay so, our cheap-o thermometer has been lying. Checked before I went in and it said 97.0 so now I'm aware we probably have had fevers over these last couple of days. Doctor says covid tests were rushed through the FDA and that theres a decent chance the test could produce a false negative. Doctor tells me that there are  LOTS of people running around completely asymptomatic and that I probably do have it. Tells me to stay home for 14 days since I dont technically have a fever. Prescribed me an inhaler and sent me home. Later received a call that I tested positive. 
Days 13 and 14- continue with mild chest tightness, getting better daily. And then, I'm better.
My 6 year old never showed symptoms. My boyfriend had symptoms for 2 days. I had a weird 2 weeks but survived. If you used to abuse your lungs, you're probably still gonna be okay. Wanted to balance the scales a bit as there are some seriously heavy duty posts on here and many less comforting ones.</t>
        </is>
      </c>
      <c r="D300" t="n">
        <v>1</v>
      </c>
      <c r="E300" t="n">
        <v>55</v>
      </c>
      <c r="F300">
        <f>HYPERLINK("https://www.reddit.com/r/COVID19positive/comments/fy423m/female_25_vapes/")</f>
        <v/>
      </c>
      <c r="G300" t="inlineStr">
        <is>
          <t>2020-04-09 17:23:31</t>
        </is>
      </c>
      <c r="H300" t="inlineStr">
        <is>
          <t>Tested Positive</t>
        </is>
      </c>
    </row>
    <row r="301">
      <c r="A301" t="inlineStr">
        <is>
          <t>fy5pwr</t>
        </is>
      </c>
      <c r="B301" t="inlineStr">
        <is>
          <t>When did you get your senses of smell and taste back?</t>
        </is>
      </c>
      <c r="C301" t="inlineStr">
        <is>
          <t>I did test positive. I have not been able to smell or taste anything in about 5 days. Almost all my symptoms are gone and I still can’t. Have any of y’all experienced this?</t>
        </is>
      </c>
      <c r="D301" t="n">
        <v>1</v>
      </c>
      <c r="E301" t="n">
        <v>9</v>
      </c>
      <c r="F301">
        <f>HYPERLINK("https://www.reddit.com/r/COVID19positive/comments/fy5pwr/when_did_you_get_your_senses_of_smell_and_taste/")</f>
        <v/>
      </c>
      <c r="G301" t="inlineStr">
        <is>
          <t>2020-04-09 18:55:02</t>
        </is>
      </c>
      <c r="H301" t="inlineStr">
        <is>
          <t>Tested Positive - Me</t>
        </is>
      </c>
    </row>
    <row r="302">
      <c r="A302" t="inlineStr">
        <is>
          <t>fy7737</t>
        </is>
      </c>
      <c r="B302" t="inlineStr">
        <is>
          <t>For those of you that were sent home with antibiotics to treat pneumonia. How long did it take to get rid of pneumonia?</t>
        </is>
      </c>
      <c r="C302" t="inlineStr">
        <is>
          <t>I’m on day 9 since first having symptoms.  I woke up feeling great, but my pulse ox was dropping to 92-93%. Kaiser told me to go in. Chest X-ray revealed that I have pneumonia in my lower left lung. They sent me home with azithromycin, ceftin, coughing pills and albuterol inhaler.  They said my breathing was good enough that I didn’t need to be admitted. 
I really thought I was turning the Corner.  But I guess not. I really just want this to end. 
35, M.  Nurse</t>
        </is>
      </c>
      <c r="D302" t="n">
        <v>1</v>
      </c>
      <c r="E302" t="n">
        <v>19</v>
      </c>
      <c r="F302">
        <f>HYPERLINK("https://www.reddit.com/r/COVID19positive/comments/fy7737/for_those_of_you_that_were_sent_home_with/")</f>
        <v/>
      </c>
      <c r="G302" t="inlineStr">
        <is>
          <t>2020-04-09 20:19:09</t>
        </is>
      </c>
      <c r="H302" t="inlineStr">
        <is>
          <t>Tested Positive - Me</t>
        </is>
      </c>
    </row>
    <row r="303">
      <c r="A303" t="inlineStr">
        <is>
          <t>fye5qg</t>
        </is>
      </c>
      <c r="B303" t="inlineStr">
        <is>
          <t>Infected friday April 3rd? Tested positive monday the 6th. Would I for sure be able to tell if I develop pneumonia?</t>
        </is>
      </c>
      <c r="C303" t="inlineStr">
        <is>
          <t xml:space="preserve"> I'm a 23 year old male, regular build. No known health issues or conditions of any sort. My first symptom would have been a headache on saturday april 4th, developing the next few days into a scratchy throat, migraine, chills, loss of taste and smell, and joint aches basically in that order. Until thursday,(4/9 yesterday) it seems I've ditched every other symptom (except the loss of taste and smell) for shortness of breath. I've never had pneumonia so I'm just wondering if I would know for sure if I were to get it? Havent really had a cough throughout the course of this and still am not coughing. Can you have pneumonia without coughing? Thank you</t>
        </is>
      </c>
      <c r="D303" t="n">
        <v>1</v>
      </c>
      <c r="E303" t="n">
        <v>20</v>
      </c>
      <c r="F303">
        <f>HYPERLINK("https://www.reddit.com/r/COVID19positive/comments/fye5qg/infected_friday_april_3rd_tested_positive_monday/")</f>
        <v/>
      </c>
      <c r="G303" t="inlineStr">
        <is>
          <t>2020-04-10 04:21:33</t>
        </is>
      </c>
      <c r="H303" t="inlineStr">
        <is>
          <t>Tested Positive</t>
        </is>
      </c>
    </row>
    <row r="304">
      <c r="A304" t="inlineStr">
        <is>
          <t>fyfneq</t>
        </is>
      </c>
      <c r="B304" t="inlineStr">
        <is>
          <t>Mom is diabetic and coronavirus positive</t>
        </is>
      </c>
      <c r="C304" t="inlineStr">
        <is>
          <t>My mom is T2 diabetic and has been having symptoms since Thursday 4/2/2020. She went and got tested Friday and we got the results on Wednesday that she was positive for the virus. Her symptoms have been fairly mild with just a slight cough and a low grade fever but with all the news out there I’m freaking out. Is there anyone that has had the virus and has recovered and if so please share your experience with me and if she should be doing anything help out. Thank you.</t>
        </is>
      </c>
      <c r="D304" t="n">
        <v>1</v>
      </c>
      <c r="E304" t="n">
        <v>9</v>
      </c>
      <c r="F304">
        <f>HYPERLINK("https://www.reddit.com/r/COVID19positive/comments/fyfneq/mom_is_diabetic_and_coronavirus_positive/")</f>
        <v/>
      </c>
      <c r="G304" t="inlineStr">
        <is>
          <t>2020-04-10 06:14:50</t>
        </is>
      </c>
      <c r="H304" t="inlineStr">
        <is>
          <t>Tested Positive - Friends</t>
        </is>
      </c>
    </row>
    <row r="305">
      <c r="A305" t="inlineStr">
        <is>
          <t>fyi8x0</t>
        </is>
      </c>
      <c r="B305" t="inlineStr">
        <is>
          <t>What needs to happen before I consider the hospital?</t>
        </is>
      </c>
      <c r="C305" t="inlineStr">
        <is>
          <t>I have a positive test. I'm on Day 9 of feeling sick. My breathing is OK I guess, but my fever is fluctuating between the low 101's and high 102's. I haven't taken any meds at all. Just trying to hydrate. I'm a 25 year old trans woman who is quite overweight, because I never took my health seriously at all until recently. 
What needs to happen before I begin seriously considering the hospital? I live in central Georgia. We don't have bad hospital overload.</t>
        </is>
      </c>
      <c r="D305" t="n">
        <v>1</v>
      </c>
      <c r="E305" t="n">
        <v>9</v>
      </c>
      <c r="F305">
        <f>HYPERLINK("https://www.reddit.com/r/COVID19positive/comments/fyi8x0/what_needs_to_happen_before_i_consider_the/")</f>
        <v/>
      </c>
      <c r="G305" t="inlineStr">
        <is>
          <t>2020-04-10 08:45:42</t>
        </is>
      </c>
      <c r="H305" t="inlineStr">
        <is>
          <t>Tested Positive - Me</t>
        </is>
      </c>
    </row>
    <row r="306">
      <c r="A306" t="inlineStr">
        <is>
          <t>fykla4</t>
        </is>
      </c>
      <c r="B306" t="inlineStr">
        <is>
          <t>29 days - keeps coming back</t>
        </is>
      </c>
      <c r="C306" t="inlineStr">
        <is>
          <t>As the title says... I've been living with symptoms ranging from severe pneumonia to now what seems neurological issues. 
Current Issues: 
- Balance 
- Memory 
- Huge fatigue levels 
- Concentration 
- Still having a huge fever every 12 hours or so. Seems  to focus in my core and head. 
- Sinuses feel horrible 
Started out mild. Day 10-18 peaked with the severe trouble breathing, organ pains, heart palpitations.
I'm now concerned this virus is somewhat Herpes or AIDS like in that it hides out in my spine. I could feel the nerves in my spine tingle 2 weeks back as if it went in there. 
It's fucking horrific if this is the case. 
Anyone else now at 25+ days and living the same situation?</t>
        </is>
      </c>
      <c r="D306" t="n">
        <v>1</v>
      </c>
      <c r="E306" t="n">
        <v>185</v>
      </c>
      <c r="F306">
        <f>HYPERLINK("https://www.reddit.com/r/COVID19positive/comments/fykla4/29_days_keeps_coming_back/")</f>
        <v/>
      </c>
      <c r="G306" t="inlineStr">
        <is>
          <t>2020-04-10 10:43:04</t>
        </is>
      </c>
      <c r="H306" t="inlineStr">
        <is>
          <t>Tested Positive - Me</t>
        </is>
      </c>
    </row>
    <row r="307">
      <c r="A307" t="inlineStr">
        <is>
          <t>fylizs</t>
        </is>
      </c>
      <c r="B307" t="inlineStr">
        <is>
          <t>I tested positive for covid 19</t>
        </is>
      </c>
      <c r="C307" t="inlineStr">
        <is>
          <t>My sister was feeling sick and she got tested and her test came back positive as well, so immediately after her test came back positive I ran and got tested myself. I felt no symptoms whatsoever however I got the test results yesterday- a week and a half after I took the test  and was informed I’m positive. However I feel absolutely no symptoms and have yet to feel any symptoms the doctor told me that means I’m asymptomatic obviously. My Question is what does this mean for my body?</t>
        </is>
      </c>
      <c r="D307" t="n">
        <v>1</v>
      </c>
      <c r="E307" t="n">
        <v>7</v>
      </c>
      <c r="F307">
        <f>HYPERLINK("https://www.reddit.com/r/COVID19positive/comments/fylizs/i_tested_positive_for_covid_19/")</f>
        <v/>
      </c>
      <c r="G307" t="inlineStr">
        <is>
          <t>2020-04-10 11:27:53</t>
        </is>
      </c>
      <c r="H307" t="inlineStr">
        <is>
          <t>Tested Positive - Me</t>
        </is>
      </c>
    </row>
    <row r="308">
      <c r="A308" t="inlineStr">
        <is>
          <t>fyly7m</t>
        </is>
      </c>
      <c r="B308" t="inlineStr">
        <is>
          <t>My dad (58) tested positive</t>
        </is>
      </c>
      <c r="C308" t="inlineStr">
        <is>
          <t>2 days ago my father tested positive for covid 19. He has high blood pressure and no other pre existing health conditions. 
He went through drive thru testing 2 days after he started feeling symptoms including a small fever of 100, sweats, body aches, a cough and congestion. 
Luckily he says he does not feel prominent pain or pressure in his chest and is having no difficulty breathing. His fever has remained around 100 consistently for the past 4 days. He has mostly laid in bed and slept. 
Today he got out of bed, took a shower and did the dishes. I went to get him supplies and now he is fully stocked up on essentials. 
I am praying that he continues to feel more energy and that his symptoms do not worsen. I am worried because I have heard some people feel better before they feel worse. 
I just wanted to share my fathers symptoms as warnings to others. I will update this post when things change. 
Stay safe everyone.</t>
        </is>
      </c>
      <c r="D308" t="n">
        <v>1</v>
      </c>
      <c r="E308" t="n">
        <v>2</v>
      </c>
      <c r="F308">
        <f>HYPERLINK("https://www.reddit.com/r/COVID19positive/comments/fyly7m/my_dad_58_tested_positive/")</f>
        <v/>
      </c>
      <c r="G308" t="inlineStr">
        <is>
          <t>2020-04-10 11:47:14</t>
        </is>
      </c>
      <c r="H308" t="inlineStr">
        <is>
          <t>Tested Positive - Family</t>
        </is>
      </c>
    </row>
    <row r="309">
      <c r="A309" t="inlineStr">
        <is>
          <t>fymvt2</t>
        </is>
      </c>
      <c r="B309" t="inlineStr">
        <is>
          <t>WBUR, Boston's NPR station, found me through this group and interviewed my wife and I for their podcast. They talk about r/covidpositive too! I appreciate how they portrayed the experience I and so many others are having. Thanks for existing Reddit, you are a cathedral resource. Link in comments!</t>
        </is>
      </c>
      <c r="C309" t="inlineStr">
        <is>
          <t>[https://www.wbur.org/endlessthread/2020/04/10/parent-nurse-patient](https://www.wbur.org/endlessthread/2020/04/10/parent-nurse-patient)</t>
        </is>
      </c>
      <c r="D309" t="n">
        <v>1</v>
      </c>
      <c r="E309" t="n">
        <v>4</v>
      </c>
      <c r="F309">
        <f>HYPERLINK("https://www.reddit.com/r/COVID19positive/comments/fymvt2/wbur_bostons_npr_station_found_me_through_this/")</f>
        <v/>
      </c>
      <c r="G309" t="inlineStr">
        <is>
          <t>2020-04-10 12:32:17</t>
        </is>
      </c>
      <c r="H309" t="inlineStr">
        <is>
          <t>Tested Positive - Me</t>
        </is>
      </c>
    </row>
    <row r="310">
      <c r="A310" t="inlineStr">
        <is>
          <t>fyn5io</t>
        </is>
      </c>
      <c r="B310" t="inlineStr">
        <is>
          <t>Dad has it, so I'm probably COVID-19 positive</t>
        </is>
      </c>
      <c r="C310" t="inlineStr">
        <is>
          <t>Hello! I was sent to this sub to ease my mind. So how this goes: 
Yesterday I (23F) woke up with my head feeling heavy and like it's being squeezed. I felt like I am running a fever. Took my temperature and no fever. The rest of the day I was very weak and had no appetite at all. Today same deal, just the weakness and fatigue are even worse. I didn't consider COVID-19 because I really didn't leave my house. 
I get a call from my dad's girlfriend and he apparently has it. I am worried for him because he is 60, a smoker and gets winded by climbing a flight of stairs. He is also a doctor so he probably caught it from work. He has the full symptom list and even difficulty breathing despite being symptomatic for only three days.
The thing is, the only time I contacted with the outside world in the past three weeks was going to the ER for a bad infection a week ago. My father came with me because they wouldn't treat me otherwise unless I was dying and I was in terrible unbearable pain. I wore a mask and tried everything to keep myself safe, but my dad didn't and he kept entering my personal space. I did try to keep distance but when you are in pain and distress you sort of forget that your own father can give you COVID-19. 
I have severe anxiety and depression, my body just fought off a huge infection and my appetite has been really bad for the past week. I am scared that I won't be able to fight this virus off. I have been bombarding my body with every vitamin pill I own and every fruit and vegetable I have.
I am also very worried about my dad, I already declared myself dead or about to be, but I don't want something to happen to my dad, I don't want him to get worse or feel guilty if I get worse since he was the one who infected me. So I am here for some support and good vibes because I feel hopeless and alone and now I became my friend's "token" coronavirus friend they can tell others about :(</t>
        </is>
      </c>
      <c r="D310" t="n">
        <v>1</v>
      </c>
      <c r="E310" t="n">
        <v>11</v>
      </c>
      <c r="F310">
        <f>HYPERLINK("https://www.reddit.com/r/COVID19positive/comments/fyn5io/dad_has_it_so_im_probably_covid19_positive/")</f>
        <v/>
      </c>
      <c r="G310" t="inlineStr">
        <is>
          <t>2020-04-10 12:44:34</t>
        </is>
      </c>
      <c r="H310" t="inlineStr">
        <is>
          <t>Tested Positive - Family</t>
        </is>
      </c>
    </row>
    <row r="311">
      <c r="A311" t="inlineStr">
        <is>
          <t>fyn73j</t>
        </is>
      </c>
      <c r="B311" t="inlineStr">
        <is>
          <t>My Dad (60 years old) was on the ventilator for 11 days and got extubated today! :)</t>
        </is>
      </c>
      <c r="C311" t="inlineStr">
        <is>
          <t>Hello all! if you were following my submissions prior https://redd.it/fv67m1 I have some great news!!!
They extubated my dad today after being on the vent for 11 days (lucky number 11 I guess!) and he is drowsy obviously and still confused but they are moving him out of the ICU to another floor to recover more. His throat is sore (from the tube obviously) and my mom talked to him on the phone and he was just making noises probably because he's still sedated and out of it but he is extubated and recovering. Thank god! We Continue to pray though because he needs the strength to get himself to recover from this! 🙏🏻♥️ thank you to everyone who has reached out and prayed for us. It really helped. We don’t know for sure how long he will take to be able to fully recover but we are so thankful he is moving forward with this crazy horrible virus.
Remember. There is hope! I would know. BOTH of my parents (59 and 60) kicked COVID19s ass!!</t>
        </is>
      </c>
      <c r="D311" t="n">
        <v>1</v>
      </c>
      <c r="E311" t="n">
        <v>74</v>
      </c>
      <c r="F311">
        <f>HYPERLINK("https://www.reddit.com/r/COVID19positive/comments/fyn73j/my_dad_60_years_old_was_on_the_ventilator_for_11/")</f>
        <v/>
      </c>
      <c r="G311" t="inlineStr">
        <is>
          <t>2020-04-10 12:46:39</t>
        </is>
      </c>
      <c r="H311" t="inlineStr">
        <is>
          <t>Tested Positive - Family</t>
        </is>
      </c>
    </row>
    <row r="312">
      <c r="A312" t="inlineStr">
        <is>
          <t>fyo9xk</t>
        </is>
      </c>
      <c r="B312" t="inlineStr">
        <is>
          <t>Me and my husband positive. Have a baby with no symptoms</t>
        </is>
      </c>
      <c r="C312" t="inlineStr">
        <is>
          <t>I got sick around March 20th. It was bad but I'm not gonna go into detail. They did an xray and I have advanced pneumonia.
My husband got sick much later. He's way better than me, but still sick.
Now, we have a 11 month old baby. What would happen to the baby if both of us end up in the hospital?
My doctor said not to bring anyone into this house. (to look after the baby)
And he also said not to take the baby somewhere else so someone can care for the baby either.
He said the baby has to be quarantined if both of us go to a hospital.
But how? Where?</t>
        </is>
      </c>
      <c r="D312" t="n">
        <v>1</v>
      </c>
      <c r="E312" t="n">
        <v>18</v>
      </c>
      <c r="F312">
        <f>HYPERLINK("https://www.reddit.com/r/COVID19positive/comments/fyo9xk/me_and_my_husband_positive_have_a_baby_with_no/")</f>
        <v/>
      </c>
      <c r="G312" t="inlineStr">
        <is>
          <t>2020-04-10 13:40:18</t>
        </is>
      </c>
      <c r="H312" t="inlineStr">
        <is>
          <t>Tested Positive - Family</t>
        </is>
      </c>
    </row>
    <row r="313">
      <c r="A313" t="inlineStr">
        <is>
          <t>fyoaul</t>
        </is>
      </c>
      <c r="B313" t="inlineStr">
        <is>
          <t>Day 24 of a poss mild case</t>
        </is>
      </c>
      <c r="C313" t="inlineStr">
        <is>
          <t>Hey all. This neverending roller coaster blows. I’m mentally fried but I’m considering myself lucky.
27M/O+/overweight/healthcare worker/nightly pot smoker x3-4 months
I work in EMS. Likely some exposure as some other coworkers have tested positive.
Day 1-8 - Flu like symptoms. Fatigue, feverish, chills, diarrhea started day 5. No appetite but nothing I couldn’t work through. Also getting little sleep. Got tested on day 7. 
Day 9-18 - Found out I tested negative/was a relief but also thought well wtf else do I have? Followed up with my doc and he prescribed me a Z-pack and trazodone for sleep. Had one night where the chest burning was awful but that was the only night. Diarrhea persisted throughout these days. Felt like I was improving day by day, even got my appetite back around but still had waves of feeling like shit. Maybe the z pack was working??? Had horrible anxiety/panic attacks throughout these days though but once I recognized what symptoms were anxiety related I started to relax. 
Day 19-24 (today) - Horrible acid reflux kicks up. Tums won’t work, probiotics didn’t really help. Stomach has been churning for 2 weeks now. Even got some reflux laryngitis that comes and goes. Fleeting sharp pains dead center in my sternum and also some sore chest muscles that comes in waves as well. Going to get tested again on Tuesday. Started omeprazole on day 19. Acid reflux subsided today. Bad news though! Bloated like a MFer today. Belching like crazy. Mild SOB when I’m sitting down, getting up and walking helps which leads me to believe it has something to do with the abdominal distension pushing on my diaphragm (I’m hoping so anyway). Also got whooshing tinnitus that appeared out of nowhere earlier today. 
I’m so burnt out but I know I’ve been extremely lucky to this point. That’s not lost on me but being stuck in a 2 bedroom apartment by myself for 24 days has been terrible. I know my anxiety could be the cause for some of my symptoms but I know my body well enough. Also: Have a telehealth appt with a psychologist on Monday to address my anxiety. The past 3 weeks have been eye opening in how I need to address my mental and physical health, hope others here will do the same.
Btw, typing all this shit out is making me feel a little better. 
Have been taking:
-Vit C
-Vit d3
-Zinc
-Allergy med
-20bil probiotic
-Tums as needed
-Started simethicone today but I’m not sure it’s working
Don’t ya just wanna scream sometimes?</t>
        </is>
      </c>
      <c r="D313" t="n">
        <v>1</v>
      </c>
      <c r="E313" t="n">
        <v>30</v>
      </c>
      <c r="F313">
        <f>HYPERLINK("https://www.reddit.com/r/COVID19positive/comments/fyoaul/day_24_of_a_poss_mild_case/")</f>
        <v/>
      </c>
      <c r="G313" t="inlineStr">
        <is>
          <t>2020-04-10 13:41:29</t>
        </is>
      </c>
      <c r="H313" t="inlineStr">
        <is>
          <t>Tested Positive - Friends</t>
        </is>
      </c>
    </row>
    <row r="314">
      <c r="A314" t="inlineStr">
        <is>
          <t>fyowy9</t>
        </is>
      </c>
      <c r="B314" t="inlineStr">
        <is>
          <t>Frustrated - Exposed to COVID19</t>
        </is>
      </c>
      <c r="C314" t="inlineStr">
        <is>
          <t>Throwaway because someone could figure out my identity from my reddit account. Don't have anyone else to rant to so I just wanted to post here because I'm really frustrated at the current situation.
My flatmate and his gf came back from a hotbed of COVID19 and decided to quarantine in our flat without my permission. Surprise surprise gf gets sick with a fever then my flatmate does. They don't bother telling me or isolating in their room and use all of the common spaces. In fact, they tried to hide the fact that they were sick from me and I had to repeatedly ask them if they were sick. A week later I get sick with fever and a positive SARS-CoV2. I am immunocompromised with asthma and also work in healthcare with other immunocompromised people so I was really upset. I'm more or less fine and my chest Xray was clear but this could have been really bad. My roommate didn't apologize, doesn't take any precautions, and is overall ambivalent to the situation about exposing me and everyone else he gets in contact with. He still has a cough and congestion but goes out on walks, picks up food, basically not really caring if he goes out or not because it's "fine if he's 6 feet away from anyone". This situation is really frustrating because this is someone I thought I could trust and I didn't think that people this negligent exist but apparently I live with one. I guess this is how COVID19 spreads to the community. 
If you are suspected of COVID19 please stay home and do your best to prevent the spread, don't be selfish. Even if your symptoms are mild, there's a good chance the person who you expose ends up in the hospital.</t>
        </is>
      </c>
      <c r="D314" t="n">
        <v>1</v>
      </c>
      <c r="E314" t="n">
        <v>13</v>
      </c>
      <c r="F314">
        <f>HYPERLINK("https://www.reddit.com/r/COVID19positive/comments/fyowy9/frustrated_exposed_to_covid19/")</f>
        <v/>
      </c>
      <c r="G314" t="inlineStr">
        <is>
          <t>2020-04-10 14:12:13</t>
        </is>
      </c>
      <c r="H314" t="inlineStr">
        <is>
          <t>Tested Positive - Me</t>
        </is>
      </c>
    </row>
    <row r="315">
      <c r="A315" t="inlineStr">
        <is>
          <t>fyqhlx</t>
        </is>
      </c>
      <c r="B315" t="inlineStr">
        <is>
          <t>I'm scared, guys</t>
        </is>
      </c>
      <c r="C315" t="inlineStr">
        <is>
          <t>I'm on Day 9. My fever keeps spiking and my chest keeps tightening. I don't feel out of breath but my cough is getting worse. I feel like I might be starting to deteriorate. I'm scared.
FWIW, I'm a 25 year old trans woman two months into hormone therapy, and am 6'5 ~280-290 pounds. No diagnosed health issues but I've never taken my health seriously at all until recently.</t>
        </is>
      </c>
      <c r="D315" t="n">
        <v>1</v>
      </c>
      <c r="E315" t="n">
        <v>55</v>
      </c>
      <c r="F315">
        <f>HYPERLINK("https://www.reddit.com/r/COVID19positive/comments/fyqhlx/im_scared_guys/")</f>
        <v/>
      </c>
      <c r="G315" t="inlineStr">
        <is>
          <t>2020-04-10 15:31:46</t>
        </is>
      </c>
      <c r="H315" t="inlineStr">
        <is>
          <t>Tested Positive - Me</t>
        </is>
      </c>
    </row>
    <row r="316">
      <c r="A316" t="inlineStr">
        <is>
          <t>fyr5tg</t>
        </is>
      </c>
      <c r="B316" t="inlineStr">
        <is>
          <t>Nurse boyfriend is positive, I’m possible false negative?</t>
        </is>
      </c>
      <c r="C316" t="inlineStr">
        <is>
          <t>Hi all. So my boyfriend is a nurse, and treated a patient in the nursing home where he works about 2 weeks ago. She was brought there from a local hospital with unknown respiratory issues. A few days after caring for her, with no PPE (his facility had none to provide him) the patient was transported back to the hospital in respiratory distress, and later died. They were informed that she was positive for Covid-19. 
By the time we learned of this patient being positive, my boyfriend was showing symptoms. The timeline is a bit fuzzy for me but I’ll try my best:
Day 1: boyfriend’s exposure to positive patient
Day 5: boyfriend develops dry cough 
Day 6: cough intensifies, shortness of breath begins. Low grade fever. I start developing a dry cough myself, diarrhea, and fatigue (we live together and are constantly exposed to each other). This day boyfriend learns of the contact with a positive case from his manager. 
Day 8: boyfriend and I get tested for covid 19, he is showing moderate symptoms, mine are still very mild (cough and occasional shortness of breath, no fever for me at any point).
Day 10: Boyfriend received a positive result
Day 11: I receive negative result
So at this point it’s day 14, my boyfriend is still pretty short of breath but mostly doing okay, I have a slight cough with occasional shortness of breath at night. I’m surprised that I have tested negative, even though my symptoms are milder than his, I am still in very close quarters with him this entire time, obviously kissing and sleeping next to him. I know that tests are about 70% accurate and that I very well could have gotten a false negative since I was:
1. Tested very early in my symptoms and
2. I felt like the nurse did not put the swab nearly far enough in my nasal cavity. 
Because of this, and the fact that I am an essential worker (grocery store) I am also quarantining and behaving as if I am positive. Boyfriend got his doctor to prescribe a Z pac and inhaler to help with his SOB and any possible secondary pneumonia that may develop. My job is paying me for a 2 week quarantine (beginning since the start of symptoms) and I’ve informed them of everything so far. Anybody else have this experience of knowing you’re likely positive but testing negative? I’m feeling a little invalidated frankly, and it sort of bums me out. I wish the tests were more accurate, but if I develop a fever or worsening symptoms i will try to get tested again.</t>
        </is>
      </c>
      <c r="D316" t="n">
        <v>1</v>
      </c>
      <c r="E316" t="n">
        <v>12</v>
      </c>
      <c r="F316">
        <f>HYPERLINK("https://www.reddit.com/r/COVID19positive/comments/fyr5tg/nurse_boyfriend_is_positive_im_possible_false/")</f>
        <v/>
      </c>
      <c r="G316" t="inlineStr">
        <is>
          <t>2020-04-10 16:07:07</t>
        </is>
      </c>
      <c r="H316" t="inlineStr">
        <is>
          <t>Tested Positive - Family</t>
        </is>
      </c>
    </row>
    <row r="317">
      <c r="A317" t="inlineStr">
        <is>
          <t>fyrth8</t>
        </is>
      </c>
      <c r="B317" t="inlineStr">
        <is>
          <t>Detailed timeline of severe symptoms without pneumonia (discharged after 5 Days)</t>
        </is>
      </c>
      <c r="C317" t="inlineStr">
        <is>
          <t>So, today i finally got discharged from the covid ward. I did not test positive but according to doctors, the test is kinda sketchy.
I started having symptoms 17 days ago, slight runny nose which later evolved Into fever, joint pain, upset stomach, congested nose, the whole 9 yards. 
On day four, fever cleared up, cough had gotten wet and nose had started to clog up, my breathing had started becoming more intense, but nothing i could not handle, 
Day five and six i made remarkable progress to heal, my fever was completely gone, nose was clearing up,  and i thought it was a cold/flue/mild case of covid.
Then came day 8... i woke up with a tight chest. It was odd, but i still felt better than i did on day five. But then came the night, my heart began racing, i became dizzy and fatigued, started calling family to ask about things i had asked them about hours ago, but forgotten. Fever came back, still not as bad as previous top from the earlier days (40,3 top meassured) but still around 39.4. 
I fought through day 9 and day 10, delusional, I thought i ate, I thought I drank, but I didnt. I spoke to my mom in the evening, and she heard how weak I was getting, and she told me to call healthcare. I did and got a time the day after, I Called again in the morning to reassure i had a time cause of my confusion. The nurse this time wanted to send me an ambulance cause she also heard i was getting weak.
I went in, took the test and got discharged from the testing site. Came back home, Called mom and went to bed. I woke up by the phone ringing and it was the dr telling me I tested negative, and went back to sleep, phone rang again, and this time it was my mom (who has been working in hospital her whole life and spoke to a colleague, a paramedic about me, and the paramedic wanted to take me to hospital) I went down to the ambulance and headed to hospital, saturation was 95~ pulse 150, low blood pressure and hard irregular breathing. And Everything from me waking up from the phonecall to here is a blurr. 
After two hours in the ER for bloodtest and fluids, they told me despite my negative test that I'm a presumptive covid case. I went up to the ward and slept almost 30 hours, only waking up to eat, toilet and controls, my pulse, blood pressure and breathing was still really out of whack.
During my time on the ward, Everything was out of whack, i had high blood pressure, low blood pressure, high pulse laying down (110) high pulse standing up, heavy breathing, cough. High saturation, low saturation.
I had a chest x-ray and got cleared, i had no pneumonia. 
And today, on day five, they deemed me "healthy" enough to go home.
And if i didnt go in the second time, I'm sure I'd had a hard time.
I wanted to write this text to a) remind People to drink drink and drink. Eat when possible, and dont play with your health. 
B) recollect my experience.
C) help getting some stories out there.
I am
Fit and active
Around 25 years old
140 pounds at the start., now 134).
No other health issues/smoker/medicines 
Now when I am back Home and feel better, i look back and all of this felt like a bad fever Dream.
Do not flood the healthcare if you dont need to. But do If you need, cause it can save your life.</t>
        </is>
      </c>
      <c r="D317" t="n">
        <v>1</v>
      </c>
      <c r="E317" t="n">
        <v>15</v>
      </c>
      <c r="F317">
        <f>HYPERLINK("https://www.reddit.com/r/COVID19positive/comments/fyrth8/detailed_timeline_of_severe_symptoms_without/")</f>
        <v/>
      </c>
      <c r="G317" t="inlineStr">
        <is>
          <t>2020-04-10 16:42:07</t>
        </is>
      </c>
      <c r="H317" t="inlineStr">
        <is>
          <t>Tested Positive</t>
        </is>
      </c>
    </row>
    <row r="318">
      <c r="A318" t="inlineStr">
        <is>
          <t>fyschs</t>
        </is>
      </c>
      <c r="B318" t="inlineStr">
        <is>
          <t>How to deal with the shortness of breath/painful chest</t>
        </is>
      </c>
      <c r="C318" t="inlineStr">
        <is>
          <t>Posting this because last night I scoured this subreddit for this information, and didn’t find anything. Hopefully someone going through the same thing sill benefit from this. 
Went to bed two days ago with mild symptoms, woke up yesterday earlier than usual with a very strong pain in my chest. Had a severe shortness of breath, strong pain, felt like there were two baseballs in my chest. 
Drank some bone broth that my spouse and I made and had stored in the deep freezer. Can give the recipe for that if anyone wants it. 
As the day progressed, the pain intensity came in waves. Every breath during the day hurt like shit, but some more or less than others. It hurt to bend over, it hurt to yawn. Everything hurt my lungs.
As I was getting in bed the pain was unbearable. I could hardly breathe. Laying down was excruciating. Sitting up was hardly any better, there was pain in every breath, every heartbeat hurt. I was pacing around the room trying to get air. My spouse was very worried, suggested we go to the hospital, but I was too stubborn to allow it. I spent time taking really deep breaths in hopes of opening my lungs up. It was extremely painful, but after a while it seemed to be helping. 
After a short minute, it was apparent there was no way I would get to sleep due to the level of pain I was in. I got up from bed and went to the closet where we have the over the counter meds. Looking for anything that could give relief. I found the infant’s Tylenol. [The liquid kind, cherry flavor.](Infants' Tylenol Acetaminophen Liquid Medicine, Grape, 2 fl. oz https://www.amazon.com/dp/B00MK2D954/ref=cm_sw_r_cp_api_i_-FqKEbV00X8NT) I didn’t take ibuprofen, because I heard that makes it worse. 
I took two full syringes, and had some pretty quick relief from it. I probably fell asleep 30-45 minutes after that, which was surprising. A few hours later I woke up, drenched in sweat, but had no fever. Took another dose, and went back to sleep. When I woke up in the morning the pain was much more tolerable. Better than it was at any time the entire previous day. All day today the pain had been minimal. Around 3pm I took another dose and right now I almost feel normal. Yesterday night the pain was so bad, I was scared that I would die in my sleep. I can even explain the level of surprise right now of how much better I feel.</t>
        </is>
      </c>
      <c r="D318" t="n">
        <v>1</v>
      </c>
      <c r="E318" t="n">
        <v>12</v>
      </c>
      <c r="F318">
        <f>HYPERLINK("https://www.reddit.com/r/COVID19positive/comments/fyschs/how_to_deal_with_the_shortness_of_breathpainful/")</f>
        <v/>
      </c>
      <c r="G318" t="inlineStr">
        <is>
          <t>2020-04-10 17:10:17</t>
        </is>
      </c>
      <c r="H318" t="inlineStr">
        <is>
          <t>Tested Positive - Me</t>
        </is>
      </c>
    </row>
    <row r="319">
      <c r="A319" t="inlineStr">
        <is>
          <t>fyskyl</t>
        </is>
      </c>
      <c r="B319" t="inlineStr">
        <is>
          <t>i was told by the ER i tested positive for cornavirus. i need advice</t>
        </is>
      </c>
      <c r="C319" t="inlineStr">
        <is>
          <t>i have a history of panic attacks. for 3-4 weeks i was having daily panic attacks. i was scared of the virus.the after affect of the panic attack was making my chest hurt and had breathing problems. i was trying to control my breathing. everytime someone would bring up the virus that would trigger my attack. so yestderday i felt this weird pain all over my chest. i was getting chills. tingling sensations all over my body, weird headache. i went to the ER. (it was empty) they took xray and blood test. then they said i tested positive for coronavirus and the chest xray shows something strange in my lungs. they send me home because i wasnt having any of the major symthoms. my breathing was perfect. in the ER i was having a small panic attack but that didnt affect my breathing test they were giving me. i had no fever. they said quarantine for 14 days. is this really coronavirus? i have no diabetes or high blood pressure. my health is good. i only have bowl problem and prostatitis. thats all. i have no other health problem. the reason why i mentioned my  anxiety because sometimes i get confused between the panic attack out of breath and the coronavirus. do i really have coronavirus? the crazy thing is i always go to that ER. they all know me. i had chest pain in the past before and they never found anything. so im confused as to how they would find something now. i was told they have to do a swap to test someone but they didnt do that. they took 5 tubes of blood. and the scan for the chest. im not experiencing any symthoms. i actually thought positive in the ER and thought it was the after affect of another panic attack. after i get those attacks it leaves my chest hurting all day. but this pain i feel was different then a panic attack. my gut told me to go to the ER and i did just that. how many days has to past in order to know all this is gone? the things that came up in my chest scan is that a sign of the virus?</t>
        </is>
      </c>
      <c r="D319" t="n">
        <v>1</v>
      </c>
      <c r="E319" t="n">
        <v>10</v>
      </c>
      <c r="F319">
        <f>HYPERLINK("https://www.reddit.com/r/COVID19positive/comments/fyskyl/i_was_told_by_the_er_i_tested_positive_for/")</f>
        <v/>
      </c>
      <c r="G319" t="inlineStr">
        <is>
          <t>2020-04-10 17:22:40</t>
        </is>
      </c>
      <c r="H319" t="inlineStr">
        <is>
          <t>Tested Positive</t>
        </is>
      </c>
    </row>
    <row r="320">
      <c r="A320" t="inlineStr">
        <is>
          <t>fytsw6</t>
        </is>
      </c>
      <c r="B320" t="inlineStr">
        <is>
          <t>Donating plasma as a recoveree</t>
        </is>
      </c>
      <c r="C320" t="inlineStr">
        <is>
          <t>I tested positive on March 20th and just got my results today showing I'm negative now. I do not have either test result as they were given to me over the phone. The tests were arranged by my work since I am a firefighter/paramedic and was exposed through my work.
My blood type is AB negative which makes me a universal plasma donor. Will the donation center allow me to donate to a specific local Corona patient in an ICU in super critical condition without the paperwork showing my test results? I can't get the paperwork until Monday but can donate tomorrow morning. He's coded twice and is in liver and kidney failure and obviously on a vent. Can they take my donation for him and just test it for the antibodies?</t>
        </is>
      </c>
      <c r="D320" t="n">
        <v>1</v>
      </c>
      <c r="E320" t="n">
        <v>13</v>
      </c>
      <c r="F320">
        <f>HYPERLINK("https://www.reddit.com/r/COVID19positive/comments/fytsw6/donating_plasma_as_a_recoveree/")</f>
        <v/>
      </c>
      <c r="G320" t="inlineStr">
        <is>
          <t>2020-04-10 18:36:33</t>
        </is>
      </c>
      <c r="H320" t="inlineStr">
        <is>
          <t>Tested Positive - Me</t>
        </is>
      </c>
    </row>
    <row r="321">
      <c r="A321" t="inlineStr">
        <is>
          <t>fyvto9</t>
        </is>
      </c>
      <c r="B321" t="inlineStr">
        <is>
          <t>Feeling Helpless</t>
        </is>
      </c>
      <c r="C321" t="inlineStr">
        <is>
          <t>First, just want to say that I hope you’re all well or recovering and safe. A big thank you to everyone in the front lines, I appreciate you so much. 
I guess I just need to vent and maybe see if anyone can offer some hope during this time.
My grandma and grandpa (grandpa is mid/late 70’s) unfortunately fell ill due to the virus. 
Grandpa was showing symptoms first (fever, cough, couldn’t keep anything down, etc.), which developed into pneumonia. He was doing tele-doc appointments up until his breathing/fever got so bad he was advised to go straight to the emergency room.
He had recovered from lung cancer 2 years ago and lost part of one of his lungs. (Just a little medical background.)
They ran the test and 3 days later, got the positive result. Shortly after, was put on a ventilator and induced coma.
Grandma started showing symptoms around this time as well. Fever, horrible headache, nausea, cough. She was able to stay at home throughout and has now been fever free for 5 days (woo!) and is feeling much better and getting her strength back. (No test, just assumptive positive.)
News on grandpa seemed good for the first week, his oxygen levels were good and lungs were working better everyday (excuse my ignorance if I’m wording any of this wrong). The updates everyday were “we’re going to try to lower the sedation tomorrow”. Then tomorrow would come and he still wasn’t ready... a week of this and I started to worry that maybe things weren’t as good as we’d thought. 
A few days ago I got the update that he still was doing about the same, but that in 3 days they would take him off of his ventilator regardless, since it’s not good to keep someone on for a long period of time as their organs will stop working (they were going to take him off at day 14).
Day 13... his kidneys started failing so they put him on dialysis.
It’s day 15 now. Still dialysis and ventilator (they’ve kept him on past the 14 days). Are they just going to take him off? Am I to lose hope now?
I feel so helpless. I can’t go to my grandma’s house and hug her and comfort her. She’s all alone, just dealt with fighting this horrible virus and is having to face the possibility of losing the love of her life. Not being able to hold him, only being able to talk through a phone to him while he’s in a coma. 
I feel so horrible for him, alone in a hospital. He can’t be touched by his family, just alone. I just want to go sit next to him and talk to him.
The only way I can relay messages to him is through grandma when she gets to talk through a phone in his ear.
I just feel so awful and helpless sitting at home, not being able to comfort either of them. I’m scared for both of them in different ways. 
I just don’t know what to do. This is breaking my heart.</t>
        </is>
      </c>
      <c r="D321" t="n">
        <v>1</v>
      </c>
      <c r="E321" t="n">
        <v>26</v>
      </c>
      <c r="F321">
        <f>HYPERLINK("https://www.reddit.com/r/COVID19positive/comments/fyvto9/feeling_helpless/")</f>
        <v/>
      </c>
      <c r="G321" t="inlineStr">
        <is>
          <t>2020-04-10 20:45:38</t>
        </is>
      </c>
      <c r="H321" t="inlineStr">
        <is>
          <t>Tested Positive - Family</t>
        </is>
      </c>
    </row>
    <row r="322">
      <c r="A322" t="inlineStr">
        <is>
          <t>fyzb1c</t>
        </is>
      </c>
      <c r="B322" t="inlineStr">
        <is>
          <t>Worried sick</t>
        </is>
      </c>
      <c r="C322" t="inlineStr">
        <is>
          <t>My fiancé is in hospital with the virus. He’s only just taken himself in three days ago. His lungs are in a bad way and he has clots. On Monday it’ll be three weeks since he first had the symptoms. I’m absolutely worried he’s said he can’t breathe and is in agony. He’s in his early thirties and has some minor heart condition ( still an underlying condition ). 
I’m absolutely terrified. 
I don’t know why I’m posting this or what I want from it I’m just so scared.</t>
        </is>
      </c>
      <c r="D322" t="n">
        <v>1</v>
      </c>
      <c r="E322" t="n">
        <v>16</v>
      </c>
      <c r="F322">
        <f>HYPERLINK("https://www.reddit.com/r/COVID19positive/comments/fyzb1c/worried_sick/")</f>
        <v/>
      </c>
      <c r="G322" t="inlineStr">
        <is>
          <t>2020-04-11 00:40:50</t>
        </is>
      </c>
      <c r="H322" t="inlineStr">
        <is>
          <t>Tested Positive - Family</t>
        </is>
      </c>
    </row>
    <row r="323">
      <c r="A323" t="inlineStr">
        <is>
          <t>fz0rix</t>
        </is>
      </c>
      <c r="B323" t="inlineStr">
        <is>
          <t>be positive</t>
        </is>
      </c>
      <c r="C323" t="inlineStr">
        <is>
          <t xml:space="preserve"> 
if it's your job to eat a frog, it's the best to do it first think in the morning. And if it's your job to eat two frogs, it's best to eat the biggest one first.
Does this apply to Corona virus COVID-19?</t>
        </is>
      </c>
      <c r="D323" t="n">
        <v>1</v>
      </c>
      <c r="E323" t="n">
        <v>2</v>
      </c>
      <c r="F323">
        <f>HYPERLINK("https://www.reddit.com/r/COVID19positive/comments/fz0rix/be_positive/")</f>
        <v/>
      </c>
      <c r="G323" t="inlineStr">
        <is>
          <t>2020-04-11 02:06:28</t>
        </is>
      </c>
      <c r="H323" t="inlineStr">
        <is>
          <t>Tested Positive - Friends</t>
        </is>
      </c>
    </row>
    <row r="324">
      <c r="A324" t="inlineStr">
        <is>
          <t>fz0ukf</t>
        </is>
      </c>
      <c r="B324" t="inlineStr">
        <is>
          <t>Covid presumed positive, 30s M, Breathing difficulties persisting for 3 weeks?</t>
        </is>
      </c>
      <c r="C324" t="inlineStr">
        <is>
          <t>Almost on wk 3 of this.  During the daytime, it almost feels like it's over except for some nasty fatigue.
At nights though, my breathing situation is unbearable.  Right now, I am gasping for breath and it never feels like enough air.  My pulse oximeter says 97% oxygen, normal pulse, temp, but I feel like I can't breathe.
No sore throat, minor pain in chest, no other symptoms.
Haven't been able to have a productive cough through this whole thing, and I can 'feel' stuff in my lungs.  I went to get an xray last week and there was a consolidation in my right lung, where I was feeling some stabbing pains.
This is by far the worst/scariest symptom, and it's been the most persistent.  It's also been tricky by going away mid-day and coming back at night.
Anyone else went through the same thing?  Recovered?  Still sick after more than a month?</t>
        </is>
      </c>
      <c r="D324" t="n">
        <v>1</v>
      </c>
      <c r="E324" t="n">
        <v>8</v>
      </c>
      <c r="F324">
        <f>HYPERLINK("https://www.reddit.com/r/COVID19positive/comments/fz0ukf/covid_presumed_positive_30s_m_breathing/")</f>
        <v/>
      </c>
      <c r="G324" t="inlineStr">
        <is>
          <t>2020-04-11 02:11:26</t>
        </is>
      </c>
      <c r="H324" t="inlineStr">
        <is>
          <t>Tested Positive - Me</t>
        </is>
      </c>
    </row>
    <row r="325">
      <c r="A325" t="inlineStr">
        <is>
          <t>fz2701</t>
        </is>
      </c>
      <c r="B325" t="inlineStr">
        <is>
          <t>Breastfeeding</t>
        </is>
      </c>
      <c r="C325" t="inlineStr">
        <is>
          <t>Tested positive Thurs afternoon, baby was fine until fever broke on Friday evening. I had been nursing the whole time, he's 4 1/2 months. Getting conflicting advice from doc/pediatrician to switch to formula. Anyone have experience with this? CDC website seems very clear to continue nursing.</t>
        </is>
      </c>
      <c r="D325" t="n">
        <v>1</v>
      </c>
      <c r="E325" t="n">
        <v>12</v>
      </c>
      <c r="F325">
        <f>HYPERLINK("https://www.reddit.com/r/COVID19positive/comments/fz2701/breastfeeding/")</f>
        <v/>
      </c>
      <c r="G325" t="inlineStr">
        <is>
          <t>2020-04-11 03:33:06</t>
        </is>
      </c>
      <c r="H325" t="inlineStr">
        <is>
          <t>Tested Positive - Me</t>
        </is>
      </c>
    </row>
    <row r="326">
      <c r="A326" t="inlineStr">
        <is>
          <t>fz6et0</t>
        </is>
      </c>
      <c r="B326" t="inlineStr">
        <is>
          <t>Dad [50yo] has been intubated for 10 days, has pneumonia, and his kidneys are starting to fail. Anyone with a similar experience?</t>
        </is>
      </c>
      <c r="C326" t="inlineStr">
        <is>
          <t>Hello all, 
For some background on my dad: he is 50 years old, overweight(borderline obese), does work that requires him to sit all day, has type 2 diabetes that hasn’t affected his day to day activities, and does physical labor occasionally. 
His current fight with COVID-19 is: he has pneumonia, heart rate occasionally gets higher than normal, he needs a ventilator at 100%, kidneys are stating to fail, lungs are doing worser by the day. 
I am currently really concerned for my dad who has been in the ICU for 10 days now. He is positive for COVID-19 and has developed pneumonia, leading to his difficulty in breathing and needing to be intubated. 
The doctors called daily to update us and we haven’t heard of any improvement. Instead, it seems like they are adding a new symptom everyday, such as a fever, high heart rate, and infection from a central line they added. At times, the fever and blood rate would subside, but his lungs haven’t gotten better. 
My question is: has anyone seen or experienced a similar story and how was the outcome? 
Also, has anyone heard of doctors performing the plasma/ blood transfusion procedure and if so, is it possible for us to ask the doctors to try that? 
I’m sorry if my post is formatted or done incorrectly. I am extremely worried for my dad and just wants him to do better and to get better. I miss him so much and all of my siblings haven’t been able to talk to him, nor did they know their last conversations with him might be their last.</t>
        </is>
      </c>
      <c r="D326" t="n">
        <v>1</v>
      </c>
      <c r="E326" t="n">
        <v>27</v>
      </c>
      <c r="F326">
        <f>HYPERLINK("https://www.reddit.com/r/COVID19positive/comments/fz6et0/dad_50yo_has_been_intubated_for_10_days_has/")</f>
        <v/>
      </c>
      <c r="G326" t="inlineStr">
        <is>
          <t>2020-04-11 07:31:38</t>
        </is>
      </c>
      <c r="H326" t="inlineStr">
        <is>
          <t>Tested Positive - Family</t>
        </is>
      </c>
    </row>
    <row r="327">
      <c r="A327" t="inlineStr">
        <is>
          <t>fz6fs8</t>
        </is>
      </c>
      <c r="B327" t="inlineStr">
        <is>
          <t>My 77 year old grandma died alone today</t>
        </is>
      </c>
      <c r="C327" t="inlineStr">
        <is>
          <t>She came to the er yesterday with stomach pain and quickly went into respiratory failure..she was intubated and sent to another hospital. Last night they were unable to stabilize her blood pressure and her kidneys were failing. We made the decision to withdraw care rather than put her through dialysis.
Covid results are still pending. She had copd. 
She had to die alone because she was a presumptive positive ..I had to say goodbye over the phone 
Idk what we are going to do for funeral arrangements</t>
        </is>
      </c>
      <c r="D327" t="n">
        <v>1</v>
      </c>
      <c r="E327" t="n">
        <v>77</v>
      </c>
      <c r="F327">
        <f>HYPERLINK("https://www.reddit.com/r/COVID19positive/comments/fz6fs8/my_77_year_old_grandma_died_alone_today/")</f>
        <v/>
      </c>
      <c r="G327" t="inlineStr">
        <is>
          <t>2020-04-11 07:33:12</t>
        </is>
      </c>
      <c r="H327" t="inlineStr">
        <is>
          <t>Tested Positive - Family</t>
        </is>
      </c>
    </row>
    <row r="328">
      <c r="A328" t="inlineStr">
        <is>
          <t>fz7x3o</t>
        </is>
      </c>
      <c r="B328" t="inlineStr">
        <is>
          <t>35M - Covid Presume Positive - Diary experience</t>
        </is>
      </c>
      <c r="C328" t="inlineStr">
        <is>
          <t>There's a lot of anxiety around Covid19, naturally.
I had a presumed positive case a couple weeks ago and wanted to share the experience as I too found comfort and solidarity reading reports of experiences from others at the time so I want to give back, I wrote this at the time for my own tracking and have since edited for clarity.
ME: 70kg, 6ft2, healthy, excellent diet.
**21/March, Saturday.**
* I woke with a dry sore throat, mild, like I'd slept with my mouth open all night scratchy dry feeling. No major pain.
* Throat did not relent all day however did not get worse.
* Mild runny nose - Important distinction, I had NO congestion, no sinus issues. Just running nose.
* Dry cough, not constant, not painful. Every couple hours.
* Was conscious of symptoms but not *alarmed*.
**22/March, Sunday.**
*Meds/supplements*
* Consumed 1g of high grade vit c
* Good quality Probiotic
*Symptoms diary*
* Nose same but rhinitis is slightly less. Not stuffy.
* Slightly Wheezy, polyphonic on expiration
* Feel short of breath - mild
* Cleaned the car, wasn’t difficult but kept feeling like I’d run flat out for a few minutes in terms of breathing, short bouts of work or moving had me stopping to catch breath, not alarming but felt like you do when you do a quick sprint then stop.
* Lightest work makes me breathless.
* Slight tightness in upper chest
* Afternoon temp 99.3 but feeling slight chills.
* Headache - frontal, constant.
* Dry cough remained - no progression. Non painful.
Evening temp registered borderline Low Grade Fever (LGF) at
* 18:00hrs of 100.4 F
* 19:00hrs 100.2
Not taking pain meds for headache as wanted to avoid anti-pyrexic effect and conscious that early onset fever can be beneficial in immune response so want to push through fever under my own steam.
21:00hrs - Temp  dropped and remained steady at 99.5 rest of the evening.
**23/March, Monday**
*Meds/supplements*
* 1 gram of vit c
* 20ug vit d
* Probiotic
*Symptom diary.*
* Woke 03:00 and had to take paracetamol as LGF fever subsided but now wanted release from constant headache
* Slightly Wheezy, polyphonic on expiration
* 07:30 - no fever but nose slightly stuffy, noticeably but not normal cold levels. No sinus congestion.
* 07:30 - took 100mg chloroquine to see if compatible. (want to test I was compatible whilst symptoms mild in case of worse case scenario and hospitals being overwhelmed, I',m not recommending anyone follow my lead, I'm simply sharing my experience)
* Temp remained around 99.9 to 100.2 for most of the day.
* 15:50 - Loose bowel movement &amp;amp; slight nausea - mild
* 18:35 - Tinnitus
* Shortness of breath seemed better.
* Dry cough remained - no progression. Non painful.
Notes: Could not rule out loose bowel/nausea as just a side effect of Chloroquine dosage earlier in the day, it’s a documented SE.
**24/March, Tuesday**
*Meds/supplements*
* 2gram vit c
* Probiotic
* 30ug vit d
* Slight rhinitis, no congestion
* Shortness of breath apparent again today.
* Temp around 99.1 to 100
* Wheezing on expiration reduced, less present, now monophonic
* Slight sore throat still
* No loose bowel
* No nausea
* Dry cough remained - no progression. Non painful.
Then symptoms remained mild and up and down till **28/March** so I will not verbose each day in between then the 28th here as it's more of the same.
**28/03**
* Temp okay at all measured times
* Feeling a bit rougher today, slight dull head ache, flushed feeling, minor chills, mild burning sensation in throat, increased rhinitis, general malaise. Breathlessness back - but mild.
General points overall
* lack of appetite during the later stages, lack of taste either contributed or directly led to lack of appetite - just did not feel like eating.
* Tinnitus
**And that was that. Notable points were:**
The fluctuation of symptoms day by day, hour by hour. I'd wake one morning in the later stages and think great, feel completely fine today, no symptoms of anything, then PM I 'd feel rough again and feeling like I was back to day 3 again.
Once the low grade fever went the fever never returned.
Symptoms noticeably bounced back on day 7 but then tailed off again quite rapidly.
The dry cough for me felt like it came from the throat rather than the lungs. Consistently dry, non painful.
My experience, was very mild, every proper cold I've had has felt worse in terms of overall symptoms **BUT with one exception!** that shortness of breath was in a word..scary. I've never had that with a cold/flu. I just felt like I couldn't catch my breath, even just walking up the stairs on days 1, 2 and 3 were most pronounced. I truly got a sense of how this could turn bad QUICK for people.
One more thing I think is worthy of mentioning;
About 10 days prior the 21/March I had general malaise for about 5 days, a couple days of a really bad headache and I was sleeping easy 12 hours a night without trying, would have slept more if I didn't have to wake for commitments in the morning, it was bizarre. and came out of no-where, then disappeared. Then roll round couple weeks later onto 21st March and I get the above.
In terms of symptoms this was definitely the strangest illness I've experienced.
I work in an office where I have since learnt there was a couple TESTED CONFIRMED cases, including people within the teams I directly manage and sit close proximity to on the same open plan desk, so odds are this was Covid but I obviously have not been able to confirm via testing.
Stay safe and I hope this helps. Any questions please let me know though I won't be giving out advice beyond general common sense health and well-being.</t>
        </is>
      </c>
      <c r="D328" t="n">
        <v>2</v>
      </c>
      <c r="E328" t="n">
        <v>28</v>
      </c>
      <c r="F328">
        <f>HYPERLINK("https://www.reddit.com/r/COVID19positive/comments/fz7x3o/35m_covid_presume_positive_diary_experience/")</f>
        <v/>
      </c>
      <c r="G328" t="inlineStr">
        <is>
          <t>2020-04-11 08:46:47</t>
        </is>
      </c>
      <c r="H328" t="inlineStr">
        <is>
          <t>Tested Positive - Me</t>
        </is>
      </c>
    </row>
    <row r="329">
      <c r="A329" t="inlineStr">
        <is>
          <t>fz9l8n</t>
        </is>
      </c>
      <c r="B329" t="inlineStr">
        <is>
          <t>Anyone covid + and dealing with discrimination?</t>
        </is>
      </c>
      <c r="C329" t="inlineStr">
        <is>
          <t>My husband is positive, everyone in our community knows it. We are currently under quarantine as he recovers.
Our postman will put mail in our mailbox every day but won't take my outgoing mail out. I have bills that have been sitting in my mailbox for four days. We have a different carrier on Saturdays and I'm hoping that person will be willing to take our mail today.
Our health department called us because someone reported seeing my husband at a local store, which was blatantly false, we haven't gone anywhere.
I have an adult step child who does not live with us but lives in our community. He has not been around us at all through all of this. He goes to town periodically to pick up groceries, etc. for his family and some extended high risk relatives we have. He's using curbside pickup, practicing social distancing, etc. just like everyone else here, but he's had a couple of people he's seen while out, chastise him for not being completely quarantined like we are.</t>
        </is>
      </c>
      <c r="D329" t="n">
        <v>4</v>
      </c>
      <c r="E329" t="n">
        <v>22</v>
      </c>
      <c r="F329">
        <f>HYPERLINK("https://www.reddit.com/r/COVID19positive/comments/fz9l8n/anyone_covid_and_dealing_with_discrimination/")</f>
        <v/>
      </c>
      <c r="G329" t="inlineStr">
        <is>
          <t>2020-04-11 09:59:33</t>
        </is>
      </c>
      <c r="H329" t="inlineStr">
        <is>
          <t>Tested Positive - Family</t>
        </is>
      </c>
    </row>
    <row r="330">
      <c r="A330" t="inlineStr">
        <is>
          <t>fzlhy6</t>
        </is>
      </c>
      <c r="B330" t="inlineStr">
        <is>
          <t>25y/o female list of symptoms/O+/presumed positive by doctor</t>
        </is>
      </c>
      <c r="C330" t="inlineStr">
        <is>
          <t>No test, but diagnosed with covid19 over telehealth portal. 
Pre-day 1 - a cough? I wasn't recording symptoms, but my roommate would call me out for coughing sometimes. 
Day 1 - I woke up feeling just kind of sick, maybe sniffly. Feeling like I might have a cough. Exhausted, hard to wake up. Pressure in chest.
Day 2 - Same as day before - tired, weak. NO smell, NO taste, not much appetite. Pressure in chest. 
Day 3 - No smell, no taste (at all! Felt like congestion, but nothing in my nose if I blew it. No relief with steam/shower). Pressure in chest increased. 
Day 4 - Still sickly, tired. No smell. Felt a little better than previous days, thought I was better. Still some chest pressure. 
Day 5 - same as day before. 
Day 6 -  thought maybe I could smell a little bit. Maybe feeling better, but just not right. Still chest pressure. 
Day 7 - Still sick (more than the previous days), but ok. Exhausted. Had a headache so I took tylenol and became nauseous (might be related, might not). Pressure in chest and coughed a little bit. Nose was actually a little runny, where it hadn't been before. Went on a walk and was exhausted after. Smell is back, chest pressure continued to grow. 
Day 8 - Still feel sick in nose, pressure in chest, exhausted, smell not perfect. 
Day 9 - Exhausted, sickly...more energy in body, but so, so tired. Chest pressure (pain, even!)
Day 10 - woke up and couldn't smell. After a little bit, smell was back, but still a little sickly. Woke up because my stomach hurt
Day 11 - bit of a sore throat, maybe unrelated. 
Day 12 (3/29) - considered myself better
During this whole time, was having on and off gastro issues AND I don't know about my temperature because I couldn't get a thermometer in New York. Also on and off headaches. 
It's now been two full weeks since last symptoms and I'm still easily exhausted and now have some phlegm, but generally fine and healthy.</t>
        </is>
      </c>
      <c r="D330" t="n">
        <v>13</v>
      </c>
      <c r="E330" t="n">
        <v>24</v>
      </c>
      <c r="F330">
        <f>HYPERLINK("https://www.reddit.com/r/COVID19positive/comments/fzlhy6/25yo_female_list_of_symptomsopresumed_positive_by/")</f>
        <v/>
      </c>
      <c r="G330" t="inlineStr">
        <is>
          <t>2020-04-11 16:29:08</t>
        </is>
      </c>
      <c r="H330" t="inlineStr">
        <is>
          <t>Tested Positive</t>
        </is>
      </c>
    </row>
    <row r="331">
      <c r="A331" t="inlineStr">
        <is>
          <t>fzmm92</t>
        </is>
      </c>
      <c r="B331" t="inlineStr">
        <is>
          <t>Still in the hospital testing positive...</t>
        </is>
      </c>
      <c r="C331" t="inlineStr">
        <is>
          <t>My bf tested positive 21st March and discharged 9th April. 
I tested positive 24th March and my last swab yesterday was still positive. I have been one the mile cases (fever for a day, cough and loss of smell and taste which has returned 100%). I really am losing hope and don’t know when I’ll be able to come out of the hospital. I feel 100% fine but why am I still testing positive? When will I be able to go back home?
I need to add that in my country every case is hospitalised no matter mild of severe. Which is amazing.</t>
        </is>
      </c>
      <c r="D331" t="n">
        <v>28</v>
      </c>
      <c r="E331" t="n">
        <v>47</v>
      </c>
      <c r="F331">
        <f>HYPERLINK("https://www.reddit.com/r/COVID19positive/comments/fzmm92/still_in_the_hospital_testing_positive/")</f>
        <v/>
      </c>
      <c r="G331" t="inlineStr">
        <is>
          <t>2020-04-11 17:36:58</t>
        </is>
      </c>
      <c r="H331" t="inlineStr">
        <is>
          <t>Tested Positive - Me</t>
        </is>
      </c>
    </row>
    <row r="332">
      <c r="A332" t="inlineStr">
        <is>
          <t>fznizk</t>
        </is>
      </c>
      <c r="B332" t="inlineStr">
        <is>
          <t>WHOOP fitness wristband has given me anxiety relief through all of this.</t>
        </is>
      </c>
      <c r="C332" t="inlineStr">
        <is>
          <t>(25F, Pacific Beach, San Diego, Blood type 0+, light smoker, quit juul last year.)
I’m one of those people who believe that San Diego / LA / The Bay has been exposed to covid far earlier than what people are saying.
I got pretty sick in December, bad cough that was persistent until February, fever on and off, rapid heart rate (thought it was anxiety), no appetite and  loss of taste for a few weeks in Jan. 
I also was coughing up the weirdest shit. Small clear gel balls. No idea what that was and my doctor didn’t say anything when I told him about it. 
In 10th grade I had H1N1 (the sickest I’ve ever been in my whole damn life), and during that event I developed mouth ulcers that were shedding skin if that makes sense. My doctor was floored, but they healed and never returned after. Until late February. I believe this virus may be like H1N1 (In my body at least), because I developed - smaller than last time - mouth ulcers that, again, shed. I’d like to hear from someone with the same experience if there is one.
I have friends who worked for Southwest Airlines who were sick in January also.
We all went to bear and mammoth to snowboard during these times too, so I could have been spreading whatever without knowing what it was.
Anyway, I’m just NOW feeling better. Still tired but no more sharp chest pains or nausea or fever.
If I did have covid, and I’m sure I did, I want everyone to know this is a LONG road. Three months in all for me.
Last month I was really worried about what was happening to me - I just didn’t feel right. I’m very active and always doing something so feeling tired was off for me. My rapid heart rate had my anxiety GOING &amp;amp;I felt like I was having a panic attack a few times reading the news.
I ordered a WHOOP fitness tracker - first month is free - and I can actively track my resting heart rate, HRV, sleep, respiratory rate.
WHOOP also has a journal entry for covid -19 so they can log your symptoms to better understand what’s happening to those affected.
I’m not saying you need to buy it, but keeping track of all my vitals has really allowed me to lower my anxiety about the situation and I’ve been able to focus on normal life again.
.
Also - while I’m here - I hope everyone gets through this and PREPARES for the next virus to hit ten years from now. Don’t doubt history’s teachings.</t>
        </is>
      </c>
      <c r="D332" t="n">
        <v>0</v>
      </c>
      <c r="E332" t="n">
        <v>10</v>
      </c>
      <c r="F332">
        <f>HYPERLINK("https://www.reddit.com/r/COVID19positive/comments/fznizk/whoop_fitness_wristband_has_given_me_anxiety/")</f>
        <v/>
      </c>
      <c r="G332" t="inlineStr">
        <is>
          <t>2020-04-11 18:34:45</t>
        </is>
      </c>
      <c r="H332" t="inlineStr">
        <is>
          <t>Tested Positive - Me</t>
        </is>
      </c>
    </row>
    <row r="333">
      <c r="A333" t="inlineStr">
        <is>
          <t>fznjpl</t>
        </is>
      </c>
      <c r="B333" t="inlineStr">
        <is>
          <t>The Day 30 Regression</t>
        </is>
      </c>
      <c r="C333" t="inlineStr">
        <is>
          <t>I wanted to make a post about this because it seems common enough, and I don't see it discussed much. Probably because not many people have made it to the 30 day mark yet.
Long story short, I'm 32M, no health issues, normal weight, but a lazy lifestyle. I had classic symptoms sans cough, diagnosed presumed positive starting 3/10. Mostly recovered by day 14, feeling 100% by day 18 (3/28). 
Fast forward to day 28(4/7). Feeling fine until just after lunch I get slapped with a tipsy drunk feeling and really heavy fatigue. It's unmistakably a sick feeling. Slight aches here and there too. I'm at work and stick it out for the rest of the day (no worries, only 2 other people in building). Afterwards the sick feeling starts fading away, then coming back strong, then fading, coming back. Almost on like a 30 minute/1 hour cycle.
Day 29, feeling better upon waking up, but sleep cut short by trouble sleeping.Brush off yesterday's feelings. But then feeling sick again an hour into work. Throat feeling a bit soar with a little tickle, lungs a little heavy. By lunch feeling better again, although not much appetite. Then feeling worse again later. Pretty much this "sick/not sick" cycle continues. Decide I'm not gonna do anything drastic unless a fever develops.
Day 30, overall feeling better than the day before. Sick/not sick cycle continues all day but less pronounced. Throat feeling real sore in the evening and light chest pressure. Still no fever.
Day 31, Very distant feelings of sick. Take a long call in the morning and throat/lungs getting worn out quick by talking. Appetite mostly back for lunch. By nighttime I'm eating a full dinner and feel almost totally back to normal.
Day 32 (today), some minor throat irritation, but lungs/chest feel fine. No sick feelings and appetite is back. I'm hoping this is it.
I'm looking for others who have experienced something similar to this.</t>
        </is>
      </c>
      <c r="D333" t="n">
        <v>21</v>
      </c>
      <c r="E333" t="n">
        <v>54</v>
      </c>
      <c r="F333">
        <f>HYPERLINK("https://www.reddit.com/r/COVID19positive/comments/fznjpl/the_day_30_regression/")</f>
        <v/>
      </c>
      <c r="G333" t="inlineStr">
        <is>
          <t>2020-04-11 18:36:08</t>
        </is>
      </c>
      <c r="H333" t="inlineStr">
        <is>
          <t>Tested Positive - Me</t>
        </is>
      </c>
    </row>
    <row r="334">
      <c r="A334" t="inlineStr">
        <is>
          <t>fzny6o</t>
        </is>
      </c>
      <c r="B334" t="inlineStr">
        <is>
          <t>3 Weeks of Mild Symptoms - just tested positive</t>
        </is>
      </c>
      <c r="C334" t="inlineStr">
        <is>
          <t>Hi y'all,
Burner account but wanted to share my details in case they could be helpful for others -- this sub was an excellent resource for me in the do-I-have-it-or-not weeks before I could be tested! Me: 30s F, good health/no underlying issues, California.
I got my first symptoms 3.5 weeks ago -- a sudden sore throat &amp;amp; cough. Those lasted a day.
Day 1-8: fatigue, sneezing, generally feeling "off." Family was convinced I didn't have it, but I assumed I did. Or did I?? I talked myself in &amp;amp; out of having it every day. Without a fever/cough/shortness of breath, I thought I might just be paranoid. 
Day 8: Sudden &amp;amp; complete lack of smell. Well, shit. Immediately self-isolated and waited for things to change -- I didn't meet the testing criteria in my state, and I didn't want to take a test away from someone who needed it during a shortage (thanks, federal govt).  
Days 9 - today (day 24) have been a combination of fatigue, nausea, muscle aches and a continued lack of smell and most taste. Annoying but mild, so I'm counting my blessings. 
I finally qualified for a test on Day 22, and when I got my results on Day 23, my doctor said he was surprised that I could test positive after 3 weeks of such mild symptoms. Me too! But I'm grateful for the clarity and especially that I could be tested in my state, when so many Americans still can't. 
Good luck to everyone still wondering out there -- and tell any of your friends or family that even if they quarantined for 14 days, that still may not be enough to clear the virus. I was also under the mistaken impression that positive = antibodies = immunity (hooray!), and have now learned that not all antibodies are immunity-antibodies. Super. Hang in there everyone 💪</t>
        </is>
      </c>
      <c r="D334" t="n">
        <v>228</v>
      </c>
      <c r="E334" t="n">
        <v>93</v>
      </c>
      <c r="F334">
        <f>HYPERLINK("https://www.reddit.com/r/COVID19positive/comments/fzny6o/3_weeks_of_mild_symptoms_just_tested_positive/")</f>
        <v/>
      </c>
      <c r="G334" t="inlineStr">
        <is>
          <t>2020-04-11 19:02:58</t>
        </is>
      </c>
      <c r="H334" t="inlineStr">
        <is>
          <t>Tested Positive - Me</t>
        </is>
      </c>
    </row>
    <row r="335">
      <c r="A335" t="inlineStr">
        <is>
          <t>fzprrm</t>
        </is>
      </c>
      <c r="B335" t="inlineStr">
        <is>
          <t>COVID-19 and Mono at the same time</t>
        </is>
      </c>
      <c r="C335" t="inlineStr">
        <is>
          <t>3 weeks ago I was tested for COVID. I went into isolation and was told I would receive the results in 5 days (HA!). After I got tested I developed severe flu like symptoms (acheyness, fever, bedridden) accompanied by sever cold like symptoms. I couldn’t taste or smell. This went on for about a week. A week after I was tested I was feeling a bit better but still exhausted. Still no COVID results. 9 days after being tested I took a turn for the worst and ended up in the hospital to be rehydrated. I was treated as a presumed positive, took a bunch of tests, another COVID test, and was rehydrated and went home that day. They tested me for mono and it was negative. The following day I developed a SEVERE sore throat to accompany all my other symptoms. The next day I got both my COVID test results (TWELVE DAY WAIT and then the one from the hospital) Both negative. Over the following week I was struggling, I was in the worst shape of my life. Getting food or water down was an impossible feat. My throat was unreal, I was completey congested, I had pneumonia in my chest and was coughing all the time, and was dehydrated and hungry. I was on steroids, Tylenol and a painkiller. I also used Lidocaine daily. Nothing helped but the lidocaine. This was a miserable week. After this week went by, I was still in severe throat pain and was feeling all the symptoms. My doctor recommended I get checked out by an ENT at the hospital. They ended up admitting me because I was unable to eat or drink due to the throat pain. I have been in the hospital for 5 days now. I have taken a total of 5 COVID tests, 3 negative and 2 positive. I also tested positive for mono when I got admitted to the hospital. I’m recovering and the only symptom I have now is my throat pain.
I’ve lost almost 30 pounds during this almost 4 week ordeal. I haven’t been able to smell or taste for 2.5 weeks. I ate for the first time today in two weeks. The doctors were clueless on how to handle my case because the testing was so inconsistent and it didn’t make sense. 
I hope no one on the planet has to go thru what I have. The sore throat I’ve had for two weeks is the worst pain I’ve ever experienced in my entire life. I’m hopeful I will be healthy in the next few days. Please be grateful for your health. 
TLDR:
Thought I had COVID, didn’t find out I was negative for 12 days. Condition got worse and went to hospital, tested negative again. Got worse again and developed worst sore throat of my life. Admitted to hospital and tested positive for COVID and Mono.</t>
        </is>
      </c>
      <c r="D335" t="n">
        <v>10</v>
      </c>
      <c r="E335" t="n">
        <v>15</v>
      </c>
      <c r="F335">
        <f>HYPERLINK("https://www.reddit.com/r/COVID19positive/comments/fzprrm/covid19_and_mono_at_the_same_time/")</f>
        <v/>
      </c>
      <c r="G335" t="inlineStr">
        <is>
          <t>2020-04-11 21:08:49</t>
        </is>
      </c>
      <c r="H335" t="inlineStr">
        <is>
          <t>Tested Positive - Me</t>
        </is>
      </c>
    </row>
    <row r="336">
      <c r="A336" t="inlineStr">
        <is>
          <t>fzrtmj</t>
        </is>
      </c>
      <c r="B336" t="inlineStr">
        <is>
          <t>I think the worst part about this outside of the severe complications it can have is the waves it comes in.</t>
        </is>
      </c>
      <c r="C336" t="inlineStr">
        <is>
          <t>30-f- Day 9 for me for anyone who wants to know. 
I still have my sense of taste and smell. I never lost it but I do have the exhaustion, GI upset, headaches, and trouble breathing. 
Yesterday I felt so much better and thought I was finally going to make it out of here, but today the headache is back the body aches exhaustion, anxiety, all of it. 
I just feel like screaming into the void for it to leave me alone.</t>
        </is>
      </c>
      <c r="D336" t="n">
        <v>2</v>
      </c>
      <c r="E336" t="n">
        <v>11</v>
      </c>
      <c r="F336">
        <f>HYPERLINK("https://www.reddit.com/r/COVID19positive/comments/fzrtmj/i_think_the_worst_part_about_this_outside_of_the/")</f>
        <v/>
      </c>
      <c r="G336" t="inlineStr">
        <is>
          <t>2020-04-11 23:46:47</t>
        </is>
      </c>
      <c r="H336" t="inlineStr">
        <is>
          <t>Tested Positive</t>
        </is>
      </c>
    </row>
    <row r="337">
      <c r="A337" t="inlineStr">
        <is>
          <t>fzryxv</t>
        </is>
      </c>
      <c r="B337" t="inlineStr">
        <is>
          <t>Does my dad have a chance?</t>
        </is>
      </c>
      <c r="C337" t="inlineStr">
        <is>
          <t>My 68 year old dad was admitted into the hospital on March 19. He was coughing so hard his back started to hurt. A few days later his test came back positive for covid 19. His oxygen levels were so low they had to put him on a ventilator. I’m not sure exactly when he was put on a ventilator but he is still on it and he has been for over 2 weeks now. His condition is currently stable and has good oxygen levels, but I keep hearing that the longer someone needs to stay on a ventilator, the less likely they are to survive. I am losing hope and becoming more and more worried. They are having trouble weening him off, because when they try to wake him up he panics and his heart rate increases, and have to sedate him again. I am losing hope that he will ever be able to get off the ventilator. The last resort would be a tracheotomy, which I hear people do recover from. Please pray for my father.  I saw him yesterday on a video call with the tubes and just a wave of sadness came over me, but I was happy to see him.</t>
        </is>
      </c>
      <c r="D337" t="n">
        <v>57</v>
      </c>
      <c r="E337" t="n">
        <v>61</v>
      </c>
      <c r="F337">
        <f>HYPERLINK("https://www.reddit.com/r/COVID19positive/comments/fzryxv/does_my_dad_have_a_chance/")</f>
        <v/>
      </c>
      <c r="G337" t="inlineStr">
        <is>
          <t>2020-04-11 23:58:41</t>
        </is>
      </c>
      <c r="H337" t="inlineStr">
        <is>
          <t>Tested Positive - Family</t>
        </is>
      </c>
    </row>
    <row r="338">
      <c r="A338" t="inlineStr">
        <is>
          <t>fzsln8</t>
        </is>
      </c>
      <c r="B338" t="inlineStr">
        <is>
          <t>Day 23 with fever - is early false negative possible?</t>
        </is>
      </c>
      <c r="C338" t="inlineStr">
        <is>
          <t>Going on 23 days of fever, cough, chest pressure and now new symptom of 2 days is a severe headache.  1st test at day 2 of symptoms was negative.  Treated presumptive due to contact with positive family members.  Dr. ordered 2nd test yesterday and awaiting results.  Is it possible for an early test to be falsely negative??</t>
        </is>
      </c>
      <c r="D338" t="n">
        <v>1</v>
      </c>
      <c r="E338" t="n">
        <v>5</v>
      </c>
      <c r="F338">
        <f>HYPERLINK("https://www.reddit.com/r/COVID19positive/comments/fzsln8/day_23_with_fever_is_early_false_negative_possible/")</f>
        <v/>
      </c>
      <c r="G338" t="inlineStr">
        <is>
          <t>2020-04-12 00:49:49</t>
        </is>
      </c>
      <c r="H338" t="inlineStr">
        <is>
          <t>Tested Positive - Family</t>
        </is>
      </c>
    </row>
    <row r="339">
      <c r="A339" t="inlineStr">
        <is>
          <t>fzxfa8</t>
        </is>
      </c>
      <c r="B339" t="inlineStr">
        <is>
          <t>My partner is a nurse and tested positive for covid19</t>
        </is>
      </c>
      <c r="C339" t="inlineStr">
        <is>
          <t>Hi all, - first time poster.
My fiance is a nurse working for the NHS in the community. (28 F) 
She recently visited a patient who later tested positive for covid19. 4 days after the visit (last Wednesday) she developed a slight cough which has since turned into what she described as a 'bad cold' (runny /blocked nose, ear ache, persistent cough, loss of taste and smell)
We isolated immediately and she was tested yesterday (nasal/throat swab)
Phone call received this morning to say she has tested positive for covid19.
So far no temperature/fever. We are keeping our distance as best we can by sleeping in seperate rooms and not co-habiting shared spaces, i.e living room or kitchen, at the same time. As yet I'm not displaying any symptoms. 
Anyone else that has tested positive had a similar experience with symptoms? If so how did it progress?</t>
        </is>
      </c>
      <c r="D339" t="n">
        <v>18</v>
      </c>
      <c r="E339" t="n">
        <v>8</v>
      </c>
      <c r="F339">
        <f>HYPERLINK("https://www.reddit.com/r/COVID19positive/comments/fzxfa8/my_partner_is_a_nurse_and_tested_positive_for/")</f>
        <v/>
      </c>
      <c r="G339" t="inlineStr">
        <is>
          <t>2020-04-12 07:13:52</t>
        </is>
      </c>
      <c r="H339" t="inlineStr">
        <is>
          <t>Tested Positive - Family</t>
        </is>
      </c>
    </row>
    <row r="340">
      <c r="A340" t="inlineStr">
        <is>
          <t>fzxis3</t>
        </is>
      </c>
      <c r="B340" t="inlineStr">
        <is>
          <t>Day 5 questions</t>
        </is>
      </c>
      <c r="C340" t="inlineStr">
        <is>
          <t>Hello! I tested on Friday after 3 days of symptoms, throwing up, diarrhea, fever and tightness of chest. I am now on day 5 and my fever is gone as of last night. Throughout this whole experience, I have maintained a tight chest and ever so slight wheezing at night. Despite the fever being gone and feeling relatively better, my lungs are scaring me a tad bit. I’m not sure if the fever being gone so early is good or bad since I still have tightness of the chest and slight shortness of breath (harder to get that last 10% of air in my lungs) I would appreciate more than you know if anyone who has been through this to shed some info. Thank you so much, god bless all of you fighting.</t>
        </is>
      </c>
      <c r="D340" t="n">
        <v>2</v>
      </c>
      <c r="E340" t="n">
        <v>7</v>
      </c>
      <c r="F340">
        <f>HYPERLINK("https://www.reddit.com/r/COVID19positive/comments/fzxis3/day_5_questions/")</f>
        <v/>
      </c>
      <c r="G340" t="inlineStr">
        <is>
          <t>2020-04-12 07:19:59</t>
        </is>
      </c>
      <c r="H340" t="inlineStr">
        <is>
          <t>Tested Positive</t>
        </is>
      </c>
    </row>
    <row r="341">
      <c r="A341" t="inlineStr">
        <is>
          <t>fzyljx</t>
        </is>
      </c>
      <c r="B341" t="inlineStr">
        <is>
          <t>28F hospital worker who spent 5 hours in the ED yesterday- here’s my progression</t>
        </is>
      </c>
      <c r="C341" t="inlineStr">
        <is>
          <t>I’m 28 years old, O+, BMI of 32 and no significant past medical history except for asthma as a child but I haven’t needed an inhaler in over 15 years. Live in NYC and work in a hospital with a lot of COVID cases.
Day 1: Worked a 12 hour shift and felt totally fine just a little tired which is normal for me because I don’t get enough sleep. Came home and immediately laid down I felt so fatigued, and then developed severe chills. Put on three blankets and then took my temperature which was 99.9.
Day 2: Woke up covered in sweat which had soaked the sheets, I actually thought my dog had peed the bed or something before realizing it was me sweating. Had a sinus type headache all day but my fever was gone now (98.7). Rested all day since I was off work
Day 3: Went to work hoping to be sent home by employee health, but as my temperature was normal and I didn’t have any symptoms at the time they told me to work. Worked 12 hour shift in the office (so luckily only interacted with 3 people) with just a headache. Then again when I got home from work the chills started again- my core and head felt very warm but hands and feet were freezing. Temp 99.2
Day 4: Woke up drenched in cold sweat again, felt like something in my throat was making my airway slightly smaller. Coughed up some greenish yellow mucous in the morning. Temp stayed around 97.9 all day.
Day 5: Woke up again drenched in sweat, had some weird fever dreams where I spoke to my dead grandma. Felt like I was never fully sleeping or awake overnight. Mild cough started but taking a hot shower helped with that. As usual temperature was pretty good until the afternoon, where it shot up to 100.4 with chills. Took some mucinex and acetaminophen. 
Day 6: Couldn’t sleep all night, cough worsening and called out of work and told them I’m very sure I have the coronavirus. My boss told me to come to the hospital to get tested. Showed up and my vitals were temp 99.6, blood pressure 140/88, and heart rate 130bpm (!!!). They swabbed me and then sent me to the ED for more testing because of my high heart rate. Spent 5 hours in the ED and got an EKG, chest x-ray, CT angio with contrast, blood tests and urine test. I will put all the results at the end of the post but basically they told me my CT showed pneumonia in all lines of my lungs so they are very confident I have coronavirus. Was told to self isolate at home, no meds prescribed.
Day 7: Woke up three times in the night with diarrhea. Able to control my temperature better by waking up in the middle of the night to take more acetaminophen. Morning temp (after meds) 98.3. Ordered a bunch of supplies on amazon but they won’t come for a few days which stinks (nebulizer, Imodium for diarrhea). Gonna organize a telehealth meeting with my primary doctor later today hopefully to get like a z-pack or inhaler or something.
**My test results:**
-Chest X-ray was totally normal
-EKG was normal
-Bloodwork mostly normal except for low CO2, very high CRP, and low auto lymph. 
-CT angio chest: “ Large ground-glass opacity with interlobular septal thickening ("crazy paving") in the medial right lower lobe, with some areas of consolidation, and multiple additional ground-glass nodules scattered throughout the lungs, right lung greater than left. These represent commonly reported imaging features of COVID-19 pneumonia. Please note other infectious and inflammatory processes can cause a similar imaging pattern.“</t>
        </is>
      </c>
      <c r="D341" t="n">
        <v>219</v>
      </c>
      <c r="E341" t="n">
        <v>93</v>
      </c>
      <c r="F341">
        <f>HYPERLINK("https://www.reddit.com/r/COVID19positive/comments/fzyljx/28f_hospital_worker_who_spent_5_hours_in_the_ed/")</f>
        <v/>
      </c>
      <c r="G341" t="inlineStr">
        <is>
          <t>2020-04-12 08:24:31</t>
        </is>
      </c>
      <c r="H341" t="inlineStr">
        <is>
          <t>Tested Positive - Me</t>
        </is>
      </c>
    </row>
    <row r="342">
      <c r="A342" t="inlineStr">
        <is>
          <t>fzzde9</t>
        </is>
      </c>
      <c r="B342" t="inlineStr">
        <is>
          <t>Baby with presumptive positive</t>
        </is>
      </c>
      <c r="C342" t="inlineStr">
        <is>
          <t>So I posted yesterday but hoping to hear from anyone who also a positive baby - either presumptive or officially tested??
I saw symptoms on Monday. They improved by Thursday but had to get tested for work. Received positive result on Friday morning.
4 1/2 month old had some nasal stuffiness for a couple weeks. His 4 month vaccinations were last Wednesday 4/1 and he had been stuffy for a couple days before. No fever at that point.
Sunday 4/5 dad gets mild symptoms of sore throat. Attributes to allergies. Monday 4/6 I get mild sore throat.
Tues 4/7 husband feels 7/10 better. I have a headache and all over fatigue by afternoon 
Wed 4/8 we both feel better but stuffy
Thurs 4/9 I get tested and get positive results 4/10. Husband is 100%, I'm 90% just lotsa mucus. Around 6/7pm baby gets lethargic and has 101 fever. Fever all through the night with Tylenol every 4 hrs and baths every 2 hours per the pediatrician office.
4/11 am pediatrian office suggests going to children's hospital ER due to respiration rate. We go in and all his vitals fortunately check out ok and we go home. He's a sleepy baby all day but temp is ok then at night it elevated again.
Today, 4/12: Still slight fever, and we. Are. Exhausted. I feel like my congestion/throat may be getting worse again but may just be lack of sleep?</t>
        </is>
      </c>
      <c r="D342" t="n">
        <v>7</v>
      </c>
      <c r="E342" t="n">
        <v>9</v>
      </c>
      <c r="F342">
        <f>HYPERLINK("https://www.reddit.com/r/COVID19positive/comments/fzzde9/baby_with_presumptive_positive/")</f>
        <v/>
      </c>
      <c r="G342" t="inlineStr">
        <is>
          <t>2020-04-12 09:07:25</t>
        </is>
      </c>
      <c r="H342" t="inlineStr">
        <is>
          <t>Tested Positive - Me</t>
        </is>
      </c>
    </row>
    <row r="343">
      <c r="A343" t="inlineStr">
        <is>
          <t>fzzml1</t>
        </is>
      </c>
      <c r="B343" t="inlineStr">
        <is>
          <t>Playing hide-and-seek with a virus</t>
        </is>
      </c>
      <c r="C343" t="inlineStr">
        <is>
          <t>23M, healthy, no underlying conditions, tested positive. My case has been pretty mild overall, but like many others, frustratingly nonlinear in its progression. Hence the title.
3/27: First symptoms appear. Slightly elevated temperature and extreme dizziness, feel light-headed every time I move. Everything else feels fine.
3/28: Dizziness persists, if not worsens. Intense headaches, some of the most painful I've ever experienced, come and go--feels like something is trying to violently force its way out of my temples. The headaches never last long, but keep returning. Develop a slight dry cough.
3/29: Takes me about two hours after waking, while eating brunch, to realize that I've totally lost my sense of smell and therefore my sense of taste. I can distinguish between sugary, sour, bitter etc., but the flavor is completely gone. Develop a low-grade fever, with temperature shooting up to 100F. Dizziness persists. I got a referral for testing, received my results on 4/2--positive.
3/30-4/1: Dizziness fades, but headaches recur. Sense of smell remains totally absent, only thing I can even remotely smell is ketchup, for whatever reason. For a few days, I feel a painful burning sensation in my nose. At one point develop some serious pain on the right side of my face, near my jaw. Dry cough worsens, but not by much. Increasing fatigue and lethargy, could have stayed in bed all day if I let myself.
4/2: After a day of feeling pretty fine, develop chest pain at night. Dry cough worsens.
4/3-4/5: At this point, feels like I'm well on my way to a full recovery. Can smell a few things, like lemons, cologne, and hand sanitizer, if I bring them right up to my nose. Most of my other symptoms fade, though the passing headaches remain.
4/6: Abruptly devolve into a violent coughing fit at night, airways feel like they're burning up, stabbing chest pain develops.
4/7: Persistent pressure on chest, pain sharpens whenever I take a deep breath or cough. Muscle aches in neck, shoulder, arms, and legs that come and go. Intense fatigue. Meanwhile, sense of smell improves, can begin to vaguely taste some of my food again.
4/8: Chest pain worsens again, can breathe fine but hurts whenever I do, which is all the time, obviously. Less tired.
4/9: Chest feels very strange at night, like something is seeping through my lungs. Dry cough worsens.  General fatigue, sleep most of the day. At this point, can smell almost anything so long as I bring it right up to my nose. Emphasis on "almost," some smells still remain elusive.
4/10: Chest pain finally relents, feel more energized in general. Dry cough improves.
4/11: For the first time since 3/29, can detect smells that aren't emanating from objects directly under my nose. No chest pain, barely coughing. Feel pretty great for most of the day, but at night I vomit basically everything I ate for breakfast, lunch, and dinner. Feel some nausea afterwards.
I'll update this daily. In general, recovery has has been a dance of taking two steps forward and one step back. The progression of this disease has not been linear. I keep having multi-day stretches where things feel like they're on the upswing before taking an abrupt downturn. Still, I'm grateful for having what has so far been a pretty mild case, relatively speaking. The anosmia and intensifying chest pains have easily been the most alarming parts of this experience, but at the moment both seem to be fading--hopefully.</t>
        </is>
      </c>
      <c r="D343" t="n">
        <v>55</v>
      </c>
      <c r="E343" t="n">
        <v>30</v>
      </c>
      <c r="F343">
        <f>HYPERLINK("https://www.reddit.com/r/COVID19positive/comments/fzzml1/playing_hideandseek_with_a_virus/")</f>
        <v/>
      </c>
      <c r="G343" t="inlineStr">
        <is>
          <t>2020-04-12 09:21:04</t>
        </is>
      </c>
      <c r="H343" t="inlineStr">
        <is>
          <t>Tested Positive - Me</t>
        </is>
      </c>
    </row>
    <row r="344">
      <c r="A344" t="inlineStr">
        <is>
          <t>g025b1</t>
        </is>
      </c>
      <c r="B344" t="inlineStr">
        <is>
          <t>28M Tested Positive - Day 6</t>
        </is>
      </c>
      <c r="C344" t="inlineStr">
        <is>
          <t>I posted this in the daily discussion thread but figured it might get more visibility as its own thread. 
Im a 28/M, no preexisting health conditions, normal BMI. Confirmed positive and currently on day 6. My symptoms have been mild so far. Started Tuesday 4/7 with what I thought were allergies (runny nose, slight sinus headache, itchy/watery eyes, very occasional dry cough). Thinking it was allergies I took Claritin D which had no effect.  
Later that night I had an elevated temperature of 99.65. Developed chills which bothered me all night. The following morning my temp was 100.19 and the earlier described symptoms continued with the addition of a dull pain on my eyes when I moved them up/down/left/right - never felt a sensation like that before. I called my local hospital and they had me tested later that day (4/8). Symptoms continued through the following day (4/9) which is when I received the call confirming I was positive.  Highest my temp ever got was 100.40 and I havent experienced any shortness of breath or uncomfortable chest sensations. 
Since 4/10 I've been feeling pretty good. My temp has been normal (high 96s to low 98s), my headache is gone, and my eyes arent bothering me anymore, and my blood O2 is 97-99%. I still have an occasional runny nose and a very infrequent cough.  Regardless I am still in isolation - but if I didnt pay as close of attention to my symptoms and didnt get tested I would probably be outside running today.  I live with my fiance and she has been totally fine and symptom free throughout. 
Does this sound familar to anyone? And now the impossible question... if this does sound familar, any idea on if I should get better or worse from here? I know Im not out of the storm yet but I keep seeing stories on this sub of people who had mild symptoms that then got significantly worse. I dont know if Im freaking myself out unnecessarily.</t>
        </is>
      </c>
      <c r="D344" t="n">
        <v>13</v>
      </c>
      <c r="E344" t="n">
        <v>7</v>
      </c>
      <c r="F344">
        <f>HYPERLINK("https://www.reddit.com/r/COVID19positive/comments/g025b1/28m_tested_positive_day_6/")</f>
        <v/>
      </c>
      <c r="G344" t="inlineStr">
        <is>
          <t>2020-04-12 11:39:08</t>
        </is>
      </c>
      <c r="H344" t="inlineStr">
        <is>
          <t>Tested Positive - Me</t>
        </is>
      </c>
    </row>
    <row r="345">
      <c r="A345" t="inlineStr">
        <is>
          <t>g04gig</t>
        </is>
      </c>
      <c r="B345" t="inlineStr">
        <is>
          <t>AN EASTER MIRACLE</t>
        </is>
      </c>
      <c r="C345" t="inlineStr">
        <is>
          <t>I just needed to share this INSANE STORY and give hope to anyone asking!! Check my post history for the previous story.
On day 17 of the ventilator my 78 year old grandfather had no hope. It was Good Friday. They called us and told us to prepare for the end. PEEP of 14, oxygen 80%.
Yesterday, miraculously, his PEEP dropped down to 8. Doctors rushed in. Respiratory therapists in. Worked with him all night.
Today he is extubated. Alive. Breathing. Praise God!</t>
        </is>
      </c>
      <c r="D345" t="n">
        <v>1092</v>
      </c>
      <c r="E345" t="n">
        <v>136</v>
      </c>
      <c r="F345">
        <f>HYPERLINK("https://www.reddit.com/r/COVID19positive/comments/g04gig/an_easter_miracle/")</f>
        <v/>
      </c>
      <c r="G345" t="inlineStr">
        <is>
          <t>2020-04-12 13:47:00</t>
        </is>
      </c>
      <c r="H345" t="inlineStr">
        <is>
          <t>Tested Positive - Family</t>
        </is>
      </c>
    </row>
    <row r="346">
      <c r="A346" t="inlineStr">
        <is>
          <t>g05cjz</t>
        </is>
      </c>
      <c r="B346" t="inlineStr">
        <is>
          <t>Reinfection</t>
        </is>
      </c>
      <c r="C346" t="inlineStr">
        <is>
          <t>Seeing increasing number of reports of reinfection. So thought to check the pulse here.
1. Did you test positive again ? Or have symptoms back ?
2. After how many days of first relief ?
3. How were you new symptoms compared to last ?
4. Did you recover after testing positive again ? Within how many days ?
Please try to keep thread as much clean as possible. Replies/comments only from - who have or whose friends have - would be be helpful!</t>
        </is>
      </c>
      <c r="D346" t="n">
        <v>6</v>
      </c>
      <c r="E346" t="n">
        <v>22</v>
      </c>
      <c r="F346">
        <f>HYPERLINK("https://www.reddit.com/r/COVID19positive/comments/g05cjz/reinfection/")</f>
        <v/>
      </c>
      <c r="G346" t="inlineStr">
        <is>
          <t>2020-04-12 14:36:31</t>
        </is>
      </c>
      <c r="H346" t="inlineStr">
        <is>
          <t>Tested Positive</t>
        </is>
      </c>
    </row>
    <row r="347">
      <c r="A347" t="inlineStr">
        <is>
          <t>g06yiz</t>
        </is>
      </c>
      <c r="B347" t="inlineStr">
        <is>
          <t>Sharing my experience as a slightly fat, mildly asthmatic smoker</t>
        </is>
      </c>
      <c r="C347" t="inlineStr">
        <is>
          <t>Hello everyone, 
I wanted to post about my experience with Covid19. I’m not over it yet, but I think I am past the worst. 
I am 30 and female. I smoke usually 7-10 cigarettes a day and am considered overweight. Blood type is A+ if that matters.
This whole thing started nearly 2 weeks ago, on the 30th of March. In the UK, lockdown had been established on the 23rd, and during the first week of lockdown I left the house once, for food shopping. Unfortunately that was enough. 
Week 1: 
Monday morning I wake up with a sore throat. It’s not terrible but it’s tender and it is scratchy, it sort of catches when I breath in a manner I would describe as almost itchy. I have an urge to cough, but not to the extent that I actually do cough. 
Tuesday is similar. 
Wednesday I start to cough a little bit. It’s dry, it’s actually quite pathetic sounding. No depth to it. I start to feel a bit sweaty so I check my temperature. It’s 38 degrees, or 100.4 for those of you who work in mad numbers. I consider taking ibuprofen for my sore throat as it’s really quite painful now but my friend, who is a nurse, tells me not to over WhatsApp and says to take paracetamol instead. It helps, temperature goes down a bit and my throat feels better.
Thursday the annoying cough is still there. My temperature is at 39/ 102 and I’m struggling to work, eat, focus, do anything. 
Friday I feel awful, I just want to sleep. Still a high temp. My throat feels better though. 
Saturday and Sunday. I feel on the mend! Suddenly, I can swallow. My temperature is still higher than usual, but below 38. I make use of my newly found energy by cleaning the balcony and marvel at how quickly these things can pass. 
Week 2
Monday. Oh shit. I was so so wrong. The cough has become a hacking bark and it won’t stop. My temperature rockets. I’m in bed all day. Then there’s a sharp pain in my ear that gradually radiates through to my jaw. Has this all just been an ear infection? I speak to a nurse over the phone and manage to get antibiotics. I get ear infections fairly regularly when I’m run down or have a cold. I start to wonder whether all these symptoms have just been a lead up to an ear infection. Later on that night, I get my husband to dig out my asthma inhaler because I’m starting to feel light headed. 
Tuesday. Getting out of bed to go to the loo is hard, I’m that tired. My boss tells me to log off and rest. I start to worry and anxiety is high. I can’t work out whether anxiety is causing me not to breath properly or whether I have indeed got coronavirus. I imagine myself alone in a hospital bed, hooked up to a ventilator, unable to to speak to or see my family. My daughter is only 16 months old, she would grow up not remembering me if I died now. Suddenly I really can’t breath. My husband wants to call an ambulance. I tell him not to, this is a panic attack. In all honesty though I had no idea whether it’s a panic attack or whether I’m genuinely struggling to breath. He calls 111. They send out a paramedic. My oxygen levels are down a little, my blood pressure is sky high, but my lungs are sounding clear. He manages to qualify me for testing, due to my job. I’m told I will receive a call to book in and then I will need to access a link online once I am at the testing centre in order to receive the test. He offers me to go to hospital. I say I’d rather not. He tells me that’s the right answer, and you don’t want to see the state of the local hospitals right now. He tells me to ring 999 if anything gets any worse though. 
Wednesday. The test happens. The cough is now so bad that once I start I can’t stop and I often end up vomiting. My head is aching like my brain is rattling against it when I cough. Trying to sleep at night is futile. I take sleep where I can during the day. Every time I breath in my muscles poise themselves to cough, I try to fight it because the pain of coughing is now immense. My ear is still throbbing with pain. Whether that’s connected to the presumed coronavirus I don’t know.
Thursday. Same again really. My ear is now so blocked I’m struggling to hear properly, but the pain is subsiding which is a relief. I go to bed at 6pm and sleep until 8am, with a few wake ups for coughing fits. 
Friday. much the same. Although now the sore throat is back just to really compound the agony. This time it feels like a more conventional sore throat, perhaps brought on by all the coughing. 
Saturday. [call received that I am positive] A lot of sleep, still coughing but the coughing comes in more spaced out fits rather than a constant. The cough is productive now, lots of very jelly like yellow mucus. Some of it has flecks of red blood in it. Usually this would bother me, but honestly I am so low on energy that nothing surprises me now. I could starting pissing blue and i’d probably shrug and go back to bed. Saturday morning was first time I woke up with a normal temperature in days though. 
Sunday (today!) only 2 coughing fits today Still very fatigued. Unable to do much. Throat feels like someone has rubbed shattered glass shards on it, it’s fucking awful and even swallowing my own saliva hurts. I shine my phone into my mouth and the back is red and enflamed. Ear no longer hurting but still blocked, mild tinnitus and lots of clicking sounds. Still unsure if the ear is connected to Covid19. Temperature still normal. Breathing fine. 
I hope the throat starts to get better soon and the fatigue starts to shake off. This is unlike anything I’ve had before. 
If I get over this I am 100% committed to losing weight and giving up smoking.</t>
        </is>
      </c>
      <c r="D347" t="n">
        <v>80</v>
      </c>
      <c r="E347" t="n">
        <v>35</v>
      </c>
      <c r="F347">
        <f>HYPERLINK("https://www.reddit.com/r/COVID19positive/comments/g06yiz/sharing_my_experience_as_a_slightly_fat_mildly/")</f>
        <v/>
      </c>
      <c r="G347" t="inlineStr">
        <is>
          <t>2020-04-12 16:12:24</t>
        </is>
      </c>
      <c r="H347" t="inlineStr">
        <is>
          <t>Tested Positive - Me</t>
        </is>
      </c>
    </row>
    <row r="348">
      <c r="A348" t="inlineStr">
        <is>
          <t>g07oc6</t>
        </is>
      </c>
      <c r="B348" t="inlineStr">
        <is>
          <t>When can I see my family in my home?</t>
        </is>
      </c>
      <c r="C348" t="inlineStr">
        <is>
          <t>I had a negative test, but the covid screening place said based on my symptoms it’s very likely I have the virus. I’ve been symptomatic for three weeks - I’m locked in a bedroom while my husband cares for our three children and myself. He prepares all of our meals/laundry/ etc and handles everyone’s needs. We’ve been living this way for close to three weeks. I haven’t had a fever this entire time, so I’m not sure when it’s safe to come out and interact with my family. I’m extremely fatigued, and my symptoms vary day to day, so whenever I think I’m in the clear, something new pops up. I live in the US, so I won’t be able to get a test to clear me, and since my last test was a false negative I don’t even know if it’s worth it.
TL/DR
I can’t find any clear information: how soon can I reassimilate into my general household activities to help my husband with our kiddos? I still feel shitty but I never had a fever so I can’t really use that as a gauge.</t>
        </is>
      </c>
      <c r="D348" t="n">
        <v>3</v>
      </c>
      <c r="E348" t="n">
        <v>12</v>
      </c>
      <c r="F348">
        <f>HYPERLINK("https://www.reddit.com/r/COVID19positive/comments/g07oc6/when_can_i_see_my_family_in_my_home/")</f>
        <v/>
      </c>
      <c r="G348" t="inlineStr">
        <is>
          <t>2020-04-12 16:57:41</t>
        </is>
      </c>
      <c r="H348" t="inlineStr">
        <is>
          <t>Tested Positive - Me</t>
        </is>
      </c>
    </row>
    <row r="349">
      <c r="A349" t="inlineStr">
        <is>
          <t>g086zd</t>
        </is>
      </c>
      <c r="B349" t="inlineStr">
        <is>
          <t>Recovered from COVID19</t>
        </is>
      </c>
      <c r="C349" t="inlineStr">
        <is>
          <t>I am 26F and had a borderline mild/severe case of COVID19. My boyfriend shared my post previously and I've been keeping my own, more private post that I updated regularly. 
I have comorbidities that were exacerbated with this virus. I have heart disease (COVID19 caused swelling around my heart in the very beginning of me getting sick) and asthma (breathing was very difficult at the height of my illness). 
I was not convinced that I had COVID19 prior to testing and prior to receiving the results. I was at the worst prior to getting my results. I probably should have gone to the hospital but I was told not to unless my oxygen levels were below 90. I only had my phone to tell me what my oxygen levels were (and not sure how accurate they were) but in the heat of the moment (coughing and trying to catch my breath) I wasn't thinking about taking my oxygen levels. 
Thankfully, I was able to recover in my own room... but from my first symptom to my last was 25 days. I'm still not back to where I was prior to getting sick and I'm worried that I may have lung damage... Every now and then I catch myself trying to take a deep breath and can't still. I also find that I still can't exercise... walking up stairs (I live on the third floor) is still very difficult... 
Is anyone else who is recovered going through this too? I want to start doing more but scared of stressing my heart or lungs in the event that there is damage...</t>
        </is>
      </c>
      <c r="D349" t="n">
        <v>13</v>
      </c>
      <c r="E349" t="n">
        <v>30</v>
      </c>
      <c r="F349">
        <f>HYPERLINK("https://www.reddit.com/r/COVID19positive/comments/g086zd/recovered_from_covid19/")</f>
        <v/>
      </c>
      <c r="G349" t="inlineStr">
        <is>
          <t>2020-04-12 17:30:58</t>
        </is>
      </c>
      <c r="H349" t="inlineStr">
        <is>
          <t>Tested Positive - Me</t>
        </is>
      </c>
    </row>
    <row r="350">
      <c r="A350" t="inlineStr">
        <is>
          <t>g08kk9</t>
        </is>
      </c>
      <c r="B350" t="inlineStr">
        <is>
          <t>Update, day 24.</t>
        </is>
      </c>
      <c r="C350" t="inlineStr">
        <is>
          <t>Still fighting, virus still fighting too.  Think I infected dad on day 18, showing possible symptoms now.  Frozen neck, 1 hive on neck.  Could not be, but the added pressure of infecting my parents with this, who are both at very high risk, has spun we out.  The virus was challenging enough, I feel like I'm breaking down now.  Thinking of facing the world without my parents, and me infecting them.  I am just feeling so out of control and bad.  I told my brother yesterday, I can't imagine looking my siblings or parent in the face if something happens.
I hope the virus ends soon, I hope my parents are ok.  I was very careful, but one time I was not and now I might have killed my dad/parents.  I am consumed with a lot of negative emotions right now and feel more alone than ever.  Please send good vibes.
I can go into detail about infection if you want, but not sure it matters now.</t>
        </is>
      </c>
      <c r="D350" t="n">
        <v>11</v>
      </c>
      <c r="E350" t="n">
        <v>12</v>
      </c>
      <c r="F350">
        <f>HYPERLINK("https://www.reddit.com/r/COVID19positive/comments/g08kk9/update_day_24/")</f>
        <v/>
      </c>
      <c r="G350" t="inlineStr">
        <is>
          <t>2020-04-12 17:55:07</t>
        </is>
      </c>
      <c r="H350" t="inlineStr">
        <is>
          <t>Tested Positive - Me</t>
        </is>
      </c>
    </row>
    <row r="351">
      <c r="A351" t="inlineStr">
        <is>
          <t>g091vh</t>
        </is>
      </c>
      <c r="B351" t="inlineStr">
        <is>
          <t>A resurgence of symptoms?</t>
        </is>
      </c>
      <c r="C351" t="inlineStr">
        <is>
          <t>Has anyone else experienced their symptoms making a resurgence?  A little background, I was diagnosed on March 13th with Covid 19 and my symptoms eventually started getting better to the point I was only dealing with a persistent fever between 99-100 and minor shortness of breath.  Fast forward to a few days ago and my fever is now consistently between 100-101.8 and my breathing has is getting more and more laboured.
I've already been dealing with this for over 30 days but now with symptoms starting to reappear I find myself getting anxious.  So has anyone else dealt with this?</t>
        </is>
      </c>
      <c r="D351" t="n">
        <v>18</v>
      </c>
      <c r="E351" t="n">
        <v>32</v>
      </c>
      <c r="F351">
        <f>HYPERLINK("https://www.reddit.com/r/COVID19positive/comments/g091vh/a_resurgence_of_symptoms/")</f>
        <v/>
      </c>
      <c r="G351" t="inlineStr">
        <is>
          <t>2020-04-12 18:27:12</t>
        </is>
      </c>
      <c r="H351" t="inlineStr">
        <is>
          <t>Tested Positive - Me</t>
        </is>
      </c>
    </row>
    <row r="352">
      <c r="A352" t="inlineStr">
        <is>
          <t>g0iv93</t>
        </is>
      </c>
      <c r="B352" t="inlineStr">
        <is>
          <t>Do you guys feeling any kidney pain(little bit)?</t>
        </is>
      </c>
      <c r="C352" t="inlineStr">
        <is>
          <t>I have chill in my back and little bit kidney pain on and off.</t>
        </is>
      </c>
      <c r="D352" t="n">
        <v>15</v>
      </c>
      <c r="E352" t="n">
        <v>20</v>
      </c>
      <c r="F352">
        <f>HYPERLINK("https://www.reddit.com/r/COVID19positive/comments/g0iv93/do_you_guys_feeling_any_kidney_painlittle_bit/")</f>
        <v/>
      </c>
      <c r="G352" t="inlineStr">
        <is>
          <t>2020-04-13 06:23:46</t>
        </is>
      </c>
      <c r="H352" t="inlineStr">
        <is>
          <t>Tested Positive - Me</t>
        </is>
      </c>
    </row>
    <row r="353">
      <c r="A353" t="inlineStr">
        <is>
          <t>g0kytp</t>
        </is>
      </c>
      <c r="B353" t="inlineStr">
        <is>
          <t>We Need to Talk About What Coronavirus Recoveries Look Like</t>
        </is>
      </c>
      <c r="C353" t="inlineStr">
        <is>
          <t>Good to see discussion about recovery and the unknown in mainstream. Article [What Coronavirus Recoveries Look Like](https://www.nytimes.com/2020/04/13/opinion/coronavirus-recovery.html)There will be a lot more info on this in the coming weeks, as recovered patients have new symptoms and old symptoms resurface. It’s alarming how little is known just yet, I have several friends that are between 2-6 weeks in, I’m at 30 days. Emotional rollercoaster with good days and bad. Symptoms coming and going. I can only hope for the best and pray this nasty f’n virus leaves completely. Until then, stay safe my friends. 🙏 🍻</t>
        </is>
      </c>
      <c r="D353" t="n">
        <v>366</v>
      </c>
      <c r="E353" t="n">
        <v>254</v>
      </c>
      <c r="F353">
        <f>HYPERLINK("https://www.reddit.com/r/COVID19positive/comments/g0kytp/we_need_to_talk_about_what_coronavirus_recoveries/")</f>
        <v/>
      </c>
      <c r="G353" t="inlineStr">
        <is>
          <t>2020-04-13 08:20:52</t>
        </is>
      </c>
      <c r="H353" t="inlineStr">
        <is>
          <t>Tested Positive - Me</t>
        </is>
      </c>
    </row>
    <row r="354">
      <c r="A354" t="inlineStr">
        <is>
          <t>g0lbf6</t>
        </is>
      </c>
      <c r="B354" t="inlineStr">
        <is>
          <t>Anyone had any little kids with COVID-19?</t>
        </is>
      </c>
      <c r="C354" t="inlineStr">
        <is>
          <t>Hi,
I’m looking for anyone who had young kids 1-7 with covid and got through it. What we’re the symptoms and what was it like?
How long was it until they were better.
Not sure if this is the right place to ask but if anyone can point me there I would appreciate it.
Love, Peace and Thanks!</t>
        </is>
      </c>
      <c r="D354" t="n">
        <v>7</v>
      </c>
      <c r="E354" t="n">
        <v>21</v>
      </c>
      <c r="F354">
        <f>HYPERLINK("https://www.reddit.com/r/COVID19positive/comments/g0lbf6/anyone_had_any_little_kids_with_covid19/")</f>
        <v/>
      </c>
      <c r="G354" t="inlineStr">
        <is>
          <t>2020-04-13 08:39:00</t>
        </is>
      </c>
      <c r="H354" t="inlineStr">
        <is>
          <t>Tested Positive - Family</t>
        </is>
      </c>
    </row>
    <row r="355">
      <c r="A355" t="inlineStr">
        <is>
          <t>g0nfbk</t>
        </is>
      </c>
      <c r="B355" t="inlineStr">
        <is>
          <t>I see lots of posts here about those dealing with being COVID-19 positive but am struggling to see any support for relatives of those with the more serious cases, on ventilators in ICU. Is anyone else out there in the same situation? Here is our story.</t>
        </is>
      </c>
      <c r="C355" t="inlineStr">
        <is>
          <t>I think it's equally, if not more important to have a place for family of those on a ventilator / in a serious condition to reach out to each other. 
Here is our story: 
My Dad (62, otherwise fit and healthy, cycles 70 miles at a time, county squash champ) has been on a ventilator for 20 days now, he's got mild kidney failure, just had a tracheostomy inserted because he is still unable to be weaned from the vent and they just discovered he has had a stroke but won't know the effects until they wake him up of the sedation, of which they just started doing but can take several or more days. His chances are getting slimmer by the day but he's still hanging on. 
He is however, oblivious of all this. We haven't seen him or spoken to him for three weeks now. We've been on the worst rollercoaster ride of our lives. We can't get off, and it's far from being over yet. We swing between accepting and planning for him dying, to being given pockets of hope, to getting more bad news, falling further and harder each time.
We fight daily for information by calling the ICU which is hard to come by because they are so busy prioritising fighting for our loved ones lives, of which we are eternally grateful for, but fact that families normally have unlimited visiting hours in ICU and the relatives are a big part of their treatment/recovery seems to be being overlooked. 
We are suffering 'anticipatory grief' for a death that is more likely than not to happen, but we still don't know, cannot know, what the outcome will be. We are also not able to see our family or friends, or receive the support that would normally be surrounding us in such a situation due to the lockdown put in place to keep everyone safe, so we are left alone with this grief.
I have heard very little from the point of view of  relatives in the media and no support group exists. Is there anyone out there in the same position, going through the same daily pain, waiting, worrying and hoping? Please reach out and share your story.
Hold your loved ones close.</t>
        </is>
      </c>
      <c r="D355" t="n">
        <v>75</v>
      </c>
      <c r="E355" t="n">
        <v>23</v>
      </c>
      <c r="F355">
        <f>HYPERLINK("https://www.reddit.com/r/COVID19positive/comments/g0nfbk/i_see_lots_of_posts_here_about_those_dealing_with/")</f>
        <v/>
      </c>
      <c r="G355" t="inlineStr">
        <is>
          <t>2020-04-13 10:26:48</t>
        </is>
      </c>
      <c r="H355" t="inlineStr">
        <is>
          <t>Tested Positive - Family</t>
        </is>
      </c>
    </row>
    <row r="356">
      <c r="A356" t="inlineStr">
        <is>
          <t>g0nnhs</t>
        </is>
      </c>
      <c r="B356" t="inlineStr">
        <is>
          <t>Unusual readings after recovery?</t>
        </is>
      </c>
      <c r="C356" t="inlineStr">
        <is>
          <t>So I am on day 27 now showing first symptom (two loose motion instances) on Day 1. Tested COVID-19 positive. All symptoms were typical and mild but no breathing issues. Fever for over a week was 99-101F. Male 60. Blood group O+.
Seems like I have now almost fully recovered from day 15 onwards. I feel pretty normal too. However, my temperature for the past 7 days has been sub-normal (95.5 to 97 F). Also, my BP, which used to be around 125/85 most times reads 20 to 25 points lower. For example, day 25 reading was around 95/60. The pulse seems normal, in the 70s generally but the other day, it was 90 (which is high for me). I feel fine otherwise. Has anyone experienced subnormal temperatures and lower BP readings, while generally feeling ok? What do you make of it?</t>
        </is>
      </c>
      <c r="D356" t="n">
        <v>17</v>
      </c>
      <c r="E356" t="n">
        <v>5</v>
      </c>
      <c r="F356">
        <f>HYPERLINK("https://www.reddit.com/r/COVID19positive/comments/g0nnhs/unusual_readings_after_recovery/")</f>
        <v/>
      </c>
      <c r="G356" t="inlineStr">
        <is>
          <t>2020-04-13 10:38:10</t>
        </is>
      </c>
      <c r="H356" t="inlineStr">
        <is>
          <t>Tested Positive - Me</t>
        </is>
      </c>
    </row>
    <row r="357">
      <c r="A357" t="inlineStr">
        <is>
          <t>g0nqca</t>
        </is>
      </c>
      <c r="B357" t="inlineStr">
        <is>
          <t>How long does covid stay in the body?</t>
        </is>
      </c>
      <c r="C357" t="inlineStr">
        <is>
          <t>My symptoms are persisting after 2 weeks 
Nausea 
Diahrrea 
Fever 
Fatigue 
Wet cough</t>
        </is>
      </c>
      <c r="D357" t="n">
        <v>4</v>
      </c>
      <c r="E357" t="n">
        <v>4</v>
      </c>
      <c r="F357">
        <f>HYPERLINK("https://www.reddit.com/r/COVID19positive/comments/g0nqca/how_long_does_covid_stay_in_the_body/")</f>
        <v/>
      </c>
      <c r="G357" t="inlineStr">
        <is>
          <t>2020-04-13 10:42:09</t>
        </is>
      </c>
      <c r="H357" t="inlineStr">
        <is>
          <t>Tested Positive - Me</t>
        </is>
      </c>
    </row>
    <row r="358">
      <c r="A358" t="inlineStr">
        <is>
          <t>g0ojca</t>
        </is>
      </c>
      <c r="B358" t="inlineStr">
        <is>
          <t>LA Times interview straight out of this subreddit. Glad we’re getting these stories out!</t>
        </is>
      </c>
      <c r="C358" t="inlineStr">
        <is>
          <t>https://www.latimes.com/california/story/2020-04-10/coronavirus-daily-covid-19-diaries-online-are-helping-people-cope</t>
        </is>
      </c>
      <c r="D358" t="n">
        <v>29</v>
      </c>
      <c r="E358" t="n">
        <v>8</v>
      </c>
      <c r="F358">
        <f>HYPERLINK("https://www.reddit.com/r/COVID19positive/comments/g0ojca/la_times_interview_straight_out_of_this_subreddit/")</f>
        <v/>
      </c>
      <c r="G358" t="inlineStr">
        <is>
          <t>2020-04-13 11:21:56</t>
        </is>
      </c>
      <c r="H358" t="inlineStr">
        <is>
          <t>Tested Positive - Me</t>
        </is>
      </c>
    </row>
    <row r="359">
      <c r="A359" t="inlineStr">
        <is>
          <t>g0ouxp</t>
        </is>
      </c>
      <c r="B359" t="inlineStr">
        <is>
          <t>Covid recovery and helping</t>
        </is>
      </c>
      <c r="C359" t="inlineStr">
        <is>
          <t>If you have read my past posts it’s been horrendously up and down with me getting it and developing pneumonia, my uncle dying and now my dad who is in a different state is showing symptoms and headed to the hospital as we speak (in the country so nearest hospital is over an hour away). I am very happy to announce though that I have finally been matched into a study to donate plasma and have a match who is in the icu and will be getting my plasma transfusion later today! Also participating in an antibody blood study. Trying to use these positives to remember what my worth is during a time where you feel you can’t make a difference.</t>
        </is>
      </c>
      <c r="D359" t="n">
        <v>44</v>
      </c>
      <c r="E359" t="n">
        <v>6</v>
      </c>
      <c r="F359">
        <f>HYPERLINK("https://www.reddit.com/r/COVID19positive/comments/g0ouxp/covid_recovery_and_helping/")</f>
        <v/>
      </c>
      <c r="G359" t="inlineStr">
        <is>
          <t>2020-04-13 11:38:03</t>
        </is>
      </c>
      <c r="H359" t="inlineStr">
        <is>
          <t>Tested Positive - Me</t>
        </is>
      </c>
    </row>
    <row r="360">
      <c r="A360" t="inlineStr">
        <is>
          <t>g0p1fv</t>
        </is>
      </c>
      <c r="B360" t="inlineStr">
        <is>
          <t>Reactivation of infection from recovered patients?</t>
        </is>
      </c>
      <c r="C360" t="inlineStr">
        <is>
          <t>Read an article about patients infections being reactivated in Korea. Not sure on the validity of the article but it stated they are not new infections but a reactivation of the initial infection. Scary if this is in fact happening. Shows we still dont know much about thos thing. Thought that would be helpful to know.
https://www.newsbreakapp.com/n/0OjlPMRK?s=a99&amp;amp;pd=03btu1Nl</t>
        </is>
      </c>
      <c r="D360" t="n">
        <v>3</v>
      </c>
      <c r="E360" t="n">
        <v>8</v>
      </c>
      <c r="F360">
        <f>HYPERLINK("https://www.reddit.com/r/COVID19positive/comments/g0p1fv/reactivation_of_infection_from_recovered_patients/")</f>
        <v/>
      </c>
      <c r="G360" t="inlineStr">
        <is>
          <t>2020-04-13 11:47:19</t>
        </is>
      </c>
      <c r="H360" t="inlineStr">
        <is>
          <t>Tested Positive - Friends</t>
        </is>
      </c>
    </row>
    <row r="361">
      <c r="A361" t="inlineStr">
        <is>
          <t>g0plkq</t>
        </is>
      </c>
      <c r="B361" t="inlineStr">
        <is>
          <t>Has anyone experienced sudden and intense aches and cramping?</t>
        </is>
      </c>
      <c r="C361" t="inlineStr">
        <is>
          <t>Yesterday I went to the ER. 
Wife is a nurse who had Covid in late march and has mostly recovered... more on that later. I'm on Day 11 now, and feeling fine today btw. 
Yesterday I woke up at 7am after sleeping about 10 hours and felt good. No more fever, cough had mostly eased up. All morning I felt fine then at around 11 am I was talking to my wife and started to feel "odd" like the feeling right before the body aches hit on day 2. I assumed I'd just have another bout of aches so I laid on the couch. She was talking to me and I could hear her but couldn't comprehend what she was saying. It felt like I was completely exhausted and just need to sleep then and there.  
Then its like my body just went haywire. I got intense aches, I didn't take my temp but I'm sure I was burning up. My whole body cramped and my fingers cramped so badly they curled up like claws, I couldn't move them. 
I thought I could ride it out but then my face started to cramp to the point where I couldn't talk. That freaked me out. All of this was within 8 mins of laying down btw. I tired to stand and fell on the floor and my wife called 911. By the time the paramedics came it was mostly over. Fever was gone but I was drenched in sweat. I spent a couple hours in the ER, normal O2 and no pneumonia so the sent me home.
The doctor said the cramping could be from hyperventilation and that they see cramps in hands with severe panic attacks but I didn't have any of the other symptoms of a panic attack (and had never had one). No history of anxiety, no dizziness, no trigger. I went from talking about what we were going to do for lunch to being a complete mess.
About three days ago my wife was at the grocery store (This would be about 12 days post symptoms for her) and she described getting suddenly light headed and "foggy" and felt similar to how she did the first night it really hit. She left the store immediately and went right to bed and was fine.
Anyway I just wanted to share and see if anyone else has had sudden and unexplained symptoms, like your body is going haywire.
edit:formatting</t>
        </is>
      </c>
      <c r="D361" t="n">
        <v>6</v>
      </c>
      <c r="E361" t="n">
        <v>9</v>
      </c>
      <c r="F361">
        <f>HYPERLINK("https://www.reddit.com/r/COVID19positive/comments/g0plkq/has_anyone_experienced_sudden_and_intense_aches/")</f>
        <v/>
      </c>
      <c r="G361" t="inlineStr">
        <is>
          <t>2020-04-13 12:15:47</t>
        </is>
      </c>
      <c r="H361" t="inlineStr">
        <is>
          <t>Tested Positive - Me</t>
        </is>
      </c>
    </row>
    <row r="362">
      <c r="A362" t="inlineStr">
        <is>
          <t>g0r8nq</t>
        </is>
      </c>
      <c r="B362" t="inlineStr">
        <is>
          <t>Over the past 3 weeks, I lost my mother, tested positive, then tested negative twice without showing any real symptoms the whole time. Just looking for opinions</t>
        </is>
      </c>
      <c r="C362" t="inlineStr">
        <is>
          <t xml:space="preserve">Hi everyone. It has been  3 weeks since life as I knew it changed. I tried my best to document the beginning of all this here:
&amp;amp;#x200B;
[https://www.reddit.com/r/COVID19\_support/comments/fw0j4n/46\_final\_update\_on\_my\_mother\_she\_passed\_away\_due/](https://www.reddit.com/r/COVID19_support/comments/fw0j4n/46_final_update_on_my_mother_she_passed_away_due/)
&amp;amp;#x200B;
I know no one can give any real concrete facts but I'm just looking for opinions. I'm pretty sure my exposure came on or before March 24th when I took my mother to the ER. She died after testing  positive on April 3rd.
My father who is 60, aunt who is 58 and younger brother and I went to get one of those drive thru tests on March 30th. 2 days later I tested positive, my father and brother tested negative, my aunts test never came back. We have stayed in the same house quarantined, separated as best we can since March 25th when my mother went in and the ER doctor told us to.
I got retested at another one of those drive thru places  April 7th and 10th, both came back negative, my aunt came with me on the 10th and her test never came back.
These entire 3 weeks none of us have shown any real symptoms. The Los Angeles county health department called me to interview me and a nurse told me it makes no sense that  my father and aunt who were in extremely close contact to my sick mother leading up to her death didn't test positive or show symptoms, yet I did after just taking her to the ER.
This entire time I have been closely monitoring how I feel each day, taking my temperate twice a day, being very aware of any coughs, even got one of those oxygen finger monitor things.  Nothing has happened yet.
The only thing that's a bit different is my throat feels a bit dry today, only difference in my routine is last night I drank a ton of coffee and a 5 hour energy ( don't ask ). I know those swab tests aren't totally accurate so something horrible can still happen, especially after I've read so many terrifying things about reinfection often happening. I've spoken to about 4 doctors and nurses on the phone, everyone of them said it's strange nothing has happened to me yet, and actually admitted they can't give any real concrete advice because they are all just giving guesses at this point.
My father finally went back to work at his factory where there have been 5 people who tested positive in the past, I'm just scared to death at that thought.
&amp;amp;#x200B;
Has anyone else heard of someone by asymptomatic for this long and things still taking a bad turn? Thank you to anyone who took the time to read this.
&amp;amp;#x200B;
&amp;amp;#x200B;
# </t>
        </is>
      </c>
      <c r="D362" t="n">
        <v>15</v>
      </c>
      <c r="E362" t="n">
        <v>12</v>
      </c>
      <c r="F362">
        <f>HYPERLINK("https://www.reddit.com/r/COVID19positive/comments/g0r8nq/over_the_past_3_weeks_i_lost_my_mother_tested/")</f>
        <v/>
      </c>
      <c r="G362" t="inlineStr">
        <is>
          <t>2020-04-13 13:45:00</t>
        </is>
      </c>
      <c r="H362" t="inlineStr">
        <is>
          <t>Tested Positive - Me</t>
        </is>
      </c>
    </row>
    <row r="363">
      <c r="A363" t="inlineStr">
        <is>
          <t>g0rnkp</t>
        </is>
      </c>
      <c r="B363" t="inlineStr">
        <is>
          <t>Covid-19 symptoms tracker app - help scientists by providing your daily feedback!</t>
        </is>
      </c>
      <c r="C363" t="inlineStr">
        <is>
          <t>This app-based study is a way to find out where the COVID hot spots are, new symptoms to look out for, and might be used as a planning tool to target quarantines, send ventilators and provide real-time data to plan for future outbreaks.
[ Join millions of people helping to fight COVID-19](https://covid.joinzoe.com/us)</t>
        </is>
      </c>
      <c r="D363" t="n">
        <v>7</v>
      </c>
      <c r="E363" t="n">
        <v>1</v>
      </c>
      <c r="F363">
        <f>HYPERLINK("https://www.reddit.com/r/COVID19positive/comments/g0rnkp/covid19_symptoms_tracker_app_help_scientists_by/")</f>
        <v/>
      </c>
      <c r="G363" t="inlineStr">
        <is>
          <t>2020-04-13 14:07:05</t>
        </is>
      </c>
      <c r="H363" t="inlineStr">
        <is>
          <t>Tested Positive - Me</t>
        </is>
      </c>
    </row>
    <row r="364">
      <c r="A364" t="inlineStr">
        <is>
          <t>g0s31l</t>
        </is>
      </c>
      <c r="B364" t="inlineStr">
        <is>
          <t>I (25 year old trans woman) am in the hospital and fading</t>
        </is>
      </c>
      <c r="C364" t="inlineStr">
        <is>
          <t>Every time they take my vitals they're worse. Breathing is a Herculean task. I've gotten only bad news since I got in the ambulance Saturday morning. I'm suffocating in a dark room and can't even have my mom and dad here with me. 
If I keep on my current trajectory I'll likely be intubated tomorrow. I know what that means for me.</t>
        </is>
      </c>
      <c r="D364" t="n">
        <v>1058</v>
      </c>
      <c r="E364" t="n">
        <v>396</v>
      </c>
      <c r="F364">
        <f>HYPERLINK("https://www.reddit.com/r/COVID19positive/comments/g0s31l/i_25_year_old_trans_woman_am_in_the_hospital_and/")</f>
        <v/>
      </c>
      <c r="G364" t="inlineStr">
        <is>
          <t>2020-04-13 14:29:59</t>
        </is>
      </c>
      <c r="H364" t="inlineStr">
        <is>
          <t>Tested Positive - Me</t>
        </is>
      </c>
    </row>
    <row r="365">
      <c r="A365" t="inlineStr">
        <is>
          <t>g0s76t</t>
        </is>
      </c>
      <c r="B365" t="inlineStr">
        <is>
          <t>Confirmed Positive 4/13 - (Taking Hydroxychloroquine for 5+ Years)</t>
        </is>
      </c>
      <c r="C365" t="inlineStr">
        <is>
          <t>I have been anxiously wondering if I would be ever so slightly immune to COVID-19 due to the fact that I've been on hydroxychloroquine for a long period of time. I was diagnosed with Mixed Connective Tissue Disease in my early 20's and have a pretty mild form of it, although my WBC has been on the lower end since starting the hydro (Ironically, I don't really get sick (colds, flu) that much anymore). Anyways, here's my story.
2/28 - Came down with a random cold, really bad body aches, sore throat + ear pain, no fever. Lasts about 3-4 days. I felt mostly fine, but the fatigue was almost alarming. My husband and I had just gotten back from a weekend in RI and I realize I haven't taken my hydro for about 3-4 days. I take it that Friday night. My husband gets sick a few days later with the same thing. (99% sure this is just a random cold, but including it because the fatigue was out of this world for the both of us)
3/23-24 - I start to feel sick around 6 PM. Is it a flare or COVID? I wake up on 3/24 and my cheeks are flushed. Temp is normally around 97.7, it goes up to 99.0. Again, extremely fatigued and feel feverish but otherwise ok. I return back to normal on 3/25. Assume it's just a flare because I didn't have a fever, or any other symptoms. My nephew wakes up with a fever on 3/23 as well (more on that below).
3/26 - 3/27 My husband and my brother work together in their shop. On 3/28 we get a phone call from my brother saying he's headed to urgent care. Three days prior my 1 year old nephew who had a fever sneezed in his mouth. He has a fever, sore throat and some difficulty breathing (he has asthma). They test him, but we don't get the results until 4/4. He tests positive.
At this point, my husband and I have been working from home since 3/28 because of my brothers symptoms.
3/28 -3/30 - I start to  experience some GI symptoms. Nothing too crazy. I almost vomit on 3/28 and have had loose stools. (yay)
3/30 PM - Oh no, it's almost Tuesday again and I feel like I'm getting a fever. Am I going to feel like this every Tuesday now? I wonder.
3/31 - I wake up with a 99.8 temp. Never goes above 100. I feel feverish, achey and weak. My ears and throat mildly hurt.
4/1 - My ears and throat still hurt and my nose has the strangest feeling, almost like I got punched but without the pain. I realize my sense of taste and smell is gone by almost 80%, this is when I realize oh crap, we might have it. Everything returns to normal for the most part. I sometimes feel like it's hard to breathe but I feel that was most likely my anxiety.
4/4 - My brother gets his results back, he's positive.
4/6 - I call my doctor and explain the situation. She writes me a script and I get tested on 4/7.
4/9 - Around this time my sense of smell starts to return, but I haven't had a fever since 3/31. My husband never experiences any symptoms besides some slight vertigo and a sore throat.
4/13 - My doctor calls me and tells me I've tested positive. I've felt fine for quite some time now. I truly do not understand the situation anymore. Did the hydroxychloroquine help me not get really sick? I feel like I won't ever really know the answer to that question for quite some time. But no, people who take hydroxychloroquine long term are absolutely not immune to this virus (cough) ;P
&amp;amp;#x200B;
Anyways, that's my so far boring COVID-19 story. Did I get my brother sick or did he get it from a sneeze to the mouth from his toddler and then pass it on to us? The world may never know. Stay safe everyone!</t>
        </is>
      </c>
      <c r="D365" t="n">
        <v>34</v>
      </c>
      <c r="E365" t="n">
        <v>26</v>
      </c>
      <c r="F365">
        <f>HYPERLINK("https://www.reddit.com/r/COVID19positive/comments/g0s76t/confirmed_positive_413_taking_hydroxychloroquine/")</f>
        <v/>
      </c>
      <c r="G365" t="inlineStr">
        <is>
          <t>2020-04-13 14:36:13</t>
        </is>
      </c>
      <c r="H365" t="inlineStr">
        <is>
          <t>Tested Positive - Me</t>
        </is>
      </c>
    </row>
    <row r="366">
      <c r="A366" t="inlineStr">
        <is>
          <t>g0us0o</t>
        </is>
      </c>
      <c r="B366" t="inlineStr">
        <is>
          <t>Diagnosed positive</t>
        </is>
      </c>
      <c r="C366" t="inlineStr">
        <is>
          <t>Well, after a week of symptoms I’ve been diagnosed. 
I was initially scared. Ridden with anxiety. But as a combat wounded vet, i refuse to believe something like this virus will take me down. 
Any advice for me?
Thanks in advance.</t>
        </is>
      </c>
      <c r="D366" t="n">
        <v>19</v>
      </c>
      <c r="E366" t="n">
        <v>23</v>
      </c>
      <c r="F366">
        <f>HYPERLINK("https://www.reddit.com/r/COVID19positive/comments/g0us0o/diagnosed_positive/")</f>
        <v/>
      </c>
      <c r="G366" t="inlineStr">
        <is>
          <t>2020-04-13 17:02:11</t>
        </is>
      </c>
      <c r="H366" t="inlineStr">
        <is>
          <t>Tested Positive - Me</t>
        </is>
      </c>
    </row>
    <row r="367">
      <c r="A367" t="inlineStr">
        <is>
          <t>g0xkyh</t>
        </is>
      </c>
      <c r="B367" t="inlineStr">
        <is>
          <t>My girlfriend tested positive, she’s a 23f I’m a 24m and have been displaying mild symptoms thus far</t>
        </is>
      </c>
      <c r="C367" t="inlineStr">
        <is>
          <t>Greetings from Ohio!
Health history about myself: healthy, perfect shape, low body fat I’m a college athlete. 
My gf who I don’t live with and have only seen once (for like 15 mins, held hands that was it) since being on lockdown tested positive for covid, she got a test because she had a fever, very bad sore throat, chills, and a cough a couple days later, as well as her working in a hospital she got a test luckily. 
I’ve felt off for 2-3 weeks. But it’s never gotten serious, but my symptoms are as follows:
Last Wednesday I really thought I had strep throat because that’s exactly how my throat felt, 2 days later it vanished, beforehand it felt like I was swallowing glass.
Wake up with headaches, had chills one night, felt feverish so I took my temp highest it went was 99.0
I have a oximeter, readings are consistently (96-99%)
Nose goes from stuffed to runny throughout the day, sinus headaches occasionally 
I have this sad little cough that sounds fake like 6-7 times a day it’s odd
Sometimes I feel short I’d breath but I blame that on my anxiety 
Her symptoms haven’t turned severe, I assume age is on our side and having no other health issues, but I’m generally worried as everyone is in this world, because of the unknown. 
Side note: we don’t live together, I live with my mom and stepdad, who aren’t at risk people they’re in their 40’s with no issues. 
Also I do so good with staying in the house and not going out! I don’t go anywhere, I workout in my garage, sometime I will occasionally go get food from a drive thru but other than that I don’t see anyone or have contact with anyone besides my mom.</t>
        </is>
      </c>
      <c r="D367" t="n">
        <v>4</v>
      </c>
      <c r="E367" t="n">
        <v>7</v>
      </c>
      <c r="F367">
        <f>HYPERLINK("https://www.reddit.com/r/COVID19positive/comments/g0xkyh/my_girlfriend_tested_positive_shes_a_23f_im_a_24m/")</f>
        <v/>
      </c>
      <c r="G367" t="inlineStr">
        <is>
          <t>2020-04-13 20:01:19</t>
        </is>
      </c>
      <c r="H367" t="inlineStr">
        <is>
          <t>Tested Positive - Friends</t>
        </is>
      </c>
    </row>
    <row r="368">
      <c r="A368" t="inlineStr">
        <is>
          <t>g0xrx8</t>
        </is>
      </c>
      <c r="B368" t="inlineStr">
        <is>
          <t>Any recovered people feel random tension at the base of their throat?</t>
        </is>
      </c>
      <c r="C368" t="inlineStr">
        <is>
          <t>22f here. Recovered from a mild case about 2 weeks ago. I’ve been having a weird sensation in my throat, towards the base of my neck in the front, right where the neck meets the collar bone. It’s like something in my throat tenses and tightens briefly before releasing. It doesn’t really hurt but it’s noticeable and probably happens 10-15 times a day. Never felt anything like it before. I can breathe fine throughout. 
Just wondering if anyone else has felt something similar?</t>
        </is>
      </c>
      <c r="D368" t="n">
        <v>9</v>
      </c>
      <c r="E368" t="n">
        <v>7</v>
      </c>
      <c r="F368">
        <f>HYPERLINK("https://www.reddit.com/r/COVID19positive/comments/g0xrx8/any_recovered_people_feel_random_tension_at_the/")</f>
        <v/>
      </c>
      <c r="G368" t="inlineStr">
        <is>
          <t>2020-04-13 20:14:36</t>
        </is>
      </c>
      <c r="H368" t="inlineStr">
        <is>
          <t>Tested Positive - Me</t>
        </is>
      </c>
    </row>
    <row r="369">
      <c r="A369" t="inlineStr">
        <is>
          <t>g103o1</t>
        </is>
      </c>
      <c r="B369" t="inlineStr">
        <is>
          <t>Does anyone else have a faster than normal heart rate, 20+ days after displaying symptoms of Covid?</t>
        </is>
      </c>
      <c r="C369" t="inlineStr">
        <is>
          <t>My heart rate is above 100bpm most of the time now. Anyone else experience this? I had a EKG done and D-dinner blood test and they were both fine. Also full blood count.</t>
        </is>
      </c>
      <c r="D369" t="n">
        <v>9</v>
      </c>
      <c r="E369" t="n">
        <v>23</v>
      </c>
      <c r="F369">
        <f>HYPERLINK("https://www.reddit.com/r/COVID19positive/comments/g103o1/does_anyone_else_have_a_faster_than_normal_heart/")</f>
        <v/>
      </c>
      <c r="G369" t="inlineStr">
        <is>
          <t>2020-04-13 23:06:44</t>
        </is>
      </c>
      <c r="H369" t="inlineStr">
        <is>
          <t>Tested Positive</t>
        </is>
      </c>
    </row>
    <row r="370">
      <c r="A370" t="inlineStr">
        <is>
          <t>g12tci</t>
        </is>
      </c>
      <c r="B370" t="inlineStr">
        <is>
          <t>Days 30 - 37: I believe I'm recovered!</t>
        </is>
      </c>
      <c r="C370" t="inlineStr">
        <is>
          <t>Short back story since I don't know how to link my previous posts:
I've been sick for over a month and I've been detailing my symptoms as they changed and increased/decreased in severity and frequency. 
As of last week my doctor officially cleared me from self-isolation.  At first (3 weeks ago) she said it was 72 hours without fever and improvement in breathing as well as 7 days since first symptoms began. 
A week later, she said the criteria changed to 7 days with no fever (over 100.3) and 7 days since onset of symptoms with improved breathing.  However,  last week was the final word:
"I did confirm that it is just 72 hrs without symptoms to be able to return to work (though a small residual cough is allowed)"
I have been using a cortisol inhaler for the past week now, twice a day, even when I don't feel that I need it. My doctor said it's important to use it for at least 5 days straight to get the benefits. 
I've also been following a supplement routine from my naturopath doctor which includes an anti-viral mix you put in water, high doses of fish oil and high doses of curcumin. 
It's been at least 3 days since I felt I had any breathing difficulties or even any chest tightness,  but I've been careful not to overdo anything.  I've also tried to give myself more time to see if symptoms return since I've felt before like I was getting better. This might be the real deal!
I took a walk the other day and I didn't feel winded. I went to the grocery store a couple of days ago and I didn't get winded or tired so that was pretty cool.
I did get some diarrhea and headaches when I began the naturopath regimen last week but I did read that those two issues are common with high doses of fish oil so I am attributing those issues to that.
I am due to return to work this week and it will be nice to get out of the house. Except for 2 walks, 2 grocery trips and 1 doctor's visit, I haven't left the apartment, even to check the mail, in going on 3 weeks now.
I would have to say I was recovered by day 34 - as in no symptoms at all. 
It's been a long journey that was really difficult mentally at times but here I am.  
If you want advice, I would say drink lots of water, reach out to your support network, and be an advocate for yourself: if your doctor is not listening or not helping,  please see a new doctor. Please bring someone with you to advocate for you and your health.  Your health is most important and it's imperative that your concerns be heard and your needs be addressed. 
Thank you to everyone here that sent me messages of support and encouragement and for those who checked in on me.  It meant a lot to me to have people to talk to and to feel that I was not in this alone.</t>
        </is>
      </c>
      <c r="D370" t="n">
        <v>47</v>
      </c>
      <c r="E370" t="n">
        <v>47</v>
      </c>
      <c r="F370">
        <f>HYPERLINK("https://www.reddit.com/r/COVID19positive/comments/g12tci/days_30_37_i_believe_im_recovered/")</f>
        <v/>
      </c>
      <c r="G370" t="inlineStr">
        <is>
          <t>2020-04-14 03:01:58</t>
        </is>
      </c>
      <c r="H370" t="inlineStr">
        <is>
          <t>Tested Positive - Me</t>
        </is>
      </c>
    </row>
    <row r="371">
      <c r="A371" t="inlineStr">
        <is>
          <t>g137us</t>
        </is>
      </c>
      <c r="B371" t="inlineStr">
        <is>
          <t>Finally feeling better. My recovery story.</t>
        </is>
      </c>
      <c r="C371" t="inlineStr">
        <is>
          <t>I felt like I had received a lot of comfort (and fear tbh) from this sub. 
I had kept a daily symptoms diary in my drafts these bumpy last few weeks, and let me tell you, there were some f’n BUMPS... but the past four days have been almost symptom free. 
My story:
32 male, no underlying conditions. Average in just about every way.. height, weight, etc.. 
Weed smoker almost daily until 1st symptoms  (as you’ll read, my breathing was the main symptom)
My husband does not smoke and has experienced almost the same symptoms minus breathing issues this whole time... I may be reconsidering smoking after this is over. 
Throughout all of this I’ve only had infrequent (couple times a day) productive coughs. Every day of this recovery has been mild-moderate shortness of breath and a fluctuating and increased heart rate. 
——-
March 10 - Visited my brother. He had been exposed at work unknowingly. He’s a doctor. He was coughing at night. There were only like 10 confirmed cases in GA at the time. He tested a few days later and got positive result about 8 days after... when he texted me.
March 17 - Started feeling something.. in my chest. A tightness or fullness with my breathing. It got worse that night.
March 18 - my brother texted he was positive. And the dread set in. My breathing had been okay that morning but got worse during the day. Tried meditation to regulate my breaths. I couldn’t get a full breath. 
March 19-24 - A sore throat joined the tight chest. So did diarrhea. Nasal drip. I had awful heartburn. The night of the 24th was dramatic. I was sick. Low fever hit 99-100. Had a panic attack and could not sleep. Started having cold sweats for the first time in my life. I was actually afraid to sleep. I convinced my husband to stay up with me and keep me occupied. Laying down was not an option.. I felt like I was getting about half the breath I was sucking in. When I would drift off to sleep, I would wake up feeling like I had been “missing” breaths. The morning couldn’t come quick enough. Tylenol knocked out the fever. Chloresceptic spray helped my throat. 
March 25 - went to urgent care. Like every day before, in the morning I felt better. I called ahead and they did a drive in curbside check up. She noted my increased heart rate (anxiety?) But that was it. My lungs sounded fine... I was kind of relieved but as a lot of us have heard “go home and self isolate” take care of the symptoms etc... That night wasn’t so bad. No fever, just shortness of breath. 
26th-April 1st - random bouts of headaches, body aches, breathing seemed to be getting better. I was relieved. I could FINALLY get a full night sleep. Going up and down the stairs was hard. Got winded easily again.
April 2nd - BOOM. Infamous second wave.
I stared sweating and shivering. Sweated through my clothes, drenched blanket. Low Fever 100-101. Tylenol broke it in under 2 hours. I had the worst chills and sweats. I could NOT move in bed. I felt like my joints had been welded shut. I was blindsided and really scared. Nausea and diarrhea started. My appetite was gone for 3 days. My throat was dry as a bone. I woke up every few hours feeling like I hadn’t been breathing. My heart rate was all over the place. Pounding in my chest. I started using a humidifier and it helped my throat. I wasn’t coughing and didn’t have a fever so urgent care wouldn’t see me. Called again and dr phone telemedicine call - he assured me that I’m not in emergency mode yet. Said only concerned if my fever comes back and won’t break with Tylenol. Frustrating. I somehow slept.
3rd - Couldn’t leave the bed. Chills, sweats. Sore all over. Winded just getting up to pee. Couldn’t shower for a few days just lightheaded. It was the worst. I just tried so hard to sleep. I finally did. I hadn’t had an appetite in days. I felt weak. Heart pounding in my chest. I had a burning feeling in my chest..  I could NOT try the stairs to get to the kitchen. I got winded just getting up to pew. 
4th - 6th - the weekend was a blur. My husband force fed me and I drank lots of water. I started to feel better. I could rest with only minor shortness of breath. I started to have an appetite. My Diarrhea and cramps went away. All that was left was SOB and increased heart rate. Monday the 6th, I felt good enough to go walk the dog up and down the street. Didn’t get winded. 
7th - I was feeling better. I wanted to eat everything. I did a meditation/yoga YouTube video and felt pretty good. Got winded but it felt like I was finally breathing into part of my lungs that was not available to me for the past few weeks. I had some gastro cramps and loose stool. I could tell it was still lingering. Heart rate picked up again on the 8th. All by itself. It was a sign of things to come.
8th - wtf did I do wrong. WORST DAY. Possibly the worst I’ve ever felt in my entire life. I was FLOORED. I woke up at 6am, almost gasping. My husband woke up and sleep talking says “where’s your air?” We both woke up and realized I may have not been really breathing right. I don’t have and never have experienced sleep apnea but it sounded like that. Fever had come during the night and I got Tylenol fast. It never went over 101. Temp got normal in like 2 hours. My heart rate was crazy. Felt my heart in my throat basically. This warm kind of pain in my chest. Sweating like crazy and still shivering. My feet were frozen! Went through like 6 pairs of socks as I sweated through them. My breath was the shortest it has been this whole time. I did breathing exercises and my body just would NOT get a full breath. It basically felt the same as a little less than a week ago. Was this a 3rd wave? I tried and finally went to sleep. Tried resting as much as possible. I still never felt like I needed to go to the ER. I knew I could still breath, even if it sucked. I knew I didn’t have a fever... so I felt like (along with doctors consultation) I had to stay home and fight it out. 
9-10th - my heart rate has been settling down. With it, my breathing has improved. Rest and relaxation is still hard to get. I lost my appetite again.. I have to basically force feed myself. I’ll chew and chew until I’m kinda forced to swallow. My body is not interested. I’m so sore. I feel like I just had a major full body deep tissue massage. But not in the good way. I keep doing breathing exercises and try to get the air as deep in my lungs as possible. I feel it making a difference. I can start to sleep comfortably without the SOB. 
11-14th - today! I feel pretty good. Cautiously optimistic. I’ve felt good before and been floored with another “wave”... but my heart rate is chilling out. My shortness of breath is still there, but not so apparent anymore. My gastro issues are still kind if there. Minor lose stool once a day. I have been able to walk up and down the block a couple times these past few days. I definitely still get winded if I do any cardio things... even running up the stairs is a no-no right now.  I’m going to bed tonight without any concerns of my health. The little stuff I still feel, I think it’s just going to take a lot of time. Any inflammation that messed with my body will take time to heal. My body craves rest and food. I want to eat everything in the house. I’m also completely able to nap for multiple hours finally. 
——-
I hope your recovery comes fast. I surely wasn’t expecting to be dealing with this for nearly a month. And I’m guessing I’ll be healing for months to come. 
Good luck out there.
💜</t>
        </is>
      </c>
      <c r="D371" t="n">
        <v>55</v>
      </c>
      <c r="E371" t="n">
        <v>51</v>
      </c>
      <c r="F371">
        <f>HYPERLINK("https://www.reddit.com/r/COVID19positive/comments/g137us/finally_feeling_better_my_recovery_story/")</f>
        <v/>
      </c>
      <c r="G371" t="inlineStr">
        <is>
          <t>2020-04-14 03:37:46</t>
        </is>
      </c>
      <c r="H371" t="inlineStr">
        <is>
          <t>Tested Positive - Me</t>
        </is>
      </c>
    </row>
    <row r="372">
      <c r="A372" t="inlineStr">
        <is>
          <t>g15mtg</t>
        </is>
      </c>
      <c r="B372" t="inlineStr">
        <is>
          <t>My sister in law Marissa (Marissa_Is_Me) posted about her fading condition yesterday. Here's an update.</t>
        </is>
      </c>
      <c r="C372" t="inlineStr">
        <is>
          <t>She was taken to ICU at about 8:00 last night. She was heavily monitored and doctors tried all sorts of things but were left with no other option and intubated her at about 7:45 this morning. The prognosis is, frankly, quite grim. 72 hours ago she was still trying to ride this out at home. Now she's on a ventilator.
The support she got in her post means a lot to me and the rest of us who love her. She's tough as shit. She can do this. But at the moment, it's really looking like she has an uphill battle.</t>
        </is>
      </c>
      <c r="D372" t="n">
        <v>1118</v>
      </c>
      <c r="E372" t="n">
        <v>221</v>
      </c>
      <c r="F372">
        <f>HYPERLINK("https://www.reddit.com/r/COVID19positive/comments/g15mtg/my_sister_in_law_marissa_marissa_is_me_posted/")</f>
        <v/>
      </c>
      <c r="G372" t="inlineStr">
        <is>
          <t>2020-04-14 06:35:35</t>
        </is>
      </c>
      <c r="H372" t="inlineStr">
        <is>
          <t>Tested Positive - Family</t>
        </is>
      </c>
    </row>
    <row r="373">
      <c r="A373" t="inlineStr">
        <is>
          <t>g1613c</t>
        </is>
      </c>
      <c r="B373" t="inlineStr">
        <is>
          <t>Possible mild case?</t>
        </is>
      </c>
      <c r="C373" t="inlineStr">
        <is>
          <t>I’m 29 and female, over weight not sure of my bmi and I vape. I’m not sure if I have/had a possible mild case of covid19. My symptoms started out with a sore throat that came and went for about two weeks. During that two week period I developed a mild fever around 101 at its highest. I had chills too. I still have an occasional dry cough but it’s not constant just annoying when it starts. I’m still very tired three weeks later and still have a dry cough. 
My mam is positive,I don’t live with her, I last seen her on March 16th and her symptoms started on the 17th/18th and mine started the following week. How likely is it that I got a mild case? 
My partner has had a cough no other symptoms and my children seem unaffected? Unfortunately trying to get a test is difficult my sister got tested nearly two weeks ago and no result yet. She only got tested because she works in healthcare. My mam got tested before they changed the criteria here. 
I’m just curious because my mam was so unwell, she didn’t need to go to hospital but she was so sick and still isn’t in great shape. Can the virus affect people so differently? Could my relatively mild symptoms be the virus?</t>
        </is>
      </c>
      <c r="D373" t="n">
        <v>2</v>
      </c>
      <c r="E373" t="n">
        <v>5</v>
      </c>
      <c r="F373">
        <f>HYPERLINK("https://www.reddit.com/r/COVID19positive/comments/g1613c/possible_mild_case/")</f>
        <v/>
      </c>
      <c r="G373" t="inlineStr">
        <is>
          <t>2020-04-14 07:00:27</t>
        </is>
      </c>
      <c r="H373" t="inlineStr">
        <is>
          <t>Tested Positive - Family</t>
        </is>
      </c>
    </row>
    <row r="374">
      <c r="A374" t="inlineStr">
        <is>
          <t>g16e3t</t>
        </is>
      </c>
      <c r="B374" t="inlineStr">
        <is>
          <t>96 year old relative just passed after 10 days</t>
        </is>
      </c>
      <c r="C374" t="inlineStr">
        <is>
          <t>I want to thank you all for your previous comments and support. Tony (my cousin's father) received the hydroxychloroquine cocktail on day 1 as a precaution when the nurses in his nursing home found that he had a fever of 101. His fever went way down on day 5, he ate a bit, and overall seemed to be getting better that day, and then everything got much worse: more coughing, labored breathing, and then he became unresponsive for the last 2 days. He had no underlying health issues. My cousin and the medical director made the decision to keep him in the nursing home where he could be comfortable since there was virtually no chance he would survive intubation.
He was a great man, a veteran, and a good father.
I thought some people might be interested in hearing about a super elderly case.</t>
        </is>
      </c>
      <c r="D374" t="n">
        <v>77</v>
      </c>
      <c r="E374" t="n">
        <v>15</v>
      </c>
      <c r="F374">
        <f>HYPERLINK("https://www.reddit.com/r/COVID19positive/comments/g16e3t/96_year_old_relative_just_passed_after_10_days/")</f>
        <v/>
      </c>
      <c r="G374" t="inlineStr">
        <is>
          <t>2020-04-14 07:22:02</t>
        </is>
      </c>
      <c r="H374" t="inlineStr">
        <is>
          <t>Tested Positive - Family</t>
        </is>
      </c>
    </row>
    <row r="375">
      <c r="A375" t="inlineStr">
        <is>
          <t>g17qx6</t>
        </is>
      </c>
      <c r="B375" t="inlineStr">
        <is>
          <t>How To Identify If You Are A Suspect Of Coronavirus?</t>
        </is>
      </c>
      <c r="C375" t="inlineStr">
        <is>
          <t># What is coronavirus?
[The coronavirus](https://5factum.com/coronavirus-countries-with-confirmed-cases/) is a family of viruses that can cause a range of illnesses in humans including the common cold and more severe forms like SARS and MERS which are life-threatening. The virus is named after its shape which takes the form of a crown with protrusions around it and hence is known as [coronavirus.](https://5factum.com/coronavirus-countries-with-confirmed-cases/)
# Symptoms of [coronavirus](https://5factum.com/coronavirus-countries-with-confirmed-cases/)
#### [According to the World Health Organization (WHO), the main symptoms of the coronavirus usually include:](https://5factum.com/how-to-identify-if-you-are-a-suspect-of-coronavirus/)
* A dry cough
* A temperature
* Tiredness
* Shortness of breath (in more severe cases)
* Some patients may have “aches and pains, nasal congestion, runny nose, sore throat or diarrhoea”, the WHO adds. “These symptoms are usually mild and begin gradually. Some people become infected but don’t develop any symptoms and don’t feel unwell”.</t>
        </is>
      </c>
      <c r="D375" t="n">
        <v>0</v>
      </c>
      <c r="E375" t="n">
        <v>1</v>
      </c>
      <c r="F375">
        <f>HYPERLINK("https://www.reddit.com/r/COVID19positive/comments/g17qx6/how_to_identify_if_you_are_a_suspect_of/")</f>
        <v/>
      </c>
      <c r="G375" t="inlineStr">
        <is>
          <t>2020-04-14 08:36:50</t>
        </is>
      </c>
      <c r="H375" t="inlineStr">
        <is>
          <t>Tested Positive</t>
        </is>
      </c>
    </row>
    <row r="376">
      <c r="A376" t="inlineStr">
        <is>
          <t>g1804c</t>
        </is>
      </c>
      <c r="B376" t="inlineStr">
        <is>
          <t>Tested positive today</t>
        </is>
      </c>
      <c r="C376" t="inlineStr">
        <is>
          <t>I went to bed on 4/12 feeling normal. Yesterday (4/13) I awoke at 3am with severe chills and body aches. I called the covid hotline at my job and received a call back to come in for a test at 11am. I had myalgias, headache, low grade fever and nasal congestion all day. This morning (day 2--4/14) I received a call at 930am saying I had tested positive for coronavirus. I'm very worried. I have two small children. Any words of encouragement would be great.</t>
        </is>
      </c>
      <c r="D376" t="n">
        <v>29</v>
      </c>
      <c r="E376" t="n">
        <v>28</v>
      </c>
      <c r="F376">
        <f>HYPERLINK("https://www.reddit.com/r/COVID19positive/comments/g1804c/tested_positive_today/")</f>
        <v/>
      </c>
      <c r="G376" t="inlineStr">
        <is>
          <t>2020-04-14 08:50:44</t>
        </is>
      </c>
      <c r="H376" t="inlineStr">
        <is>
          <t>Tested Positive - Me</t>
        </is>
      </c>
    </row>
    <row r="377">
      <c r="A377" t="inlineStr">
        <is>
          <t>g18686</t>
        </is>
      </c>
      <c r="B377" t="inlineStr">
        <is>
          <t>Day 6 - Presumed Positive (not "sick enough" for test)</t>
        </is>
      </c>
      <c r="C377" t="inlineStr">
        <is>
          <t>It started with a slight cough on Wednesday the 8th that night, progressed Thursday and Friday into some coughing fits along with fever and very slight tightness in my chest but not really bad. Health department said I'm not "sick enough" to get tested but they told me I'm presumed positive and to do the whole isolation deal.
Today has been the worst day, it is hitting me hard today. Shortness of breath, tightness in my chest, my ribs hurt on both sides and feel tight, really bad coughing fits. My wife is worried about me, I promised her that if I don't feel any better or start getting worse I'll let her know and will go to the hospital straight away.
This is the worst I've ever felt and it's not even oh I'm congested because of a cold or flu feeling, this feels way different, worse, it feels like my lungs are fighting against me in a way. Part of me is scared if I go to the hospital I won't come back out any time soon if at all, another part of me is scared of losing my job because we just had a round of layoffs and now I'm the only one that can do the work for my position.
Edit: Just a small update that I will hopefully remember to provide in future posts. My current sp02 is 96%, normally run 98/99% so slightly down from my normal.</t>
        </is>
      </c>
      <c r="D377" t="n">
        <v>17</v>
      </c>
      <c r="E377" t="n">
        <v>12</v>
      </c>
      <c r="F377">
        <f>HYPERLINK("https://www.reddit.com/r/COVID19positive/comments/g18686/day_6_presumed_positive_not_sick_enough_for_test/")</f>
        <v/>
      </c>
      <c r="G377" t="inlineStr">
        <is>
          <t>2020-04-14 08:59:37</t>
        </is>
      </c>
      <c r="H377" t="inlineStr">
        <is>
          <t>Tested Positive - Me</t>
        </is>
      </c>
    </row>
    <row r="378">
      <c r="A378" t="inlineStr">
        <is>
          <t>g1bcf9</t>
        </is>
      </c>
      <c r="B378" t="inlineStr">
        <is>
          <t>Uncle 55 hospitalized almost a Month</t>
        </is>
      </c>
      <c r="C378" t="inlineStr">
        <is>
          <t>Hoping others who went through or are going through can benefit from this experience. Those who have went through this please chime in with your stories as I feel hand-tied unable to do anything but wait.
NYC Uncle 55yr non previous health issue:
Got sick with flu-like symptoms for a week before it all started getting worst.
March 23:took him to Urgent care as he had fevers and dry cough. They did not test and sent him home with Advil.
March 25: took him to ER as he has shortness of breath with chills/fever and dry cough. ER did not test and said he should recover home quarantined with Advil again and to return in 3 days if symptoms worsen (He had all symptoms for a test yet they failed him)
March 27: called an Ambulance as he was not getting enough oxygen and couldn’t breath. Finally they took him to a Hospital and had him overnight under oxygen tubes and tested him. 2 days later received a call that he tested positive.
March 27- April 02: he was diagnosed with pneumonia, since being admitted to the Hospital (now a week) he was under the regular oxygen machine with tubes the nose in hopes to clear his lungs and provide him with oxygen. Doctor said they were closely monitoring him and hope they will not need to intubate him (ventilator)
April 03- April 10: doctors intubated him due to his lack of oxygen and him bot being able to breath. He was put under a ventilator. I did not know what to expect nor ask at this point. I cannot go visit him nor speak to him. He was sedated most of the time as the machine is painful to be kept conscious. He was under an urinator and was fed liquids. They told me they were giving him antibiotics. Due to the pneumonia his lungs were weak and not recovering well. I called every day to check on him but it was so hard to get ahold of the Doctors in charge, the only info was provided by the nurses and it wasn’t much. One day nurse will tell him he’s doing fine, he looks fine. Other days nurse will tell me his blood pressure was low and he doesn’t look well. When a doctor was finally available to speak all they told me was they will keep monitoring him kn hopes his lungs recover. 
April 11 - present: Doctors removed him from the ventilator ( they called and told me he was doing  well and will switch him to a CPAP machine) he is back on this CPAP oxygen face mask machine and he was complaining he is not receiving enough oxygen as well as a super dry throat. I tried telling the doctors and they upped his oxygens. But i feel like he is back to day 1 no when he was unable to breath on his on and he looks terrible, can barely speak. Also he told me doctors give him ice cold water. Doctors once again only tel me they are closely monitoring him and hope to not return him back to ventilator as well as they as outpatient and do not have enough equipment or staff. So they really hope he does not require a ventilator again. They tell me he removes the oxygen mask all the time.
I do not know what to do or what to think anymore. I know doctors and healthcare workers know best and are doing their best with so little they have but I feel as if he is being neglected somehow. (NYC Brooklyn’s most hard hit Hospital)
Other who went through or know of this...What should I expect now in terms of him recovering or staying of out the danger zone? Should i look into may be transferring him to another hospital with less covid19 patients..say somewhere out of state? 
Thank you all 
Bless</t>
        </is>
      </c>
      <c r="D378" t="n">
        <v>7</v>
      </c>
      <c r="E378" t="n">
        <v>1</v>
      </c>
      <c r="F378">
        <f>HYPERLINK("https://www.reddit.com/r/COVID19positive/comments/g1bcf9/uncle_55_hospitalized_almost_a_month/")</f>
        <v/>
      </c>
      <c r="G378" t="inlineStr">
        <is>
          <t>2020-04-14 11:48:59</t>
        </is>
      </c>
      <c r="H378" t="inlineStr">
        <is>
          <t>Tested Positive - Family</t>
        </is>
      </c>
    </row>
    <row r="379">
      <c r="A379" t="inlineStr">
        <is>
          <t>g1bcwk</t>
        </is>
      </c>
      <c r="B379" t="inlineStr">
        <is>
          <t>All different, mild symptoms in same household</t>
        </is>
      </c>
      <c r="C379" t="inlineStr">
        <is>
          <t>I am presumed positive as my father in law (who lives in the same house) was diagnosed as positive over telemedicine - we aren't sick enough for tests.    We're in NYC and everyone in the house is able to work from home.  Wanted to give a day by day of myself, as well as my FIL and my husbands symptoms:
FIL - Mid 70's, average weight/height, non-smoker, diabetic:  Been sick for around 2.5 weeks, starting around March 27th.    Days 1-3 - achey, exhausted (sleeping all day), fever ranging up to 101, and confusion.  Symptoms continue, he is diagnosed with a UTI (telemedicine), takes antibiotics days 3-7, but confusion, exhaustion, lack of appetite all worsen.  Fever is managed with acetaminophen.  Day 8 - 2nd telemedicine appointment, doctor believes he has covid-19, and prescribes hydroxychloroquine and azithromycin.  Day 8-15 (today, last day antibiotics) - no fever for about a week now, much better appetite, energy, much less confusion.  He never developed a cough.
Husband - Early 30s, average weight/height, non-smoker, no co-morbitities:  Symptoms for a week, starting on April 1. On and off cough, low grade fever on days 3-4.  Some chest soreness.  Day 5- telemedicine diagnosed him with bronchitis, prescribed an albuterol inhaler and benzonatate.  I was surprised that they didn't say he was presumed covid-19, since his father had been diagnosed at this time.  He is now on day 12, less albuterol and benzonatate each day.  Still coughing on and off but chest doesn't hurt anymore.  He has some lingering tiredness and aches.
Myself - late 20s, average weight/height (had been working out daily before symptoms started), non-smoker, no co-morbidities.
Day 1 - (April 2nd):  Feel out of it at night, don't feel like participating in my friend's zoom session but power through.
Day 2 - Diarrhea at night, followed by chest and stomach burning all night.  Felt like heartburn but more throughout my entire chest and more painful than usual heartburn.
Day 3- no symptoms
Day 4 - Realize I have no sense of smell or taste.  I was congested, and thought it might be a normal cold.
Day 5/6 - Same as day 4, feel exhausted while cooking, need to take breaks and sit for a bit.  Realize that nose isn't stuffy, but can't smell any of the garlic I am adding to my meal.  Inside of nose and deep sinuses feel like they have been burnt, or like I inhaled water up into my nose.
Day 7 - Wake up with a sore throat, other symptoms are the same.  Have a headache at nigh
Day 8 - Taste is slightly coming back - but not smell.  Accidentally take a sip of sour milk because I couldn't smell it, it tasted bitter and disgusting but not "sour."  Had a headache at night and slight body aches.  Also had dizzy spells.  This was also the only day that I had a cough on and off throughout the day, and it was worse at night.
Day 9 - Taste and smell continues to improve, but legs ache like I worked out hard.  Enough to keep me up, but went away with Tylenol.  Dizzy spells continued, but not as bad as the previous day.
Day 10 - Very lazy day, nap on and off, legs hurt at night
Day 11 - Smell/taste at about 50%, still have burning sinus feeling, lingering tiredness.  Also develop a giant cold sore - not sure if this has something to do with my immune response. 
Day 12 - Feel better, more energy, can focus on work, but have a weird episode of chest tightness (no cough, and can still take deep breaths).
Also - had stomach problems (diarrhea, nausea) on and off, sore throat on some mornings (feels like post -nasal drip).  Days 5-10 had general malaise, couldn't focus on work, took lots of naps, basically, the entire week is blurry.    Although husband had the cough, our consensus is that I felt worse than he did.
Husband and I have been taking probiotics, vitamin D, and vitamin C since the middle of March.  We also have been doing some deep breathing exercises (I also do them for anxiety).
TL;DR:  3 people in the same house, one telemed diagnosed as positive, two presumed positive.  All different, relatively mild symptoms.</t>
        </is>
      </c>
      <c r="D379" t="n">
        <v>8</v>
      </c>
      <c r="E379" t="n">
        <v>13</v>
      </c>
      <c r="F379">
        <f>HYPERLINK("https://www.reddit.com/r/COVID19positive/comments/g1bcwk/all_different_mild_symptoms_in_same_household/")</f>
        <v/>
      </c>
      <c r="G379" t="inlineStr">
        <is>
          <t>2020-04-14 11:49:44</t>
        </is>
      </c>
      <c r="H379" t="inlineStr">
        <is>
          <t>Tested Positive - Family</t>
        </is>
      </c>
    </row>
    <row r="380">
      <c r="A380" t="inlineStr">
        <is>
          <t>g1bg3i</t>
        </is>
      </c>
      <c r="B380" t="inlineStr">
        <is>
          <t>An American COVID Story - Contracting Coronavirus in the greatest country between Mexico and Canada</t>
        </is>
      </c>
      <c r="C380" t="inlineStr">
        <is>
          <t>I have been following the developments of this virus since early January, and contracted it myself in late February. I am still recovering (30+ days later), but I think the worst is behind me. I still experience periodic breathing difficulties and had a  particularly bad episode last night. I have an Albuterol inhaler, which is helping out a lot.
What has been the most mind-boggling and infuriating for me is just watching everyone around me, and the country in general, going through these phases of denial and fear. First, it was just a Chinese thing, then just a European thing, then just a hoax, then just a flu. Suddenly one day everyone realizes that they ran out of toilet paper and need to stock up for the next five years.
Several months into this thing and we are just getting on board with wearing masks and enforcing social distancing, but most essential workers still don't have access to basic PPE. This is supposed to be the wealthiest country in the world, totally the best. So why are we struggling with these fundamental concepts? Rhetorical question! I know the trolls are getting their panties in a bunch over this one.
I wrote a Medium article about my experience and what I've observed around me. I hope it helps some people understand what's happening.
[An American COVID Story](https://medium.com/@spacehaze/an-american-covid-story-30dc10fc1ee5)</t>
        </is>
      </c>
      <c r="D380" t="n">
        <v>2</v>
      </c>
      <c r="E380" t="n">
        <v>3</v>
      </c>
      <c r="F380">
        <f>HYPERLINK("https://www.reddit.com/r/COVID19positive/comments/g1bg3i/an_american_covid_story_contracting_coronavirus/")</f>
        <v/>
      </c>
      <c r="G380" t="inlineStr">
        <is>
          <t>2020-04-14 11:54:25</t>
        </is>
      </c>
      <c r="H380" t="inlineStr">
        <is>
          <t>Tested Positive - Me</t>
        </is>
      </c>
    </row>
    <row r="381">
      <c r="A381" t="inlineStr">
        <is>
          <t>g1bmyi</t>
        </is>
      </c>
      <c r="B381" t="inlineStr">
        <is>
          <t>Day 30 Since First Symptomatic</t>
        </is>
      </c>
      <c r="C381" t="inlineStr">
        <is>
          <t>Hi there, I have been sick since about March 15th. I tested positive on March 24th. 
Like many people, this has been a roller-coaster for me.  I am, at this point, no longer febrile and I have my taste and smell back (although not at full force). Every morning I wake up terrified that I'm going to back slide since my recovery has been so up and down. 
Lately, despite feeling pretty well, I have had terrible heartburn and what feels like something caught in my throat. It burns when I swallow and is very uncomfortable. I have been treating this with tums but it makes eating unappealing. 
I remain slightly fatigued and foggy -- my memory and ability to focus have suffered through this. Just wondering if anyone else is experiencing heartburn or what feels like heartburn. I have an oximeter and my blood oxygen level seems fine. I still have a slight although productive cough but it's not crazy. No headache any more, thank god, and as I said, no fever. Thanks all, be well!</t>
        </is>
      </c>
      <c r="D381" t="n">
        <v>9</v>
      </c>
      <c r="E381" t="n">
        <v>8</v>
      </c>
      <c r="F381">
        <f>HYPERLINK("https://www.reddit.com/r/COVID19positive/comments/g1bmyi/day_30_since_first_symptomatic/")</f>
        <v/>
      </c>
      <c r="G381" t="inlineStr">
        <is>
          <t>2020-04-14 12:04:32</t>
        </is>
      </c>
      <c r="H381" t="inlineStr">
        <is>
          <t>Tested Positive - Me</t>
        </is>
      </c>
    </row>
    <row r="382">
      <c r="A382" t="inlineStr">
        <is>
          <t>g1bpdm</t>
        </is>
      </c>
      <c r="B382" t="inlineStr">
        <is>
          <t>My pregnant baby mama (33) and I (35) have had a fever for 9 days now</t>
        </is>
      </c>
      <c r="C382" t="inlineStr">
        <is>
          <t>I assumed we would be getting over it soon thinking “symptoms start on day 5 and by day 14 “ back to work but from reading these posts it seems more like 30days. 
So far the biggest problem for us has been our toddler is full of energy and we are lethargic and feverish. 
We have some food saved, lots of liquids and are getting as much rest as we can with a toddler. We are always hungry, achey and I have a slight cough. 
This is the longest I can remember ever having a fever and it comes in waves. I’m in between 99-101 and she is in between 100-102 right now. It is definitely surreal experience. 
Good luck everyone</t>
        </is>
      </c>
      <c r="D382" t="n">
        <v>3</v>
      </c>
      <c r="E382" t="n">
        <v>4</v>
      </c>
      <c r="F382">
        <f>HYPERLINK("https://www.reddit.com/r/COVID19positive/comments/g1bpdm/my_pregnant_baby_mama_33_and_i_35_have_had_a/")</f>
        <v/>
      </c>
      <c r="G382" t="inlineStr">
        <is>
          <t>2020-04-14 12:07:59</t>
        </is>
      </c>
      <c r="H382" t="inlineStr">
        <is>
          <t>Tested Positive</t>
        </is>
      </c>
    </row>
    <row r="383">
      <c r="A383" t="inlineStr">
        <is>
          <t>g1cl6r</t>
        </is>
      </c>
      <c r="B383" t="inlineStr">
        <is>
          <t>Adderall while sick?</t>
        </is>
      </c>
      <c r="C383" t="inlineStr">
        <is>
          <t>So I was tested on Easter, still waiting for the results to come back. I have all the classic symptoms, possibly caught the virus when helping ICU nurses with a positive patient needing rapid response team. The ER doc highly suspects a positive. 
My main question is, can I take stimulants while sick with a respiratory illness? I have bad adhd and adderall helps me out a lot, but it’s a vasoconstrictor, would that increase my chance for pneumonia (have none currently, normal chest X-ray)? 
I don’t want to make myself sicker accidentally.</t>
        </is>
      </c>
      <c r="D383" t="n">
        <v>6</v>
      </c>
      <c r="E383" t="n">
        <v>15</v>
      </c>
      <c r="F383">
        <f>HYPERLINK("https://www.reddit.com/r/COVID19positive/comments/g1cl6r/adderall_while_sick/")</f>
        <v/>
      </c>
      <c r="G383" t="inlineStr">
        <is>
          <t>2020-04-14 12:53:44</t>
        </is>
      </c>
      <c r="H383" t="inlineStr">
        <is>
          <t>Tested Positive - Me</t>
        </is>
      </c>
    </row>
    <row r="384">
      <c r="A384" t="inlineStr">
        <is>
          <t>g1d772</t>
        </is>
      </c>
      <c r="B384" t="inlineStr">
        <is>
          <t>My brother presumably positive</t>
        </is>
      </c>
      <c r="C384" t="inlineStr">
        <is>
          <t>My brother just called and told me that he has a a really bad sore throat and a pounding headache. My mother told me that he gets pharyngitis/tonsillitis relatively easily has and had had them in the past many times. Most of his symptoms correlate with his previous experience with tonsillitis however this time he has a pounding headache and night sweats. I am so scared, i just lost my cousin to corona few weeks ago and my brother testing positive would destroy my family. 
What if it gets bad for him like it did with my cousin what if he has to be put on the ventilator like him. We’re all in a different cities than him and living in a 3rd world country who would even take him to the hospital if something goes bad. 
I am freaking out i cant go through it all over again what i went through with my cousin. I am extremely scared. So helpless, just waiting for other symptoms to develop. Please god save him i cant go through this all over again.</t>
        </is>
      </c>
      <c r="D384" t="n">
        <v>5</v>
      </c>
      <c r="E384" t="n">
        <v>5</v>
      </c>
      <c r="F384">
        <f>HYPERLINK("https://www.reddit.com/r/COVID19positive/comments/g1d772/my_brother_presumably_positive/")</f>
        <v/>
      </c>
      <c r="G384" t="inlineStr">
        <is>
          <t>2020-04-14 13:26:58</t>
        </is>
      </c>
      <c r="H384" t="inlineStr">
        <is>
          <t>Tested Positive - Family</t>
        </is>
      </c>
    </row>
    <row r="385">
      <c r="A385" t="inlineStr">
        <is>
          <t>g1e4xg</t>
        </is>
      </c>
      <c r="B385" t="inlineStr">
        <is>
          <t>Looking for a recovered COVID patient to donate plasma in Dallas/FT Worth area</t>
        </is>
      </c>
      <c r="C385" t="inlineStr">
        <is>
          <t>My dad is almost at his end...possibly. We are running out of options and tracheotomy was his next plan but he is still COVID positive so they cannot perform the procedure if he is still positive. I’ve been talking to the doctor in possibly doing plasma as I’ve read in articles. We want to give things our best shot before we consider comfort care. If there is anyone who is 14 days + recovered and would like to donate please, i would appreciate it so much. I haven’t been able to ask if blood type is a factor, so i need to ask about that. Sending everyone good health! Thank you.
Edit: Doctor informed me today that my Dad has no chance of recovery and he won’t survive this. he’s really sick and his lungs seem to be worsening even though his organs and vitals are good. Going to have another talk with the Doctor tomorrow at noon.
Edit# 2: Ill be sure to talk to the Doctor if there’s anything they can do or start some kind of antibiotic/anti viral medicine, kind of give it a last shot and see if he responds. I love my dad so much and he’s always been there for me. I always was a daddy’s girl. I nursed him the week he was sick and stayed every night at his house to make sure he was taking his medicine properly up until the day I was able to get him admitted into the hospital. This virus has claimed so many lives, this just sucks so much. 
I want to keep some donors in mind in the case the doctor think it won’t hurt to try someone’s plasma!</t>
        </is>
      </c>
      <c r="D385" t="n">
        <v>598</v>
      </c>
      <c r="E385" t="n">
        <v>65</v>
      </c>
      <c r="F385">
        <f>HYPERLINK("https://www.reddit.com/r/COVID19positive/comments/g1e4xg/looking_for_a_recovered_covid_patient_to_donate/")</f>
        <v/>
      </c>
      <c r="G385" t="inlineStr">
        <is>
          <t>2020-04-14 14:20:19</t>
        </is>
      </c>
      <c r="H385" t="inlineStr">
        <is>
          <t>Tested Positive - Family</t>
        </is>
      </c>
    </row>
    <row r="386">
      <c r="A386" t="inlineStr">
        <is>
          <t>g1e81m</t>
        </is>
      </c>
      <c r="B386" t="inlineStr">
        <is>
          <t>Hydroxychloroquine the malaria medicine</t>
        </is>
      </c>
      <c r="C386" t="inlineStr">
        <is>
          <t>Anyone here on this malaria medicine? I've been sick since March 20th, and I'm starting the malaria medicine tomorrow. I'm kind of anxious and scared.
I'm not in the hospital. I'm home. Am I gonna be okay?</t>
        </is>
      </c>
      <c r="D386" t="n">
        <v>5</v>
      </c>
      <c r="E386" t="n">
        <v>35</v>
      </c>
      <c r="F386">
        <f>HYPERLINK("https://www.reddit.com/r/COVID19positive/comments/g1e81m/hydroxychloroquine_the_malaria_medicine/")</f>
        <v/>
      </c>
      <c r="G386" t="inlineStr">
        <is>
          <t>2020-04-14 14:25:07</t>
        </is>
      </c>
      <c r="H386" t="inlineStr">
        <is>
          <t>Tested Positive - Me</t>
        </is>
      </c>
    </row>
    <row r="387">
      <c r="A387" t="inlineStr">
        <is>
          <t>g1e9tt</t>
        </is>
      </c>
      <c r="B387" t="inlineStr">
        <is>
          <t>Day 2- Presumed Positive</t>
        </is>
      </c>
      <c r="C387" t="inlineStr">
        <is>
          <t>I work at a gas station, so essential worker. Been washing hands, wearing mask, but still think I have it.
This past Saturday (4/11) had diarrhea for an hour or two, was bloated and gassy, but I brushed it off. For a few days I'd been having headaches, figured it was sinus/allergy related because it's been raining a lot around her, whatever.
Early monday morning wake up freezing. Put on more clothes, go to sleep, wake up drenched in weat. Fever of 101.1.
Exhausted most of the day, just feel grossly fatigued. Get to bed early that night, wake up at 3am with a fever of 102.3. Take tylenol, put a wet rag on my face, ect.
Fell asleep again and woke up at 8am drenched in sweat, fever seemed to have broke.
Today I've been exhausted and the fever comes and goes. Also congested- no snot, but hard time breathing through my nose. And I had some heart palpation earlier, but that was when my fever was really high (101) and also I have anxiety so trying to look on the bright side here.
My brother lives in the same house as me and has brain cancer so I'm beyond stressed. Been locked in my room these past few days and quite bored. I take tylenol when the fever gets over 101, and I took some motrin 3 hours later because fever was still over 100.
I have anxiety and this isn't fun. I mean, I've had flu/strep that felt worse, but I also have OCD and so I just keep reading articles and I worry day 7 of the disease will come and I will go into respiratory distress and die. 
Any words fo encouragement?</t>
        </is>
      </c>
      <c r="D387" t="n">
        <v>11</v>
      </c>
      <c r="E387" t="n">
        <v>5</v>
      </c>
      <c r="F387">
        <f>HYPERLINK("https://www.reddit.com/r/COVID19positive/comments/g1e9tt/day_2_presumed_positive/")</f>
        <v/>
      </c>
      <c r="G387" t="inlineStr">
        <is>
          <t>2020-04-14 14:27:42</t>
        </is>
      </c>
      <c r="H387" t="inlineStr">
        <is>
          <t>Tested Positive - Me</t>
        </is>
      </c>
    </row>
    <row r="388">
      <c r="A388" t="inlineStr">
        <is>
          <t>g1eqm8</t>
        </is>
      </c>
      <c r="B388" t="inlineStr">
        <is>
          <t>Home Remedies</t>
        </is>
      </c>
      <c r="C388" t="inlineStr">
        <is>
          <t>I’ve been dealing with Covid the last week or so and I’m finally feeling a lot better so I thought I’d share some home remedies that helped. 
 For reference, I’m a 29 y/o female, I live in NYC and I had: 
loss of smell/taste, chest pain/pressure, body aches, diarrhea, chills, headache/lightheadedness, nausea/ vomiting (1x), Coughing, no fever
Today is day 8 and I feel pretty good.
+ I started with this tea my mom told me about
Water,
2 navel orange peels,
Half an onion,
3 cloves of garlic,
1 lime,
1 lemon,
2 oz of chopped ginger,
Throw it all in a pot and let it simmer. It tastes like shit, not gonna lie. But I’m convinced it was a game changer and I’d have it at least 4 times a day. I was peeing every hour or so. It’s important to stay hydrated so have lots of water too. 
+ For chest pains:  I’d use a hot compress on my chest and this helped for some reason. I have a reusable one that I’d just put in the microwave to heat up. A heating pad works too. I had read something about this virus disliking heat so I took that and ran with it. 
+ Lots of hot showers and I’d put on the heat in my bedroom at night.
+ I’d boil water and put in two spoons of vicks, and do a steam with it twice a day (morning and night). Stand over the pot, cover your head with a towel and breathe in and out slowly.
+ The headache was the most annoying symptom for me. It lasted so long. I don’t really take medication, but I had to pop Tylenol a few times. It helps with the body aches too. I popped Advil early on in my symptoms before I knew it was Covid but I stopped.
+ My only meals have been soup and white rice a few times a day as well as several oranges. (At least 3 a day) this was all i could stomach.
+ I took vitamin C and Zinc pills. I struggled to sleep sometimes so I took Natrol melatonin Gummies. 
I didn’t expect to get this thing. I’ve been working from home since March 16th and only went to target twice and cityMD. The doctor there diagnosed me with allergies. Gave me a nasal spray and sent me on my way. 
I went to a different walk in clinic on Sunday and was able to get tested. I got my results yesterday but I already knew it was covid. 
Anyway, hope this helps. Be safe everyone!</t>
        </is>
      </c>
      <c r="D388" t="n">
        <v>68</v>
      </c>
      <c r="E388" t="n">
        <v>20</v>
      </c>
      <c r="F388">
        <f>HYPERLINK("https://www.reddit.com/r/COVID19positive/comments/g1eqm8/home_remedies/")</f>
        <v/>
      </c>
      <c r="G388" t="inlineStr">
        <is>
          <t>2020-04-14 14:53:30</t>
        </is>
      </c>
      <c r="H388" t="inlineStr">
        <is>
          <t>Tested Positive - Me</t>
        </is>
      </c>
    </row>
    <row r="389">
      <c r="A389" t="inlineStr">
        <is>
          <t>g1eyax</t>
        </is>
      </c>
      <c r="B389" t="inlineStr">
        <is>
          <t>6 Year Old with fever for 26 says</t>
        </is>
      </c>
      <c r="C389" t="inlineStr">
        <is>
          <t>My 6 year old son and I are both presumed positive, but unable to test. It’s been 26 days. I’m still dealing with fatigue and weakness, but mostly recovered. My 6 year old still has a low grade fever (100.4 F or lower) and mild stomach issues. I’m beginning to worry for him. Anyone else heard about a similar experience with children?</t>
        </is>
      </c>
      <c r="D389" t="n">
        <v>20</v>
      </c>
      <c r="E389" t="n">
        <v>19</v>
      </c>
      <c r="F389">
        <f>HYPERLINK("https://www.reddit.com/r/COVID19positive/comments/g1eyax/6_year_old_with_fever_for_26_says/")</f>
        <v/>
      </c>
      <c r="G389" t="inlineStr">
        <is>
          <t>2020-04-14 15:05:04</t>
        </is>
      </c>
      <c r="H389" t="inlineStr">
        <is>
          <t>Tested Positive - Family</t>
        </is>
      </c>
    </row>
    <row r="390">
      <c r="A390" t="inlineStr">
        <is>
          <t>g1fmj6</t>
        </is>
      </c>
      <c r="B390" t="inlineStr">
        <is>
          <t>Shortness of breath/can’t get a full breath</t>
        </is>
      </c>
      <c r="C390" t="inlineStr">
        <is>
          <t>Hello, I (21m) (heavy weed smoker since 16 until being ill) (no underlying health issues) am currently on day 7 with some questions for those who are also positive. I started with throwing up, tight chest, and diarrhea with a 99.3 fever first 3 days. The 4th day my fever resided and since then (day 4-7) I have just experienced tightness of my chest and having trouble taking a full breath as well as GI issues. My blood oxygen saturation has stayed between 95-97 (usually 97-99) and I can still get oxygen in to my lungs it is just a very uncomfortable feeling and feels inflamed or damaged. I had an x-ray done yesterday and it revealed what my doctor told me was a “clear chest” telling me I am “perfectly fine” however I’m not sure how accurate that is on account of what I am experiencing and the fact that it was not a cat scan. Everywhere I read the symptom shortness of breath it is usually followed by (in severe cases). I am just curious if anyone else out there is experiencing this without continuing onwards respiratory distress or hospitalization. I don’t want to jump the gun but my body is starting to feel good just lungs not so much! Thank you guys so much in advance and I wish every single one of you the best.
If anyone is interested I just started a z pack and have been using albuterol about 3x per day with mucinex 2x per day.</t>
        </is>
      </c>
      <c r="D390" t="n">
        <v>3</v>
      </c>
      <c r="E390" t="n">
        <v>22</v>
      </c>
      <c r="F390">
        <f>HYPERLINK("https://www.reddit.com/r/COVID19positive/comments/g1fmj6/shortness_of_breathcant_get_a_full_breath/")</f>
        <v/>
      </c>
      <c r="G390" t="inlineStr">
        <is>
          <t>2020-04-14 15:42:20</t>
        </is>
      </c>
      <c r="H390" t="inlineStr">
        <is>
          <t>Tested Positive</t>
        </is>
      </c>
    </row>
    <row r="391">
      <c r="A391" t="inlineStr">
        <is>
          <t>g1gvky</t>
        </is>
      </c>
      <c r="B391" t="inlineStr">
        <is>
          <t>One of my newborn twins has just tested positive. Born 10 weeks premature, still in NICU and only 8 weeks old.</t>
        </is>
      </c>
      <c r="C391" t="inlineStr">
        <is>
          <t>We are not allowed to see them. Awaiting news if we can be tested. We’ve had no symptoms and her only symptoms currently are upset tummy, runny nose and reduced appetite. No fever, cough, they can’t tell us if their throats are sore obviously. 
Her twin sister tested negative - but she’s been having feeding issues for 10 days and I actually just started a dairy free diet as her consultant though it could be diet related. We don’t know if she’s already had it, and they’re nearing the end - or if she will test positive in three days. 
I am sick with worry. Worried we’re about to get it (OH has asthma), worried I cant see my babies and comfort them when they are unwell. They have chronic lung disease of prematurity. No one has any answers.</t>
        </is>
      </c>
      <c r="D391" t="n">
        <v>131</v>
      </c>
      <c r="E391" t="n">
        <v>29</v>
      </c>
      <c r="F391">
        <f>HYPERLINK("https://www.reddit.com/r/COVID19positive/comments/g1gvky/one_of_my_newborn_twins_has_just_tested_positive/")</f>
        <v/>
      </c>
      <c r="G391" t="inlineStr">
        <is>
          <t>2020-04-14 16:55:41</t>
        </is>
      </c>
      <c r="H391" t="inlineStr">
        <is>
          <t>Tested Positive - Family</t>
        </is>
      </c>
    </row>
    <row r="392">
      <c r="A392" t="inlineStr">
        <is>
          <t>g1h2s9</t>
        </is>
      </c>
      <c r="B392" t="inlineStr">
        <is>
          <t>my uncle (39) is in the icu and is fighting for his life</t>
        </is>
      </c>
      <c r="C392" t="inlineStr">
        <is>
          <t>here is a an article that the LA times did on my uncle: [His first coronavirus test was negative. Now, this 39-year-old city leader is on life support ](https://www.latimes.com/california/story/2020-04-10/coronavirus-testing-false-negatives-adelanto-mayor)
but he is doing so much better now. even though he is still intubated, his infection is going away, his labs are coming out much better, and he may be able to come out of intubation soon. 
i wanted to share the article and his healing on this forum to give people hope that things will get better. let the doctors do what they do best, and don't lose hope on your family members!</t>
        </is>
      </c>
      <c r="D392" t="n">
        <v>117</v>
      </c>
      <c r="E392" t="n">
        <v>26</v>
      </c>
      <c r="F392">
        <f>HYPERLINK("https://www.reddit.com/r/COVID19positive/comments/g1h2s9/my_uncle_39_is_in_the_icu_and_is_fighting_for_his/")</f>
        <v/>
      </c>
      <c r="G392" t="inlineStr">
        <is>
          <t>2020-04-14 17:08:01</t>
        </is>
      </c>
      <c r="H392" t="inlineStr">
        <is>
          <t>Tested Positive - Family</t>
        </is>
      </c>
    </row>
    <row r="393">
      <c r="A393" t="inlineStr">
        <is>
          <t>g1kjdw</t>
        </is>
      </c>
      <c r="B393" t="inlineStr">
        <is>
          <t>Husband is NYPD</t>
        </is>
      </c>
      <c r="C393" t="inlineStr">
        <is>
          <t>I figured my family would end up here. I just wanted to give a little background. My husband and I are both technically germaphobes. Reasons are because our youngest is an asthmatic and a tiny cold lands her in the hospital at least 2x a year. We’ve had 2 scary episodes, so we always had extra Lysol, hand sanitizer, and masks in the house. When someone was sick, they were automatically quarantined. But, with COVID, hubs being a Cop, and a mayor that doesn’t care about PO’s, I knew this would hit home sooner. I am posting this because reading your symptoms. Your remedies. Has truly helped me sleep at night. So, I’d like to do my part.
3 out of 6 of my husbands team is positive. Patient zero tried his best not to infect his brothers. 4/2 Once his nephew tested positive, he tried to call out but they gave him a hard no. He went to work. Wore a mask. And didn’t come into contact with anyone physically. As soon as he had the first symptom 4/8, he called out. Symptom was a headache. The guy who had no choice to sit next to him, woke up with no taste or smell 3 days afterwards 4/12. The other guy called out 3 weeks before due to elderly parents that were ill, so his infection came from them. Office was never clean by NYC. It is a cesspool is disease. 
Now my husband, who has worn a mask since end of March N95 when getting close to people like cashiers was inevitable. Surgical, while in the office. He sits over 6ft away. He uses sanitizer like a necessity to breathe. Wipes Clorox on everything. Anyways today he has a headache that wouldn’t go away. As a precaution to whomever is left in his team, he called out sick and should be tested tomorrow. However Ive been feeling ill since Sunday. I am not well when I’m sick, colds turn into infections 90% of the time. I may have a lupus or RA. Appt was 3/31 and was cancelled. So I’m worried if I’ll pull through. Anyways, I wanted to see if I’m Covid19 positive and will daily update my and my husbands symptoms.
Husband- Asthmatic, previously obese, runs 3k-5ks daily, weightlifter, slow heart rate 
———————————————————
4/14 Headache nothing helped
Me- Asthmatic, runner (stopped months ago due to physical pain), Anemic, Low Vid-D, ANA protein high, possible lupus or RA 
———————————————————-
4/13 vertigo, vivid dream, didn’t sleep all night
4/14 vertigo is better, slept, heavy nausea. I spoke with Doc and was told it was allergies prescribed meclizine and Sudafed on top of daily Allegra and singulair</t>
        </is>
      </c>
      <c r="D393" t="n">
        <v>13</v>
      </c>
      <c r="E393" t="n">
        <v>9</v>
      </c>
      <c r="F393">
        <f>HYPERLINK("https://www.reddit.com/r/COVID19positive/comments/g1kjdw/husband_is_nypd/")</f>
        <v/>
      </c>
      <c r="G393" t="inlineStr">
        <is>
          <t>2020-04-14 20:57:33</t>
        </is>
      </c>
      <c r="H393" t="inlineStr">
        <is>
          <t>Tested Positive - Friends</t>
        </is>
      </c>
    </row>
    <row r="394">
      <c r="A394" t="inlineStr">
        <is>
          <t>g1kjfs</t>
        </is>
      </c>
      <c r="B394" t="inlineStr">
        <is>
          <t>I’ve been tested positive</t>
        </is>
      </c>
      <c r="C394" t="inlineStr">
        <is>
          <t>I feel my life is over, i have all the signs of it getting worse. I’m fat and diabetic, have asthma, and smoke. No more smoking that’s for sure</t>
        </is>
      </c>
      <c r="D394" t="n">
        <v>49</v>
      </c>
      <c r="E394" t="n">
        <v>45</v>
      </c>
      <c r="F394">
        <f>HYPERLINK("https://www.reddit.com/r/COVID19positive/comments/g1kjfs/ive_been_tested_positive/")</f>
        <v/>
      </c>
      <c r="G394" t="inlineStr">
        <is>
          <t>2020-04-14 20:57:41</t>
        </is>
      </c>
      <c r="H394" t="inlineStr">
        <is>
          <t>Tested Positive - Me</t>
        </is>
      </c>
    </row>
    <row r="395">
      <c r="A395" t="inlineStr">
        <is>
          <t>g1kl68</t>
        </is>
      </c>
      <c r="B395" t="inlineStr">
        <is>
          <t>You might have an oximeter and not know it</t>
        </is>
      </c>
      <c r="C395" t="inlineStr">
        <is>
          <t>If you own a Samsung Galaxy S6 or better, the S Health app includes an Oximeter which is surprisingly good. I had my 3rd wave of symptoms yesterday (day 21), and it was able to pick up that my SpO2 went to 87% just from going to the bathroom, then returning to high nineties.
The option is hidden under 'stress' in the S Health app. When you measure the stress, you get SpO2 and pulse at once.</t>
        </is>
      </c>
      <c r="D395" t="n">
        <v>98</v>
      </c>
      <c r="E395" t="n">
        <v>55</v>
      </c>
      <c r="F395">
        <f>HYPERLINK("https://www.reddit.com/r/COVID19positive/comments/g1kl68/you_might_have_an_oximeter_and_not_know_it/")</f>
        <v/>
      </c>
      <c r="G395" t="inlineStr">
        <is>
          <t>2020-04-14 21:01:03</t>
        </is>
      </c>
      <c r="H395" t="inlineStr">
        <is>
          <t>Tested Positive - Me</t>
        </is>
      </c>
    </row>
    <row r="396">
      <c r="A396" t="inlineStr">
        <is>
          <t>g1knob</t>
        </is>
      </c>
      <c r="B396" t="inlineStr">
        <is>
          <t>Weird symptom.</t>
        </is>
      </c>
      <c r="C396" t="inlineStr">
        <is>
          <t>31 yr old male. Very overweight. BMI of 39. Was a pack a day smoker until last tuesday and stopped cold Turkey.
 I've had symptoms for 8 days. Started with a sore throat and random bouts of a low fever. But fever always passed within an hr or 2.Assumed I was positive and started to isolate. I slept through the first couple days. Followed by very mild sore throat and pressure in chest.   Monday night as I was going to bed I felt breathless and had a consistent heartrate of 98. Woke up with what I can only describe as a dry feeling in my throat and chest. Anyways I got out and walked around my neighborhood ( I walked backroads and made sure that I never even saw another person) got back and was lightheaded. I've been laying down for a while and on random inhales I feel something in my lung thats kinda like air passing through liquid almost like a bong. 
All things considered  I dont feel terrible. But considering the fact that I'm at elevated risk should I go and get this checked. I'm uninsured and dont have a regular doctor so the ER is likely the only option.
Anyways if you read this far thanks. 
NOTE I haven't tested positive but the made me choose a flair to post.</t>
        </is>
      </c>
      <c r="D396" t="n">
        <v>14</v>
      </c>
      <c r="E396" t="n">
        <v>8</v>
      </c>
      <c r="F396">
        <f>HYPERLINK("https://www.reddit.com/r/COVID19positive/comments/g1knob/weird_symptom/")</f>
        <v/>
      </c>
      <c r="G396" t="inlineStr">
        <is>
          <t>2020-04-14 21:05:48</t>
        </is>
      </c>
      <c r="H396" t="inlineStr">
        <is>
          <t>Tested Positive</t>
        </is>
      </c>
    </row>
    <row r="397">
      <c r="A397" t="inlineStr">
        <is>
          <t>g1lxlf</t>
        </is>
      </c>
      <c r="B397" t="inlineStr">
        <is>
          <t>Strange post-covid taste loss</t>
        </is>
      </c>
      <c r="C397" t="inlineStr">
        <is>
          <t>I contracted the virus 3/18, tested positive on 3/23 and haven’t had symptoms since 3/24. Feeling fully recovered the last couple of weeks except for my ability to taste. The strange thing about this is that I can taste things, and have been able to throughout the illness, but it’s like someone turned the volume down. there are some flavors that my palette can pick up on by themselves but it can’t register a complex combination of them. for example, i can taste cheese by itself but if i make like a cheese quesadilla with chicken i can’t taste the concert of flavors and it’s just like chewing on texture with no flavor at all. Anyone else have this? I’ve lost my ability to taste and smell when i’ve had a cold or the flu in the past but never like this, it’s always been absolute and the ability returns a couple of days after i’ve overcome the illness. Worried my tasting abilities will not return.</t>
        </is>
      </c>
      <c r="D397" t="n">
        <v>3</v>
      </c>
      <c r="E397" t="n">
        <v>8</v>
      </c>
      <c r="F397">
        <f>HYPERLINK("https://www.reddit.com/r/COVID19positive/comments/g1lxlf/strange_postcovid_taste_loss/")</f>
        <v/>
      </c>
      <c r="G397" t="inlineStr">
        <is>
          <t>2020-04-14 22:43:12</t>
        </is>
      </c>
      <c r="H397" t="inlineStr">
        <is>
          <t>Tested Positive - Me</t>
        </is>
      </c>
    </row>
    <row r="398">
      <c r="A398" t="inlineStr">
        <is>
          <t>g1nhhk</t>
        </is>
      </c>
      <c r="B398" t="inlineStr">
        <is>
          <t>Can the virus come back or did it never leave? Scared I might experience symptoms all over again after feeling better . I feel it’s happening ..</t>
        </is>
      </c>
      <c r="C398" t="inlineStr">
        <is>
          <t>March 14th I was in nyc ( last day at work before lockdown) in middle of night of March 24  I woke up panting and with a high fever feeling like a truck hit me . Felt like I fell off a building and someone beat my ribs and chest with a baseball bat, I felt bruised everywhere and it hurt to breathe. I couldn’t sleep again. I was confused, I am thinking back I should have went to ER but I think the fever really made me delusional I just sat in bed . Not really saying anything to anyone.. I have a fever for two days straight then it went away. I couldn’t get out of bed, I turned pale, and shaking like crazy. When I felt better (the shortness of breath and chest pain still lingered and it was very painful) I called every testing center and hospital and found no luck... I couldn’t get tested . No doctors were accepting new patients and I didn’t have hundreds of dollars just to see one plus all the lab results bills( no health insurance) so I just ride it out at home hoping I wouldn’t die. I didn’t get the test because it’s was IMPOSSIBLE but I am confident I am positive with my symptoms and knowing I never felt this sick before , also my job is in nyc and I’m around hundreds of people for hours working very very close with clients for hours . 
I also immediately lost my smell and taste 100%. After fever went away the stomach pain came, diarrhea,nausea no vomitting, loss of appetite,extreme tiredness, headache, knee pain,joint pain,I still had trouble breathing, very painful like there were spikes in my airway .. everyday seemed to get better, so I stop panicking. Beginning of April I feel good I got my smell and taste and appetite back. My stomach is better but still making a lot of noise , and only at nighttime is when my chest feels tight and hard to breathe . I usually just sleep it away then I feel ok again.
But tonight, I feel weird, I feel like that feeling you get right before you get really sick . Headache,slight throat pain, shortness of breath, that weird headache...weird feeling in my mind and body... I even took a nap out of no where earlier today and i felt I couldn’t wake up my body just put me to sleep instantly ( never happens with me I’m not a napper and I don’t fall asleep easily) I feel like this mild lingering pain that is waiting to burst into extreme pain.. I can’t describe it but I can literally feel something in my body just waiting to attack.. 
I don’t want to have the symptoms again.. it’s very painful and scary as a lot of you may know..im scared if it will be worse this time. I’m worried is this virus still inside and waiting to attack ? I thought I was getting better .. but I feel this virus is just staying for a very long time ..waiting...for the right time to attack again...when will this virus leave my body?? Will it ever leave ?? I feel trapped . 
I’m 24, I’m in shape, the only thing is I have deathly food allergies to all nightshades plants/vegetables/foods so I do believe my immune system is not the strongest. 
My bf has this too but the only thing he experienced is one day of fever and loss of taste and smell.. no other symptoms.he is ok.</t>
        </is>
      </c>
      <c r="D398" t="n">
        <v>19</v>
      </c>
      <c r="E398" t="n">
        <v>20</v>
      </c>
      <c r="F398">
        <f>HYPERLINK("https://www.reddit.com/r/COVID19positive/comments/g1nhhk/can_the_virus_come_back_or_did_it_never_leave/")</f>
        <v/>
      </c>
      <c r="G398" t="inlineStr">
        <is>
          <t>2020-04-15 00:47:08</t>
        </is>
      </c>
      <c r="H398" t="inlineStr">
        <is>
          <t>Tested Positive - Me</t>
        </is>
      </c>
    </row>
    <row r="399">
      <c r="A399" t="inlineStr">
        <is>
          <t>g1r5um</t>
        </is>
      </c>
      <c r="B399" t="inlineStr">
        <is>
          <t>This sucks</t>
        </is>
      </c>
      <c r="C399" t="inlineStr">
        <is>
          <t>I’m not sure if it’s in my head or what. I’m a nurse so I’m sure I’ve been exposed, was hoping I’d have light symptoms and already been exposed (I’ve been wearing an N95 mask for we
Over a month now)
I’ve had the worst back pain that is only on R side since yesterday. I thought it was constipation but who knows. 
Couldn’t sleep last night. Feel sore and weak but that could be from lack of sleep.
Nausea is horrible and when I got up to the bathroom, light hurt and I felt dizzy
Worst symptom is my lungs. They feel very tired and I notice them (I guess I never realized I had lungs ugh). I don’t have an actually cough but if I take a deep breath, I cough. 
I guess I’ve joined the band wagon and hope to get through this. I’m 30, used to be a huge smoker 5 years ago so I’ve always been hella nervous but just in the last few weeks, I’ve gotten kind of relaxed. It’s just exhausting to be so anxious and worried about something</t>
        </is>
      </c>
      <c r="D399" t="n">
        <v>319</v>
      </c>
      <c r="E399" t="n">
        <v>104</v>
      </c>
      <c r="F399">
        <f>HYPERLINK("https://www.reddit.com/r/COVID19positive/comments/g1r5um/this_sucks/")</f>
        <v/>
      </c>
      <c r="G399" t="inlineStr">
        <is>
          <t>2020-04-15 05:41:01</t>
        </is>
      </c>
      <c r="H399" t="inlineStr">
        <is>
          <t>Tested Positive - Friends</t>
        </is>
      </c>
    </row>
    <row r="400">
      <c r="A400" t="inlineStr">
        <is>
          <t>g1radf</t>
        </is>
      </c>
      <c r="B400" t="inlineStr">
        <is>
          <t>No symptoms and positive</t>
        </is>
      </c>
      <c r="C400" t="inlineStr">
        <is>
          <t>Took me over 3 weeks to get tested. Low grade fever up and down. It was weird. At the time no other symptoms. I finally got to do the drive through test and then waited 5 days for results. My fever started around March 12th. I was only seeing if it worked when I got it out of the cabinet. The kids hadn’t stopped school yet. Went to my doc and he said probably a sinus infection. Doubt it. Then started getting joint and muscle ache mainly in hips and knees. I just got my results this past Saturday. Kids getting tested. I would like to donate when I become immune to help out.</t>
        </is>
      </c>
      <c r="D400" t="n">
        <v>36</v>
      </c>
      <c r="E400" t="n">
        <v>21</v>
      </c>
      <c r="F400">
        <f>HYPERLINK("https://www.reddit.com/r/COVID19positive/comments/g1radf/no_symptoms_and_positive/")</f>
        <v/>
      </c>
      <c r="G400" t="inlineStr">
        <is>
          <t>2020-04-15 05:49:49</t>
        </is>
      </c>
      <c r="H400" t="inlineStr">
        <is>
          <t>Tested Positive - Me</t>
        </is>
      </c>
    </row>
    <row r="401">
      <c r="A401" t="inlineStr">
        <is>
          <t>g1rmjh</t>
        </is>
      </c>
      <c r="B401" t="inlineStr">
        <is>
          <t>How long does this law symptoms lasts</t>
        </is>
      </c>
      <c r="C401" t="inlineStr">
        <is>
          <t>Okay fever checked on March 12. Fluke because I was just making sure the machine worked. I didn’t think I felt hot. So my normal temp is 96.7 or 97. It was getting up to 100 and stayed around 99 and here it is April 15th and now is dropping to 98. 
After first week I went into see my doc. I had no other symptoms. Not even allergy symptoms with pollen hitting us hard. Send me home. 
Finally 3 weeks of looking for a place to test I found a clinic that would take you if you have a fever. I had wanted to go in cause I though nah it must be something else. Nope you either test for covid-19 or go somewhere else. 
I was having a lot of joint and muscle pain in my hips and knees. I am flexible by nature and this was wayyyy out of the norm for me. Also my eyes were red and hot and irritated in the morning like I’d been on a 3 days bender. 
So drive through, Tuesday April 7th was earliest I could get. I got the call on Saturday April 11th that I am positive. 🦠They said stay home and the health department would call me in 24 hours. 
No call from the health department. I called them and they said they are running behind. 
Everyone says this last for 2-3 weeks. 🤷‍♀️I’ve had it for 4. When the fever goes away and my eye and joints stop aching...I would like to get a negative test and donate my platelets and blood if it will help.</t>
        </is>
      </c>
      <c r="D401" t="n">
        <v>9</v>
      </c>
      <c r="E401" t="n">
        <v>9</v>
      </c>
      <c r="F401">
        <f>HYPERLINK("https://www.reddit.com/r/COVID19positive/comments/g1rmjh/how_long_does_this_law_symptoms_lasts/")</f>
        <v/>
      </c>
      <c r="G401" t="inlineStr">
        <is>
          <t>2020-04-15 06:11:23</t>
        </is>
      </c>
      <c r="H401" t="inlineStr">
        <is>
          <t>Tested Positive - Me</t>
        </is>
      </c>
    </row>
    <row r="402">
      <c r="A402" t="inlineStr">
        <is>
          <t>g1ummj</t>
        </is>
      </c>
      <c r="B402" t="inlineStr">
        <is>
          <t>Plasma donor needed in Orlando area</t>
        </is>
      </c>
      <c r="C402" t="inlineStr">
        <is>
          <t>My cousin, an early 40s and otherwise healthy guy, has been battling COVID for over a month. He was on a ventilator for weeks before being airlifted to another hospital to be put on an ECMO. This disease has been a rollercoaster of steady improvement and then quickly crashing (he has coded twice already). He’s hanging in there but he’s still testing positive as of two days ago which means his immune system is just not able to make the antibodies to fight this thing.
We’re desperate to get him help. Our family has fought endlessly to get his hospital on board with convalescent plasma as a treatment, and after lots of pushing Advent Health is accepting donations from oneblood!
His wife also contracted COVID but is still symptomatic and so can’t donate. If anyone has tested positive and has since tested negative or has been 14+ days out from symptoms, please let me know.
We’re desperate but we’re also confident that he’ll win this battle if he gets this boost. It would mean the world to our family, his wife, and his daughter.</t>
        </is>
      </c>
      <c r="D402" t="n">
        <v>52</v>
      </c>
      <c r="E402" t="n">
        <v>20</v>
      </c>
      <c r="F402">
        <f>HYPERLINK("https://www.reddit.com/r/COVID19positive/comments/g1ummj/plasma_donor_needed_in_orlando_area/")</f>
        <v/>
      </c>
      <c r="G402" t="inlineStr">
        <is>
          <t>2020-04-15 08:54:27</t>
        </is>
      </c>
      <c r="H402" t="inlineStr">
        <is>
          <t>Tested Positive - Family</t>
        </is>
      </c>
    </row>
    <row r="403">
      <c r="A403" t="inlineStr">
        <is>
          <t>g1wf39</t>
        </is>
      </c>
      <c r="B403" t="inlineStr">
        <is>
          <t>Vent: Frustrated by brainlessness</t>
        </is>
      </c>
      <c r="C403" t="inlineStr">
        <is>
          <t>I hope this vent is okay.. I want to hear other people’s thoughts on it too.
How are others responding to the crazy conspiracy theorists online and the nutjobs currently protesting isolation measures? As someone that’s survived COVID-19, I’m getting pretty tired of it all. There is so much toxicity being generated that it’s becoming really unnerving! Racism towards East Asians, conspiracy theories about cell phone towers, denialism of this and really any virus... it’s pure craziness beyond crazy! I’m trying to keep a compassionate view of everything: people are scared, don’t know what to do, but want to feel in control in any way they can. I just hope that it doesn’t lead to faster spread, second waves and the like... this is not the kind of thing to eff around with!</t>
        </is>
      </c>
      <c r="D403" t="n">
        <v>23</v>
      </c>
      <c r="E403" t="n">
        <v>23</v>
      </c>
      <c r="F403">
        <f>HYPERLINK("https://www.reddit.com/r/COVID19positive/comments/g1wf39/vent_frustrated_by_brainlessness/")</f>
        <v/>
      </c>
      <c r="G403" t="inlineStr">
        <is>
          <t>2020-04-15 10:25:25</t>
        </is>
      </c>
      <c r="H403" t="inlineStr">
        <is>
          <t>Tested Positive - Me</t>
        </is>
      </c>
    </row>
    <row r="404">
      <c r="A404" t="inlineStr">
        <is>
          <t>g1yo6i</t>
        </is>
      </c>
      <c r="B404" t="inlineStr">
        <is>
          <t>I’m sick and tired of being sick and tired</t>
        </is>
      </c>
      <c r="C404" t="inlineStr">
        <is>
          <t>Been sick for 42 days. I’m going based off of the first day of fever. I’ve had a fever for 42 days straight. 99.5-100.7. Temps this past week are 100.x+. Ridiculous fatigue, weakness, brain fog, muscle aches when my temp starts going up more, sometimes high resting heart rate. Rare respiratory issues now that only manifest as mild lung burning when I breathe, like breathing in very cold winter air.
I’ve been to the ER and clinic multiple times and finally got tested (positive). No pneumonia. Symptoms unchanged with antibiotics (azithromycin). My labs are great, and there’s no indication of any bacterial infection. I’m just sick. I don’t want to be sick anymore, not that I wanted to be sick in the first place but holy sht this is ridiculous.</t>
        </is>
      </c>
      <c r="D404" t="n">
        <v>76</v>
      </c>
      <c r="E404" t="n">
        <v>47</v>
      </c>
      <c r="F404">
        <f>HYPERLINK("https://www.reddit.com/r/COVID19positive/comments/g1yo6i/im_sick_and_tired_of_being_sick_and_tired/")</f>
        <v/>
      </c>
      <c r="G404" t="inlineStr">
        <is>
          <t>2020-04-15 12:17:34</t>
        </is>
      </c>
      <c r="H404" t="inlineStr">
        <is>
          <t>Tested Positive - Me</t>
        </is>
      </c>
    </row>
    <row r="405">
      <c r="A405" t="inlineStr">
        <is>
          <t>g1yzm4</t>
        </is>
      </c>
      <c r="B405" t="inlineStr">
        <is>
          <t>Day 7 - it gets better eventually, right?</t>
        </is>
      </c>
      <c r="C405" t="inlineStr">
        <is>
          <t>It's been 1 week since my first symptom of a slight dry cough started. Today is so far the worst I've felt. I've got a slight fever (been keeping Tylenol in my system to keep it down), my cough has gotten worse and sounds a lot different, almost sharp towards the end of the coughing fit. I've noticed if I am prone (laying on my stomach) the cough isn't as often where was if I stand up or sit up I cough more often. Also I feel like I want to claw at my throat, it's not itchy or "sore" but kinda feels like a burning sensation almost, this just started today. Maybe some slight inflammation of the airway maybe? Also woke up with a major headache (been having them on and off the past week) alone with some nasal congestion as well which has turned into a slightly runny nose but no more congestion.
I feel absolutely exhausted today but slept alright, around my ribs is still very sore if not more sore today than yesterday and still tight middle chest. Still having shortness of breath, if I breath normally or deeply it makes me want to cough so more shallow breathing is easier.
Contacted my doctors office via an e-visit this morning, gave my symptoms and got a response that they do believe it is COVID-19 and scheduled for me to test tomorrow morning in another county. Yup, couldn't get a test in my own county (my counties health department told me to just presume positive and stay home) so I have to drive tomorrow to another county to get a test.
spO2 today has been the same as yesterday, 96% with dipping down to 95% at times even though this isn't a total way measure oxygen intake at least it's something to help monitor.</t>
        </is>
      </c>
      <c r="D405" t="n">
        <v>7</v>
      </c>
      <c r="E405" t="n">
        <v>18</v>
      </c>
      <c r="F405">
        <f>HYPERLINK("https://www.reddit.com/r/COVID19positive/comments/g1yzm4/day_7_it_gets_better_eventually_right/")</f>
        <v/>
      </c>
      <c r="G405" t="inlineStr">
        <is>
          <t>2020-04-15 12:33:39</t>
        </is>
      </c>
      <c r="H405" t="inlineStr">
        <is>
          <t>Tested Positive - Me</t>
        </is>
      </c>
    </row>
    <row r="406">
      <c r="A406" t="inlineStr">
        <is>
          <t>g2151a</t>
        </is>
      </c>
      <c r="B406" t="inlineStr">
        <is>
          <t>Anyone get beta-blockers from their doctor for their tachycardia?</t>
        </is>
      </c>
      <c r="C406" t="inlineStr">
        <is>
          <t>I got given propranolol from my doctor for my tachycardia (100-110bpm resting, 120-130 walking).
Has anyone had any success with beta-blockers? Do they affect your COVID symptoms in any way?</t>
        </is>
      </c>
      <c r="D406" t="n">
        <v>5</v>
      </c>
      <c r="E406" t="n">
        <v>18</v>
      </c>
      <c r="F406">
        <f>HYPERLINK("https://www.reddit.com/r/COVID19positive/comments/g2151a/anyone_get_betablockers_from_their_doctor_for/")</f>
        <v/>
      </c>
      <c r="G406" t="inlineStr">
        <is>
          <t>2020-04-15 14:26:53</t>
        </is>
      </c>
      <c r="H406" t="inlineStr">
        <is>
          <t>Tested Positive</t>
        </is>
      </c>
    </row>
    <row r="407">
      <c r="A407" t="inlineStr">
        <is>
          <t>g22b0m</t>
        </is>
      </c>
      <c r="B407" t="inlineStr">
        <is>
          <t>My father probably had COVID19, but everything is OK now</t>
        </is>
      </c>
      <c r="C407" t="inlineStr">
        <is>
          <t>One of my neighbors tested positive for COVID19 and didn’t bother to tell anyone. I live in a small building, and my father helps manage the apartments so he had to go to the building entrance hall to solve some small issues twice during quarantine. My father is a clean freak even before the pandemic started and always has alcohol to use on his hands when he is out. He used the stairs and elevator and didn’t have direct contact with our neighbor. 
The neighbor on the other hand insisted on continuing to live his life, going out and about even after his diagnosis. 
Three week ago my father started showing symptoms, a high fever and his eyes were a bit red. He also had a lot of neck/back pain. He is in a good shape, normal BMI, 55 years old, A+ blood type, but he has asthma. So since he started to get symptoms he started his normal treatment for asthma. The fever kept appearing throughout the week followed by a dry cough, and on the next Thursday his pulmonologist asked to see him. He went out with mask and protective gloves, the doctor didn’t have any tests so he only presumed my father had covid 19. It’s impossible to be tested if you’re not in the point of being admitted to a hospital. 
Fortunately my father had the easiest case of COVID19. He kept having the dry cough and on his worst day he had a lot of pain on his legs and body, some days he had a fever, and that’s it. My mother didn’t have any symptoms (only some tiredness and body aches), nor did my brother or me. I’m fairly positive my brother already had COVID 19 in early March (fever, cough, tiredness, headache, during one of the biggest street events with thousands of turista around, but my parents were away so they were not exposed) but we will never know that either. 
So that’s our story. we believe he had COVID because it’s not flu season in here, we had a known case in the building and my father could possibly had contact with an infected area since my neighbor didn’t bother telling anyone about his condition, and didn’t retreat himself either. My father shouldn’t be circulating either, but after getting symptoms we managed to convince him to not leave the apartment under any circumstances, even if it was to go to the entrance hall.  
Sorry this got so long, just wanted to share a positive story. Stay safe people!</t>
        </is>
      </c>
      <c r="D407" t="n">
        <v>4</v>
      </c>
      <c r="E407" t="n">
        <v>6</v>
      </c>
      <c r="F407">
        <f>HYPERLINK("https://www.reddit.com/r/COVID19positive/comments/g22b0m/my_father_probably_had_covid19_but_everything_is/")</f>
        <v/>
      </c>
      <c r="G407" t="inlineStr">
        <is>
          <t>2020-04-15 15:29:02</t>
        </is>
      </c>
      <c r="H407" t="inlineStr">
        <is>
          <t>Tested Positive - Family</t>
        </is>
      </c>
    </row>
    <row r="408">
      <c r="A408" t="inlineStr">
        <is>
          <t>g22maf</t>
        </is>
      </c>
      <c r="B408" t="inlineStr">
        <is>
          <t>33, diabetic (controlled), high BP, 43 BMI, positive, day 10</t>
        </is>
      </c>
      <c r="C408" t="inlineStr">
        <is>
          <t>Well, I got my results about two hours ago. I’ve had mild symptoms the whole way through - mild lung irritation, no real cough to speak of, mild fever that is gone now, headaches that passed.
I had a feeling something was wrong on the first day of symptoms. It wasn’t bad, but it was different. I talked to my doctor who assured me it was unlikely that I had it. I had just changed BP medications to a calcium channel blocker, and it could have been that. A few days later, I got tested. Five days since then, and it came back positive.
I’m posting here for one reason. When it came to prevention, I’ve done everything right. I have worn a mask since before my state was in a state of emergency, a good one. I had stayed out of grocery stores, drug stores, etc. I have wiped down everything that has come into my home with bleach, wipes, etc. I’ve washed my hands and every surface continuously for a month. I still got it, somehow. Some small break in the armor, and it got it.
This isn’t a fear monger if post. We all know how infectious this is. This is post to let you know that, if you have done all you can to prevent getting this infection, and you get it anyway, it’s okay. It’s not a failing. You did your best. You tried so hard.
Getting sick is not defeat. You did your bit. Now, it’s time to hunker down, relax, and focus on getting healthy, knowing that you played your part the best you could.</t>
        </is>
      </c>
      <c r="D408" t="n">
        <v>109</v>
      </c>
      <c r="E408" t="n">
        <v>97</v>
      </c>
      <c r="F408">
        <f>HYPERLINK("https://www.reddit.com/r/COVID19positive/comments/g22maf/33_diabetic_controlled_high_bp_43_bmi_positive/")</f>
        <v/>
      </c>
      <c r="G408" t="inlineStr">
        <is>
          <t>2020-04-15 15:46:14</t>
        </is>
      </c>
      <c r="H408" t="inlineStr">
        <is>
          <t>Tested Positive - Me</t>
        </is>
      </c>
    </row>
    <row r="409">
      <c r="A409" t="inlineStr">
        <is>
          <t>g235gw</t>
        </is>
      </c>
      <c r="B409" t="inlineStr">
        <is>
          <t>Day 23, still low grade fever, how long did it last you?</t>
        </is>
      </c>
      <c r="C409" t="inlineStr">
        <is>
          <t>So I had a severe covid case with Everything except pneumonia, today is day 23 of first symptoms and i still run a lowgrade fever (38 Celsius) I am not that worried but more so amazed of the potency of This virus. 
My question is, how long did you have fever for? Main concern is cause fever makes me drop so much Weight and i dont really have an appetite so i have to forcefeed myself.</t>
        </is>
      </c>
      <c r="D409" t="n">
        <v>9</v>
      </c>
      <c r="E409" t="n">
        <v>13</v>
      </c>
      <c r="F409">
        <f>HYPERLINK("https://www.reddit.com/r/COVID19positive/comments/g235gw/day_23_still_low_grade_fever_how_long_did_it_last/")</f>
        <v/>
      </c>
      <c r="G409" t="inlineStr">
        <is>
          <t>2020-04-15 16:15:40</t>
        </is>
      </c>
      <c r="H409" t="inlineStr">
        <is>
          <t>Tested Positive - Me</t>
        </is>
      </c>
    </row>
    <row r="410">
      <c r="A410" t="inlineStr">
        <is>
          <t>g253ju</t>
        </is>
      </c>
      <c r="B410" t="inlineStr">
        <is>
          <t>I keep getting the virus</t>
        </is>
      </c>
      <c r="C410" t="inlineStr">
        <is>
          <t>I'm a  22 year old college student. I live alone, my parents are deceased, i take the city bus everywhere and i have to walk to the store to buy food and water to survive even tho i have the virus. This is why it keeps spreading. 
I got the virus around February 26th. The 1st week wasn't so bad, felt weak, fatigue, sore throat, lung breathing issues, felt like there was something stuck in my left lung, then gradually every 24 hours i would feel no symptoms and be okay as long as i remained indoors. 
After 24 hours of no symptoms i would get all of them back plus a new symptom added on top of those such as coughing, fever, body aches(these were the worst symptoms) and also runny nose. The breaking point was being unable to breathe and i went to the hospital in the ambulance. 
After 3 trips to the hospital i was given a slap on the wrist and some benadryl. The doctors swore they were out of covid 19 test and said id have to  get it from some location. (Obviously not going all the way out there when i feel unable to walk)i have stay well healthcare and you can't get any medication from walgreens, publix or cvs,  because this insurance is completely fucking useless. So i haven't been able to get any medication at all. I cant afford anything, i dont have any money or foodstamps. I'm surviving off my last paycheck which is nearly gone because i am a busser at a restaurant that closed down.
Between feeling like im dying and can't pay my rent or eat i have no support from anyone. I dont want to tell my friends i have the virus because i dont want to be treated badly. I haven't been around anyone but I'm forced to take the bus and go into the store to buy food. I cant even buy toilet paper because there is none. 
I bought 24 pack of water and during the week i would drink water and put the rest of the water i didnt finish next to my bed. The next morning i would drink that water. After not losing any symptoms i realized the saliva on the bottles were just bacteria just nesting overnight. 
After 4 weeks the symptoms went away. And i was so paranoid to leave the house in fear of getting the virus again. 
But i ran out of food and water again. That was 4 days ago. Even wearing gloves and trying to not touch anything on the bus or sit down and wash all the food from the store i got the virus again and all these symptoms are coming back.  
This shit never ends. 
I am losing my mind i litterly just can't take this anymore. I'm so tired and weak i just don't know what to do anymore.  I see people not wearing mask or gloves and they are virus free and i am just getting it non stop after protecting myself. 
My cough is so bad i can't hardly breathe. I know going to the hospital again is pointless. They sent me a bill for 1600$and my insurance sent me a denial form of payment because i didnt authorize a request for paramedic transport lmaooooo. I was unable to breathe and i feel like im dying.
You can't win in this system. Its made to get rid of the people that are expandable.  I don't even know what to say anymore.
No matter who i try to call they wont answer. 
Cvs wont answer because high call volumes
My stay well insurance wont answer after 1 hour on a hold
 food stamps wont answer 
Unemployment is taking forever to get to the next process because every one is also signing up. 
This is just horrible.  I don't know wtf im supposed to do other than pray and try to sleep and shower all day. 
Sorry for the complaining i just needed to vent.
Edit: yesterday started getting horrible diarrhea and it hurts so bad. Thats a nee symptom.</t>
        </is>
      </c>
      <c r="D410" t="n">
        <v>21</v>
      </c>
      <c r="E410" t="n">
        <v>44</v>
      </c>
      <c r="F410">
        <f>HYPERLINK("https://www.reddit.com/r/COVID19positive/comments/g253ju/i_keep_getting_the_virus/")</f>
        <v/>
      </c>
      <c r="G410" t="inlineStr">
        <is>
          <t>2020-04-15 18:09:32</t>
        </is>
      </c>
      <c r="H410" t="inlineStr">
        <is>
          <t>Tested Positive - Me</t>
        </is>
      </c>
    </row>
    <row r="411">
      <c r="A411" t="inlineStr">
        <is>
          <t>g25myw</t>
        </is>
      </c>
      <c r="B411" t="inlineStr">
        <is>
          <t>UPDATE: 3.5 weeks since initial symptoms - Today I got the shady antibody test</t>
        </is>
      </c>
      <c r="C411" t="inlineStr">
        <is>
          <t>Original post here: 
[https://www.reddit.com/r/COVID19positive/comments/ftu1t7/tested\_positive\_after\_mild\_symptoms\_and\_a\_week\_of/](https://www.reddit.com/r/COVID19positive/comments/ftu1t7/tested_positive_after_mild_symptoms_and_a_week_of/)
3/22 initial mild symptoms, 3/28 loss of taste &amp;amp; smell, 3/31 Positive PCR Test, 4/4 last symptoms. Lucky to have been one of the mild cases, and a quick recovery. But am I ok to be around others?!!?!
Last week I started hearing about a local lab(Arcpoint labs, Richmond, CA)  offering a $125 antibody test. It's a test from China, heavily marked up and not FDA approved but allowed.  A few friends rushed to try it and were all negative so I decided to give it a shot to help provide a data point. The woman who checked me in wore a lab coat that said Frank on it.  It wasn't like other labs or medical offices i've been to, just didn't have a professional vibe. The test was quick and easy, finger prick and wait ten minutes. 
This was the result:
[https://imgur.com/a/CZedg0W](https://imgur.com/a/CZedg0W)
It apparently says I don't have a current infection and have developed the longer term antibodies. The other lab technician(?) seemed generally surprised at the results, apparently only 1% of the tests have come back positive. He seemed even more confused about my nonchalant attitude. 'OK thanks, see ya later'. I wouldn't recommend this test really, there are better ones coming in the next few weeks (Abbott, Stanford, etc) that have much higher efficacy rates.  More info on the specific lab here:
[https://www.nbcbayarea.com/news/coronavirus/bay-area-labs-offer-covid-19-immunity-tests/2272239/](https://www.nbcbayarea.com/news/coronavirus/bay-area-labs-offer-covid-19-immunity-tests/2272239/)
Really looking forward to more clarity on this next stage, immunity, etc. Being one of the earlier cases here, theres not a whole lot of social protocol yet. Some friends want to hug me and others act like if I look at them they will get infected.</t>
        </is>
      </c>
      <c r="D411" t="n">
        <v>43</v>
      </c>
      <c r="E411" t="n">
        <v>23</v>
      </c>
      <c r="F411">
        <f>HYPERLINK("https://www.reddit.com/r/COVID19positive/comments/g25myw/update_35_weeks_since_initial_symptoms_today_i/")</f>
        <v/>
      </c>
      <c r="G411" t="inlineStr">
        <is>
          <t>2020-04-15 18:43:49</t>
        </is>
      </c>
      <c r="H411" t="inlineStr">
        <is>
          <t>Tested Positive - Me</t>
        </is>
      </c>
    </row>
    <row r="412">
      <c r="A412" t="inlineStr">
        <is>
          <t>g27p67</t>
        </is>
      </c>
      <c r="B412" t="inlineStr">
        <is>
          <t>Stomach churning noises</t>
        </is>
      </c>
      <c r="C412" t="inlineStr">
        <is>
          <t>Does anyone else have stomach churning noises? It’s really loud.
Is there any way to make it stop?
30/M Day 20</t>
        </is>
      </c>
      <c r="D412" t="n">
        <v>5</v>
      </c>
      <c r="E412" t="n">
        <v>9</v>
      </c>
      <c r="F412">
        <f>HYPERLINK("https://www.reddit.com/r/COVID19positive/comments/g27p67/stomach_churning_noises/")</f>
        <v/>
      </c>
      <c r="G412" t="inlineStr">
        <is>
          <t>2020-04-15 21:02:53</t>
        </is>
      </c>
      <c r="H412" t="inlineStr">
        <is>
          <t>Tested Positive</t>
        </is>
      </c>
    </row>
    <row r="413">
      <c r="A413" t="inlineStr">
        <is>
          <t>g28i6u</t>
        </is>
      </c>
      <c r="B413" t="inlineStr">
        <is>
          <t>Dad’s condition update</t>
        </is>
      </c>
      <c r="C413" t="inlineStr">
        <is>
          <t>For anyone who has been following my story and my requests, I appreciate it so much. The doctor is being very helpful in trying to get us to understand my dad’s condition. So what I was told is that my dad is fighting off the virus, his body is doing its thing. He is still positive though. The problem is the aftermath of what it has done to his lungs...the damage is very great with being diagnosed with ARDS and thats the only thing that doesn’t seem to get better. He’s on 100% support on the ventilator and he said we have about two options: leave him on to see if God were to intervene and a medical miracle happens/he just starts to improve or place him on comfort care. 
Family and I agree we want to give just a few days before making a decision. I really don’t want to wait any longer than 2 days because I don’t want my dad to suffer. I love him and he deserves the most peacefully passing. In the case we go the comfort care route, the doctor is allowing one person to be in the room with protective gear when he passes.
Edit 1: A problem with the lungs too that i forgot to mention is the fact his lungs are not doing proper gas exchange.</t>
        </is>
      </c>
      <c r="D413" t="n">
        <v>22</v>
      </c>
      <c r="E413" t="n">
        <v>25</v>
      </c>
      <c r="F413">
        <f>HYPERLINK("https://www.reddit.com/r/COVID19positive/comments/g28i6u/dads_condition_update/")</f>
        <v/>
      </c>
      <c r="G413" t="inlineStr">
        <is>
          <t>2020-04-15 22:02:37</t>
        </is>
      </c>
      <c r="H413" t="inlineStr">
        <is>
          <t>Tested Positive - Friends</t>
        </is>
      </c>
    </row>
    <row r="414">
      <c r="A414" t="inlineStr">
        <is>
          <t>g28n57</t>
        </is>
      </c>
      <c r="B414" t="inlineStr">
        <is>
          <t>I think my company is covering up COVID-19 cases and endangering the public.</t>
        </is>
      </c>
      <c r="C414" t="inlineStr">
        <is>
          <t>While I haven’t tested positive yet, I learned today that a coworker who I have been in close contact with just tested positive for COVID-19. I was told not to tell ANYONE about this or it would be a HIPAA violation. I then learned that this same thing has happened at several other store locations. I was under the impression that it would only be a HIPAA violation if we revealed the name of the person who had it, but my higher ups are saying that we can’t even mention that ANY employee tested positive and  pretend like nothing happened. I feel like they are BSing me and that this is a string of coverups that is endangering the public. People deserve to know if they went to a store where a cashier had COVID-19. 
Thoughts or advice?</t>
        </is>
      </c>
      <c r="D414" t="n">
        <v>80</v>
      </c>
      <c r="E414" t="n">
        <v>35</v>
      </c>
      <c r="F414">
        <f>HYPERLINK("https://www.reddit.com/r/COVID19positive/comments/g28n57/i_think_my_company_is_covering_up_covid19_cases/")</f>
        <v/>
      </c>
      <c r="G414" t="inlineStr">
        <is>
          <t>2020-04-15 22:12:41</t>
        </is>
      </c>
      <c r="H414" t="inlineStr">
        <is>
          <t>Tested Positive - Friends</t>
        </is>
      </c>
    </row>
    <row r="415">
      <c r="A415" t="inlineStr">
        <is>
          <t>g29sxk</t>
        </is>
      </c>
      <c r="B415" t="inlineStr">
        <is>
          <t>For those who did test positive, what strange symptoms did you feel initially?</t>
        </is>
      </c>
      <c r="C415" t="inlineStr">
        <is>
          <t>I'm going on Day 7 since I realized for sure that I was sick. I was lucky to get a test with low hassle and was positive. I've had spurts where I feel totally normal and wonder whether or not my head is making stuff up despite my test results and spurts where I feel like an extremely drunk sailor on a rickety ship. 
I'm just curious about super weird sensations people felt that they dismissed initially, only to realize later that it was the beginnings of COVID. I had some early, more normal symptoms like some fatigue and headache. 
A strange sign was that two days before I got sick, my vision, for lack of a better word, changed. I chalked it up to allergies. My vision got dimmer and seemed to be coated by some hazy filter. There was also a reddish tinge. My depth perception was somewhat off.  
Then, the day before I knew I was sick, I had sharp pain in one of my hip flexors and an aggravation of a old spinal degeneration injury that lead to numbness in one of my arms. I thought I must have reinjured myself that day, but for the life of me could not figure out when as I had not worked out heavily for two weeks while sheltering inside my apartment. I posited that maybe my posture had deteriorated from too much computer work. The day after, I had myalgia throughout my whole body to go with a fever, and I realized that the infection must have tightened my muscles around old injuries.
Apologies if my sentence and paragraph structure is a little jumbled. The illness also has curiously made organizing thoughts and remembering words quite difficult.</t>
        </is>
      </c>
      <c r="D415" t="n">
        <v>8</v>
      </c>
      <c r="E415" t="n">
        <v>13</v>
      </c>
      <c r="F415">
        <f>HYPERLINK("https://www.reddit.com/r/COVID19positive/comments/g29sxk/for_those_who_did_test_positive_what_strange/")</f>
        <v/>
      </c>
      <c r="G415" t="inlineStr">
        <is>
          <t>2020-04-15 23:44:06</t>
        </is>
      </c>
      <c r="H415" t="inlineStr">
        <is>
          <t>Tested Positive - Me</t>
        </is>
      </c>
    </row>
    <row r="416">
      <c r="A416" t="inlineStr">
        <is>
          <t>g29tyh</t>
        </is>
      </c>
      <c r="B416" t="inlineStr">
        <is>
          <t>Weird question: For those tested positive who are able to self isolate at home, do you get regular phone calls from a nurse or otherwise to check up on your condition?</t>
        </is>
      </c>
      <c r="C416" t="inlineStr">
        <is>
          <t>I know this is a weird question, but there's some debate amongst my family. My father claims to have tested positive for the virus, but due to some mental issues (including poor short term memory), we don't know if he actually was. 
My father is a difficult man, to put it mildly. He's a narcissist who feeds off attention, and as soon as he heard about this virus he started telling people he had it. This seemed unlikely as he hadn't traveled, had minimal contact with people, is unemployed, and lives alone. However, as he had symptoms, he was able to get a test (so we were told). I know for certain he went to get tested because my uncle drove him there, and saw him enter the testing tent outside the hospital - though part of me wonders if they turned him away.
Days passed and he claimed he hadn't received his results, but said he was getting calls from a nurse to check up on his condition due to preexisting lung problems. He said someone was calling him every other day. I insisted the next time they called, to ask again how he tested (because why else would someone be calling?) After the next call, he said they confirmed again that he was positive and that he had just forgotten being told the first time.
The problem I have with his story is that when he was describing the test process to me, he said that the test was "like a bandaid for your mouth". He said nothing about a nasal swab, and when I asked about it, he said that he must have forgotten how they tested him. Even with his memory issues, it seems hard to confused an uncomfortable swab up the nose with a mouth bandaid(? Whatever that is). 
We've tried contacting the family doctor, but were told they don't recieve the results themselves and couldn't help us. He does have symptoms and is isolating at home (much to his annoyance), but it would ease a lot of the uncertainty in my family if we knew that those isolating at home we're being kept in contact with health workers.</t>
        </is>
      </c>
      <c r="D416" t="n">
        <v>2</v>
      </c>
      <c r="E416" t="n">
        <v>10</v>
      </c>
      <c r="F416">
        <f>HYPERLINK("https://www.reddit.com/r/COVID19positive/comments/g29tyh/weird_question_for_those_tested_positive_who_are/")</f>
        <v/>
      </c>
      <c r="G416" t="inlineStr">
        <is>
          <t>2020-04-15 23:46:43</t>
        </is>
      </c>
      <c r="H416" t="inlineStr">
        <is>
          <t>Tested Positive - Family</t>
        </is>
      </c>
    </row>
    <row r="417">
      <c r="A417" t="inlineStr">
        <is>
          <t>g2ag10</t>
        </is>
      </c>
      <c r="B417" t="inlineStr">
        <is>
          <t>Tested + 11 days ago, day 22 since symptoms appeared</t>
        </is>
      </c>
      <c r="C417" t="inlineStr">
        <is>
          <t>Hello,
I am a 23 Y/O guy who lives with his parents and a younger sister. We are from the bronx, NY. My mother was exposed mid march, and I later began to show symptoms. I took the test April 5th and received my positive result 4 days later.  Many of my symptoms have subsided. Today/tonight I am having a prickling feeling in my heart region I’m a bit anxious, I took some melatonin and am trying to relax. i just wanted to share this in this community. Thank you.</t>
        </is>
      </c>
      <c r="D417" t="n">
        <v>25</v>
      </c>
      <c r="E417" t="n">
        <v>16</v>
      </c>
      <c r="F417">
        <f>HYPERLINK("https://www.reddit.com/r/COVID19positive/comments/g2ag10/tested_11_days_ago_day_22_since_symptoms_appeared/")</f>
        <v/>
      </c>
      <c r="G417" t="inlineStr">
        <is>
          <t>2020-04-16 00:37:21</t>
        </is>
      </c>
      <c r="H417" t="inlineStr">
        <is>
          <t>Tested Positive - Me</t>
        </is>
      </c>
    </row>
    <row r="418">
      <c r="A418" t="inlineStr">
        <is>
          <t>g2aowm</t>
        </is>
      </c>
      <c r="B418" t="inlineStr">
        <is>
          <t>I made tons of homemade PPE, now it might be contaminated.</t>
        </is>
      </c>
      <c r="C418" t="inlineStr">
        <is>
          <t>As mentioned in my last post, a coworker of mine just tested positive for COVID-19. 
I spent several days making homemade face masks and putting them in little kits that included some rubber gloves and screen wipes for cellphones along with a little info packet on COVID-19 and sanitation. 
I was going to hand them out to the homeless and donate the rest. Now that I know I may have covid, what do I do with it all? 
I would hate to just throw it all away. Is there a time frame where it could sit in my closet that would allow enough time for any virus on it to die, and then hand it safely to someone else who can distribute it? 
We’re talking 40+ homemade PPE kits.</t>
        </is>
      </c>
      <c r="D418" t="n">
        <v>8</v>
      </c>
      <c r="E418" t="n">
        <v>10</v>
      </c>
      <c r="F418">
        <f>HYPERLINK("https://www.reddit.com/r/COVID19positive/comments/g2aowm/i_made_tons_of_homemade_ppe_now_it_might_be/")</f>
        <v/>
      </c>
      <c r="G418" t="inlineStr">
        <is>
          <t>2020-04-16 00:58:48</t>
        </is>
      </c>
      <c r="H418" t="inlineStr">
        <is>
          <t>Tested Positive - Friends</t>
        </is>
      </c>
    </row>
    <row r="419">
      <c r="A419" t="inlineStr">
        <is>
          <t>g2c03m</t>
        </is>
      </c>
      <c r="B419" t="inlineStr">
        <is>
          <t>My great grandma (97 y/o) has had Coronavirus for 3 weeks and is getting better!</t>
        </is>
      </c>
      <c r="C419" t="inlineStr">
        <is>
          <t>So I just found out that my great grandma who's 97 is surviving the coronavirus. I didn't even know she  tested positive because my parents didn't tell me (glad they didn't because I would've freaked out). She's still coughing and unfortunately the other person in her old people's home who tested positive has died, but she's doing a lot better. She didn't need ICU thankfully. I'm over the moon at this news because I was certain that if she got it she'd die because she's so old and frail looking. I'm sorry to those of you who have lost people to coronavirus, it's still a shit situation.</t>
        </is>
      </c>
      <c r="D419" t="n">
        <v>821</v>
      </c>
      <c r="E419" t="n">
        <v>31</v>
      </c>
      <c r="F419">
        <f>HYPERLINK("https://www.reddit.com/r/COVID19positive/comments/g2c03m/my_great_grandma_97_yo_has_had_coronavirus_for_3/")</f>
        <v/>
      </c>
      <c r="G419" t="inlineStr">
        <is>
          <t>2020-04-16 02:50:24</t>
        </is>
      </c>
      <c r="H419" t="inlineStr">
        <is>
          <t>Tested Positive - Family</t>
        </is>
      </c>
    </row>
    <row r="420">
      <c r="A420" t="inlineStr">
        <is>
          <t>g2dwin</t>
        </is>
      </c>
      <c r="B420" t="inlineStr">
        <is>
          <t>Anyone else being not being taken seriously?</t>
        </is>
      </c>
      <c r="C420" t="inlineStr">
        <is>
          <t>Symptoms started on March 13th, diagnosed at hospital on 16th. I had severe breathing difficulties among other symptoms for about 10 days, now recovering at home with mild flare-ups every few days.
While a lot of people around me have been beyond supportive and helpful during this time, others seem to minimise it or even completely ignore it. I can't tell if they don't believe how bad it can be or if they just don't care. Some seemed concerned to begin with, then stopped giving a shit when I thought I was better, then it came back, then I felt better again, then it came back again...
I'm not sure what I expected of them, but when these same people go on to complain about being bored at home all the time (while still healthy and able to work remotely), liken their current situation to being a prisoner of war, and make reductive statements about how government policy is disproportionately protecting the well-being of a few over-70's... well, it makes me feel like shit.
Just wondering if others among you have had weird reactions when sharing your experiences with friends, family and/or colleagues?</t>
        </is>
      </c>
      <c r="D420" t="n">
        <v>22</v>
      </c>
      <c r="E420" t="n">
        <v>40</v>
      </c>
      <c r="F420">
        <f>HYPERLINK("https://www.reddit.com/r/COVID19positive/comments/g2dwin/anyone_else_being_not_being_taken_seriously/")</f>
        <v/>
      </c>
      <c r="G420" t="inlineStr">
        <is>
          <t>2020-04-16 05:23:19</t>
        </is>
      </c>
      <c r="H420" t="inlineStr">
        <is>
          <t>Tested Positive - Me</t>
        </is>
      </c>
    </row>
    <row r="421">
      <c r="A421" t="inlineStr">
        <is>
          <t>g2eyxg</t>
        </is>
      </c>
      <c r="B421" t="inlineStr">
        <is>
          <t>1 year old presumed positive, symptoms</t>
        </is>
      </c>
      <c r="C421" t="inlineStr">
        <is>
          <t>Pediatrician says it must be covid, because we haven't been anywhere except grocery shopping in 4 weeks, and it was just me going out. I feel like I had an extremely mild cold about 2 weeks ago, not even a cold, just congestion in that spot they swab you between your nose and throat, and a slight tickle in my throat. Went away and I thought nothing of it.
The last few days we noticed our 14 month old napping more than usual, we figured it was a growth spurt. On Tuesday this week he woke up from a late afternoon nap feeling warm so I took his temperature, 38.8.
Day 1
Temperature of 38.8 after late afternoon nap. Unable to bring fever down with Tylenol. Got through the night, slept most of it, felt warm all night.
Day 2
Woke up with fever of 39.4. Immediately gave more Tylenol and cold washcloth on the back of the neck, called pediatrician. Pediatrician asked some questions and said it's likely covid, asked where I had been etc. Said to monitor him the rest of the day and call back if he gets worse or we get concerned.
Later that day his fever still hadn't come down so I called back but never got a return call. Desperate we plopped him in a bath and he cooled right down, gave him Advil to double up and hold the fever down, he was at 36 degrees and was himself again, playing and getting into trouble and laughing.
Went to bed, took a while to get him down because he'd slept most of the day and now wanted to fool around. Finally got him to sleep, in the middle of the night he was very warm and vomited in the bed. Temperature of 38.8
Day 3
Today, woke up with fever of 39.4. Gave Advil. He's now sleeping on me and has cooled off. 
Will be calling pediatrician back and want to get him checked for all other possible causes.
Pediatrician said take him to ER immediately. Did. Spent the entire day there, nurse said he looked tachy, high heart rate and respirations. Given Tylenol. Doctor looked at him. Clear of any bacterial infection. Asked if I wanted him tested for everything or just go home and see how it plays out. Opted to spend the entire day getting him tested for everything BUT covid because for some god forsaken reason they won't test babies where I live unless they're critical. So he got the SAME TEST swab as covid, but they're only testing for flu and rsv. He had his flu shot this year thankfully. Also had a blood test and urine test involving a catheter which was... unpleasant. Urine came back clear, blood came back with depressed white blood count. So, now we need a chest x-ray. Chest x-ray all clear. Free to go home, with hear in 48 hours if the rsv or flu test comes back positive.
While in hospital his fever broke with Tylenol and he made a noticeable improvement, nurse remarked he looked much better, but it's obviously the Tylenol.
Home resting now. Will update tomorrow.
Update: Hospital called. The ER doctor and pediatrician didn't see it while we were there, but the radiologist pointed out a spot on the X-ray showing extremely early signs of pneumonia. Unknown if viral or bacterial but given the sudden onset of fever and no other symptoms, I would think bacterial. Prescription sent to local pharmacy but they are closed until 9AM.</t>
        </is>
      </c>
      <c r="D421" t="n">
        <v>8</v>
      </c>
      <c r="E421" t="n">
        <v>22</v>
      </c>
      <c r="F421">
        <f>HYPERLINK("https://www.reddit.com/r/COVID19positive/comments/g2eyxg/1_year_old_presumed_positive_symptoms/")</f>
        <v/>
      </c>
      <c r="G421" t="inlineStr">
        <is>
          <t>2020-04-16 06:33:19</t>
        </is>
      </c>
      <c r="H421" t="inlineStr">
        <is>
          <t>Tested Positive - Family</t>
        </is>
      </c>
    </row>
    <row r="422">
      <c r="A422" t="inlineStr">
        <is>
          <t>g2fiyc</t>
        </is>
      </c>
      <c r="B422" t="inlineStr">
        <is>
          <t>Update, day 28.</t>
        </is>
      </c>
      <c r="C422" t="inlineStr">
        <is>
          <t>Still fighting.  Day 26-28 have been harder than I've had in a week or two.
Low blood pressure now, frequently, esp at night.  It gives me short breath as well, but not like the lung short of breath from earlier. Easily sun burned, cognitive issues.  Hoping for a day 30-35 exit, but I don't know it's been harsh sailing lately.  We'll see, fingers crossed.
Dad still not showing symptoms, besides his first few days last week of stiff neck and rash(not normal for him at all, no apparent cause.)
Video games almost gave me a heart attack(10 days in.), jerking off did too(13 days in) but I can jerk it now.  My precum almost hit the ceiling.
Fear organ damage, have a decent amount of weird pain.  Can't really go to hospital right now, post concussion issues flaring, plus not sure if I would want to.
Honestly pretty freaking scared right now, this is as bad as I've been in weeks, maybe since week 1.
Anyway, stay strong out there, I'll answer any questions anybody might have.</t>
        </is>
      </c>
      <c r="D422" t="n">
        <v>0</v>
      </c>
      <c r="E422" t="n">
        <v>7</v>
      </c>
      <c r="F422">
        <f>HYPERLINK("https://www.reddit.com/r/COVID19positive/comments/g2fiyc/update_day_28/")</f>
        <v/>
      </c>
      <c r="G422" t="inlineStr">
        <is>
          <t>2020-04-16 07:06:02</t>
        </is>
      </c>
      <c r="H422" t="inlineStr">
        <is>
          <t>Tested Positive - Me</t>
        </is>
      </c>
    </row>
    <row r="423">
      <c r="A423" t="inlineStr">
        <is>
          <t>g2lph0</t>
        </is>
      </c>
      <c r="B423" t="inlineStr">
        <is>
          <t>New symptoms after 14 days ?</t>
        </is>
      </c>
      <c r="C423" t="inlineStr">
        <is>
          <t>I am an RN who first had symptoms 3/30. They were mild enough to ignore but after a few days i developed diarrhea. / lose of taste &amp;amp; smell. Work tested me and i cam back + on 4/3. My main symptoms were GI, fatigue, occasional shortness of breath. Never had a fever. I would categorize my case as mild and despite having asthma and OSA, my lungs felt much better than expected... until last night. My quarantine is finished and I’m past the 14 days of first symptoms but last night i started having chest tightness that is worse than before. It is slightly relieved w my albuterol and my pulse ox is 98%. I’m just very worried bc this seems late in the game to be feeling this way. I was thinking i could have pneumonia but there’s no fevers..Anyone else experience  this?</t>
        </is>
      </c>
      <c r="D423" t="n">
        <v>29</v>
      </c>
      <c r="E423" t="n">
        <v>35</v>
      </c>
      <c r="F423">
        <f>HYPERLINK("https://www.reddit.com/r/COVID19positive/comments/g2lph0/new_symptoms_after_14_days/")</f>
        <v/>
      </c>
      <c r="G423" t="inlineStr">
        <is>
          <t>2020-04-16 12:25:39</t>
        </is>
      </c>
      <c r="H423" t="inlineStr">
        <is>
          <t>Tested Positive - Me</t>
        </is>
      </c>
    </row>
    <row r="424">
      <c r="A424" t="inlineStr">
        <is>
          <t>g2m6b8</t>
        </is>
      </c>
      <c r="B424" t="inlineStr">
        <is>
          <t>D27 DAE have Neuro Symptoms - Tremor, Dizzy, Clumbsy</t>
        </is>
      </c>
      <c r="C424" t="inlineStr">
        <is>
          <t>38F on day 27 of COVID-19.
Excuse typos, I have a shake. 
Still having fevers and difficulty breathing. Throat feels swollen and thick.
I am 3 days in on some scary neurological symptoms. I have an involuntary tremor. Tremor is strongest in hands, arms, shoulders, neck and head. Focusing hands to do detailed things like typing is exhausting and makes it harder to breathe.
Near constant dizziness and nausea. Baseline is tolerable but episodes of strong dizziness and nausea are very scary. 
I cannot walk straight and when I'm holding things trying to do something with my hands I often drop things or accidentally toss them.
I have been through ER twice and was never admitted to hospital. Even when I was coughing up blood and my breathing sounded like a pot of boiling water in a metal tube.
These neurological symptoms are debilitating. Has anyone else had this? If so does it go away eventually? 
I have a tentative appointment with a neurologist in June because on Feb 24th I lost sensation and control of my bladder and all the bladder tests didn't show anything.</t>
        </is>
      </c>
      <c r="D424" t="n">
        <v>17</v>
      </c>
      <c r="E424" t="n">
        <v>62</v>
      </c>
      <c r="F424">
        <f>HYPERLINK("https://www.reddit.com/r/COVID19positive/comments/g2m6b8/d27_dae_have_neuro_symptoms_tremor_dizzy_clumbsy/")</f>
        <v/>
      </c>
      <c r="G424" t="inlineStr">
        <is>
          <t>2020-04-16 12:49:21</t>
        </is>
      </c>
      <c r="H424" t="inlineStr">
        <is>
          <t>Tested Positive - Me</t>
        </is>
      </c>
    </row>
    <row r="425">
      <c r="A425" t="inlineStr">
        <is>
          <t>g2od7w</t>
        </is>
      </c>
      <c r="B425" t="inlineStr">
        <is>
          <t>My great grandmother (88 yrs old) who lives in NJ, just got diagnosed with COVID-19.</t>
        </is>
      </c>
      <c r="C425" t="inlineStr">
        <is>
          <t>Recently, she had a major heart attack, so obviously she was taken to the hospital. She was sent back home after a few days. Less than a week later, she’s having trouble breathing so they tested her for COVID-19. Positive. She now has bilateral pneumonia and I’m feeling pessimistic as to whether she’ll make it or not. I feel awful, she’s such a sweet lady and her and my mom are very close.</t>
        </is>
      </c>
      <c r="D425" t="n">
        <v>60</v>
      </c>
      <c r="E425" t="n">
        <v>17</v>
      </c>
      <c r="F425">
        <f>HYPERLINK("https://www.reddit.com/r/COVID19positive/comments/g2od7w/my_great_grandmother_88_yrs_old_who_lives_in_nj/")</f>
        <v/>
      </c>
      <c r="G425" t="inlineStr">
        <is>
          <t>2020-04-16 14:42:58</t>
        </is>
      </c>
      <c r="H425" t="inlineStr">
        <is>
          <t>Tested Positive - Family</t>
        </is>
      </c>
    </row>
    <row r="426">
      <c r="A426" t="inlineStr">
        <is>
          <t>g2oq7e</t>
        </is>
      </c>
      <c r="B426" t="inlineStr">
        <is>
          <t>Test came positive</t>
        </is>
      </c>
      <c r="C426" t="inlineStr">
        <is>
          <t>Not sure what to expect as I'm in quarantine after tested positive, yesterday I lost my taste and don't feel like smoking anymore, before this I could die not smoking, my right nostril is tingling, I was coughing and had hard time talking when I was outside this morning that's when I got the call that I am positive,   I'm 33 no underlying health issues but this makes me anxious. What if the virus has already grown big and it's too late and I could die alone. I am not coughing but my throat is itchy and can't taste anything.  I got myself 3 bag of potato chips because I couldn't find a real food without lineups.  Not sure how long those chips will last, but I'm not hungry, this tingling feeling on my right nostril is driving me mad.  I don't know...</t>
        </is>
      </c>
      <c r="D426" t="n">
        <v>17</v>
      </c>
      <c r="E426" t="n">
        <v>21</v>
      </c>
      <c r="F426">
        <f>HYPERLINK("https://www.reddit.com/r/COVID19positive/comments/g2oq7e/test_came_positive/")</f>
        <v/>
      </c>
      <c r="G426" t="inlineStr">
        <is>
          <t>2020-04-16 15:01:55</t>
        </is>
      </c>
      <c r="H426" t="inlineStr">
        <is>
          <t>Tested Positive - Me</t>
        </is>
      </c>
    </row>
    <row r="427">
      <c r="A427" t="inlineStr">
        <is>
          <t>g2pg6y</t>
        </is>
      </c>
      <c r="B427" t="inlineStr">
        <is>
          <t>In the clear?</t>
        </is>
      </c>
      <c r="C427" t="inlineStr">
        <is>
          <t>I’ll start off by saying I had a test that was negative and two doctors have decided it was likely a false negative.
I got sick initially March 15th and was sick until the 24th. I had a 6 day rebound and fell ill again.
I’ve been sick since the 30th. 
My O2 is good but my chest feels very tight and I’ve been having lots of abdominal pain and overall wooziness. If I’m okay riding it out, then great, but I’m scared I’m going to turn critical at any moment.
My overall symptoms have included pink eye, GI upset, burning chest, burning lungs, fatigue, dizziness, loss of taste and smell. No significant cough. Went to the hospital 4/6 and had a chest X-ray and CAT scan that were both clear. Labs came back fine, just dehydrated.
Does anyone have experience with being 4.5 weeks into the game and needing to go to the hospital? I’m terrified that I’m going to get really bad really quickly even though most of what I’ve read seems to get the worst in the first 2-3 weeks.
I’m 30F, weigh 130lbs and have lupus.
ETA- haven’t had a fever, pulse ox is pretty consistent above 95, blood pressure is lower than normal for me, but still hasn’t gone below 115/70</t>
        </is>
      </c>
      <c r="D427" t="n">
        <v>11</v>
      </c>
      <c r="E427" t="n">
        <v>21</v>
      </c>
      <c r="F427">
        <f>HYPERLINK("https://www.reddit.com/r/COVID19positive/comments/g2pg6y/in_the_clear/")</f>
        <v/>
      </c>
      <c r="G427" t="inlineStr">
        <is>
          <t>2020-04-16 15:40:15</t>
        </is>
      </c>
      <c r="H427" t="inlineStr">
        <is>
          <t>Tested Positive - Me</t>
        </is>
      </c>
    </row>
    <row r="428">
      <c r="A428" t="inlineStr">
        <is>
          <t>g2puye</t>
        </is>
      </c>
      <c r="B428" t="inlineStr">
        <is>
          <t>Some Happy News</t>
        </is>
      </c>
      <c r="C428" t="inlineStr">
        <is>
          <t>So I have a small family and we all caught a mild case of this virus. My father is currently taking maintenance chemotherapy after beating cancer last year, so we were all terrified of him catching the virus.
Despite our best efforts, Mom caught it. I caught it. Wife caught it... MIL caught it... we're in the third week of symptoms now. In all of this my father is perfectly fine. No symptoms even with regular chemo treatments. He even has to go to outpatient multiple times a month for blood draws, etc. so suffice to say, his chances of catching this thing have been pretty high. I was baffled. 
Then when going through his medication, I discovered he has been taking acyclovir (an anti-viral) twice a day for months before this pandemic ever started and has continued taking them. That anti-viral has most likely saved his life.</t>
        </is>
      </c>
      <c r="D428" t="n">
        <v>354</v>
      </c>
      <c r="E428" t="n">
        <v>61</v>
      </c>
      <c r="F428">
        <f>HYPERLINK("https://www.reddit.com/r/COVID19positive/comments/g2puye/some_happy_news/")</f>
        <v/>
      </c>
      <c r="G428" t="inlineStr">
        <is>
          <t>2020-04-16 16:02:06</t>
        </is>
      </c>
      <c r="H428" t="inlineStr">
        <is>
          <t>Tested Positive - Family</t>
        </is>
      </c>
    </row>
    <row r="429">
      <c r="A429" t="inlineStr">
        <is>
          <t>g2q4od</t>
        </is>
      </c>
      <c r="B429" t="inlineStr">
        <is>
          <t>guilt over PPE shortages</t>
        </is>
      </c>
      <c r="C429" t="inlineStr">
        <is>
          <t>hi friends. i just need to tell someone who might relate. 
my local hospital has suspended 10 nurses for refusing to treat patients w/o n95 respirators. I am one of those patients, however the staff was kind and treated me. some of the nurses have gotten sick now. can confirm that even in my quarantine, they were just in surgical masks. I feel so guilty and awful D: 
I already ordered a few boxes of n95s to go there weeks ago but they haven’t been delivered yet. really wish this weren’t happening. /cry
https://people.com/health/10-nurses-suspended-for-refusing-to-treat-coronavirus-patients-without-n95-masks/</t>
        </is>
      </c>
      <c r="D429" t="n">
        <v>7</v>
      </c>
      <c r="E429" t="n">
        <v>24</v>
      </c>
      <c r="F429">
        <f>HYPERLINK("https://www.reddit.com/r/COVID19positive/comments/g2q4od/guilt_over_ppe_shortages/")</f>
        <v/>
      </c>
      <c r="G429" t="inlineStr">
        <is>
          <t>2020-04-16 16:17:18</t>
        </is>
      </c>
      <c r="H429" t="inlineStr">
        <is>
          <t>Tested Positive - Me</t>
        </is>
      </c>
    </row>
    <row r="430">
      <c r="A430" t="inlineStr">
        <is>
          <t>g2tbu2</t>
        </is>
      </c>
      <c r="B430" t="inlineStr">
        <is>
          <t>Doctor suspected my dad [52 M] of having COVID for about 2 weeks; started to feel better, only to get diagnosed with bacterial pneumonia yesterday. I feel awful</t>
        </is>
      </c>
      <c r="C430" t="inlineStr">
        <is>
          <t>My dad’s has all the trademark COVID symptoms over the past couple of weeks; an almost constant fever, lethargy, a loss of smell and taste, diarrhea, etc. The only thing he didn’t really have was a cough. He hasn’t ate properly in 2 weeks, and has often been sleeping for 20 hours at a time.
The last couple of days he seemed to improve; he was up and about for once and not bed ridden, his fever had disappeared and his sense of taste and smell came back. Over the past couple of days though he started coughing more, and despite improving physically I’d say, he’s been getting increasingly anxious about it all. He felt a little short of breath and the cough got worse, his anxiety about it all got to the point he couldn’t sleep, so he went to the hospital. 
Once there the doctor diagnosed him with bacterial pneumonia, and thinks that he has had COVID, but that it’s passed now, but that it fucked up his immune system and allowed the bacterial pneumonia to creep in. I was shocked at this, I found it strange it wasn’t the viral pneumonia that COVID directly causes. Anyway, they gave him antibiotics and let him go home. When he came home though, after a few hours his anxiety was through the roof, I have never seen him so distressed; he was crying, saying he thinks he’s gonna die, etc. Nothing I could say could calm him down. The X-Ray of his lungs showed the pneumonia was only a tiny blip, and must have been caught early; he has no fever and just a productive cough and a little bit of struggling to talk. He’s been through hell though and I think it’s all just getting to him. After phoning the hospital again and getting an ambulance out in case he needed to go back in, the paramedics checked his vitals, which were all perfect (his oxygen levels were at 100%), and they reassured him quite a bit that he was doing perfectly fine, and prescribed him with a run of Valium for his anxiety which had gotten out of control (he really wouldn’t calm down at all, he was terrified, and has had no history of that kind of anxiety, he’s usually very level-headed).
After that and taking the Valium he’s relaxed a bit and managed to go to sleep, but I am very worried, even if I’m not showing it. I’m scared that the COVID might still be in his system and co-infect with the bacterial pneumonia, that the antibiotics might not work, and that he’ll deteriorate. He’s an otherwise perfectly healthy 52 year old, and I’ve never seen him this ill or afraid in my life. I’ve been trying to keep calm for him, but fuck man I’m so afraid. The next few days will tell I suppose, but this seems too similar to the cases I’ve heard all too much of where it seems like things get better, only to get far worse. The paramedics really reassured us that he’s actually doing really well and isn’t a cause for concern at all, I just hope the COVID really is gone and the bacterial pneumonia responds quickly to the antibiotics. I’ve been trying to put on a brave face for my mum and dad who are clearly worried as fuck about all this, but when I get some time alone I just feel like crying. I haven’t slept in days. I keep telling my dad he’s okay, his symptoms are mild and there’s no reason to worry, but fuck I’m so scared that there is.</t>
        </is>
      </c>
      <c r="D430" t="n">
        <v>8</v>
      </c>
      <c r="E430" t="n">
        <v>9</v>
      </c>
      <c r="F430">
        <f>HYPERLINK("https://www.reddit.com/r/COVID19positive/comments/g2tbu2/doctor_suspected_my_dad_52_m_of_having_covid_for/")</f>
        <v/>
      </c>
      <c r="G430" t="inlineStr">
        <is>
          <t>2020-04-16 19:34:54</t>
        </is>
      </c>
      <c r="H430" t="inlineStr">
        <is>
          <t>Tested Positive - Family</t>
        </is>
      </c>
    </row>
    <row r="431">
      <c r="A431" t="inlineStr">
        <is>
          <t>g2vpkb</t>
        </is>
      </c>
      <c r="B431" t="inlineStr">
        <is>
          <t>Anyone have shortness of breath after physical activity? (Mostly recovered)</t>
        </is>
      </c>
      <c r="C431" t="inlineStr">
        <is>
          <t>I live with family members who tested positive. I developed symptoms on 4/1, and my doctor presumed me positive because of my family members. I have since mostly recovered. Does anyone else feel very lightheaded and short of breath after a small amount of physical activity? I had to sit down and rest after playing with my sister's dog: my chest hurt and I felt like I was hyperventilating... Strange part was I barely had any breathing issues while I was sick. My worst symptoms were stomach related and severe gum pain.</t>
        </is>
      </c>
      <c r="D431" t="n">
        <v>7</v>
      </c>
      <c r="E431" t="n">
        <v>14</v>
      </c>
      <c r="F431">
        <f>HYPERLINK("https://www.reddit.com/r/COVID19positive/comments/g2vpkb/anyone_have_shortness_of_breath_after_physical/")</f>
        <v/>
      </c>
      <c r="G431" t="inlineStr">
        <is>
          <t>2020-04-16 22:26:02</t>
        </is>
      </c>
      <c r="H431" t="inlineStr">
        <is>
          <t>Tested Positive - Family</t>
        </is>
      </c>
    </row>
    <row r="432">
      <c r="A432" t="inlineStr">
        <is>
          <t>g2yl00</t>
        </is>
      </c>
      <c r="B432" t="inlineStr">
        <is>
          <t>How do you explain first test negative and second positive</t>
        </is>
      </c>
      <c r="C432" t="inlineStr">
        <is>
          <t>So I'm italian 29 M tested positive around 19/03.
Now I'm fine no more symptoms since the beginning of April.
In Italy to figure out like a negative however you must pass 2 consecutive tests.
I did my first test some days ago and it was negative. 
Today I got my second test done.. and I'm nervously waiting for the results that will come in a week.
I heard some stories of people that are 1st negative then 2nd positive... how do you explain that? 
I'm feeling really better than when I did my first test so I'm confident it will be ok.. but anything can happen...
Edit: negative is negative response to Covid19 (no virus RNA detected)
Positive is you have the virus.</t>
        </is>
      </c>
      <c r="D432" t="n">
        <v>6</v>
      </c>
      <c r="E432" t="n">
        <v>9</v>
      </c>
      <c r="F432">
        <f>HYPERLINK("https://www.reddit.com/r/COVID19positive/comments/g2yl00/how_do_you_explain_first_test_negative_and_second/")</f>
        <v/>
      </c>
      <c r="G432" t="inlineStr">
        <is>
          <t>2020-04-17 02:19:10</t>
        </is>
      </c>
      <c r="H432" t="inlineStr">
        <is>
          <t>Tested Positive - Me</t>
        </is>
      </c>
    </row>
    <row r="433">
      <c r="A433" t="inlineStr">
        <is>
          <t>g31e4j</t>
        </is>
      </c>
      <c r="B433" t="inlineStr">
        <is>
          <t>On day 24. For people who have recovered, how long has it taken?</t>
        </is>
      </c>
      <c r="C433" t="inlineStr">
        <is>
          <t>Hi! This is kind of long so if you don’t want to read it all, my main question is: How long did it take you to recover, what were your symptoms when you had it, and do you have any residual symptoms post recovery?
My dad (53 y/o) my siblings (21 and 22), and I (24) all have covid and are all isolating in our own bedrooms. My mom (59) somehow has not caught it yet (which I am thankful for). My dad and I got it first on March 25. My two younger siblings got it a week later and seem to still be struggling, but have a more mild case than my dad and I.
We have all experienced different symptoms and different levels of severity of each symptom. Since we are all isolating in separate rooms of the house, I have not seen any of them in 24 days so I don’t know specifics of their symptoms, only what they have shared via text. 
My biggest concerns right now are 
-My heart rate (which is anywhere from 67-110 when laying down, and over 120 when standing. It even sometimes reaches 170+).
-My oxygen levels. Initially I was struggling with breathing and chest pressure/fullness much more. This past week I have been having an imperfect, but much easier, time breathing. However, sometimes my oxygen levels will still dip into the 80s even though I am not feeling much of a struggle for air anymore. 
-I also have seasonal asthma from tree pollen that starts about this time of year so I’m concerned as to if that will worsen my condition when I feel like I am making some (very gradual) improvements
-Last week I had a sharp pain in my chest by my heart. It seems to not be present anymore, but if anyone knows what that may have been please share. 
My dads biggest concern right now is a pressure in his chest that sounds much more intense than mine. I think by this point his other symptoms are uncomfortable, but not scary. 
Has anyone here had similar severity/types of symptoms, or symptoms for over/around 24 days as well, and recovered?
If so, please share how long it took you to recover, and what your primary symptoms were. Additionally, please share if you continued to experience a cough, breathing difficulties, chest pressure, low grade fever, fatigue, or a high heart rate, after recovery and how long any residual post recovery symptoms have lasted for.
Thank you for reading my post, and I hope you are all staying safe and healthy, or getting healthy soon!</t>
        </is>
      </c>
      <c r="D433" t="n">
        <v>3</v>
      </c>
      <c r="E433" t="n">
        <v>14</v>
      </c>
      <c r="F433">
        <f>HYPERLINK("https://www.reddit.com/r/COVID19positive/comments/g31e4j/on_day_24_for_people_who_have_recovered_how_long/")</f>
        <v/>
      </c>
      <c r="G433" t="inlineStr">
        <is>
          <t>2020-04-17 05:50:39</t>
        </is>
      </c>
      <c r="H433" t="inlineStr">
        <is>
          <t>Tested Positive - Me</t>
        </is>
      </c>
    </row>
    <row r="434">
      <c r="A434" t="inlineStr">
        <is>
          <t>g31y6n</t>
        </is>
      </c>
      <c r="B434" t="inlineStr">
        <is>
          <t>How to know if i developed pneumonia with covid?</t>
        </is>
      </c>
      <c r="C434" t="inlineStr">
        <is>
          <t>I am on my 4th week. I still have the symptoms. Chest pain, headache, chills and dizziness(for short time). Sorry for my bad English.</t>
        </is>
      </c>
      <c r="D434" t="n">
        <v>3</v>
      </c>
      <c r="E434" t="n">
        <v>11</v>
      </c>
      <c r="F434">
        <f>HYPERLINK("https://www.reddit.com/r/COVID19positive/comments/g31y6n/how_to_know_if_i_developed_pneumonia_with_covid/")</f>
        <v/>
      </c>
      <c r="G434" t="inlineStr">
        <is>
          <t>2020-04-17 06:25:19</t>
        </is>
      </c>
      <c r="H434" t="inlineStr">
        <is>
          <t>Tested Positive - Me</t>
        </is>
      </c>
    </row>
    <row r="435">
      <c r="A435" t="inlineStr">
        <is>
          <t>g32dn0</t>
        </is>
      </c>
      <c r="B435" t="inlineStr">
        <is>
          <t>DR, 33/M, Day 14 (COVID19 +ve), recovered [UPDATE]</t>
        </is>
      </c>
      <c r="C435" t="inlineStr">
        <is>
          <t>I posted earlier my daily log when my symptoms were more severe
[https://www.reddit.com/r/COVID19positive/comments/fyi9r6/dr\_33m\_day\_6\_covid19\_ve\_mild\_bordering\_on\_moderate/](https://www.reddit.com/r/COVID19positive/comments/fyi9r6/dr_33m_day_6_covid19_ve_mild_bordering_on_moderate/)
&amp;amp;#x200B;
As I'll be going back to work from tomorrow, I though it would be nice to post the full story till today. I'm not planning to post any more updates after today.
 Blood group A+, BCG vaccine when young, NHS DR, no previous health conditions, BMI =21
**Saturday night Day 0**
Went to bed early, no temp, paracetamol taken for headache, ?Hallucinations
**Sunday 3am Day 1**
39.0°C (102°F) temp, Headache, Body aches, Night nurse (Paracetamol, Promethazine, Dextromethorphan) taken, Slept on sofa.
**Sunday 9am cont. day 1**
38.7°C (102°F) initially, then 39.5°C (103°F), Kept taking night nurse (Paracetamol, Promethazine, Dextromethorphan), Myalgia, Body-aches, rocking back and forwards in discomfort, Called in sick for the Monday, Supper noodles.
**Monday Day 2**
39.5°C (103°F), temp below 39.0°C (102°F) with night nurse, but returned within 2 hours, Sat in living room for 30 mins mid-afternoon, Myalgia, Bone pain, Headaches, V fatigues, Drowsy, Body-aches, Violent rigours, SARS-Cov2 Swab taken in evening, Noticed no sense of smell, Cold shower taken, Small meal – soup.
**Tuesday Day 3**
Temp 39.5°C (103°F) all day, Started respiratory exercises, Night nurse taken, Results back – (SARS-Cov2) positive, Cold shower taken, Felt a bit better late afternoon – sat in chair for 30mins, Went asleep, Woke up late evening temp – 39.5°C (103°F) 2 hrs after paracetamol, Vomited pile, Felt like dying, Vomited pile again, Went to A&amp;amp; E, IV cyclizine, IV paracetamol, CRP 117, Lymphocytes 0.8, D-Dimer 700, Lactate 2, O2 97%, HR 130, RR26 (?panic), CXR normal.
Decided no more anti-pyretics, conscious (awake) pronation as much as possible, Overnight – pronation all night, No food that day
**Wednesday Day 4**
Conscious pronation all night – V painful, stiff joints, Temp 39.5°C (103°F) in the morning, Severe headaches, Vomiting after taking antibiotics (started that day), Phoned GP for buccal anti-emetics, Warm shower taken, Coughing sporadically, Noticed vasculitis rash both hands, Couldn’t eat any that day too.
**Thursday Day 5**
Conscious pronation all night, occasionally on side, NEVER on back, On waking 38.2°C (100°F), Vasculitis rash present on hands, Buccal anti-emetic in morning, Midday 38.5°C (101°F), Late afternoon 39.1°C (102°F), Horrendous frontal headaches in morning, Body aches, Ate 2 spoons of noodles, Diarrhoea until midday (was ok after the noodles), Good resp. exercises &amp;amp; coughed up a good amount of sputum, Coughing after conscious pronation – white sputum, 39.1°C (102°F) at 7pm, 39.2°C (102.5°F) at 8.45pm, Could not sleep, Occasional cough (sometimes with, sometimes without sputum),
**Friday day 6**
Midnight 38.2°C (101°F), Could not sleep for 4 hours despite trying different positions, 4am took night nurse &amp;amp; fell asleep, Woke at 7am temp 37.9°C (100°F), completely drenched in sweat, Changed clothes, back to bed, Woke at 12pm midday, Vasculitis rash still present but fading a bit, Ate some grains, No headache, no body-aches, Muscles aches from sleeping in odd positions, 38.2°C (101°F) at 2.30pm, 4pm feeling ok, temp 39.1°C (102°F), Showered, 7.30pm temp 39.7°C (103.5°F), 10pm 39.4°C, Felt the most awful at 10pm, More shortness of breath, Occasional cough (+/- sputum), Took night nurse at 1am as couldn’t sleep.
**Saturday Day 7**
Woke 8am temp 38.0°C (100.4°F), Breakfast porridge, 2pm-7pm temp 38.3°C (101°F) – 38.7°C (101.6°F), Vasculitis rash almost vanished, Pulse oximeter arrived -Sats 97-98%, Dinner – soup &amp;amp; half a bread roll, No headaches, No body aches, no myalgia, Short of breath &amp;amp; HR 130 on walking, Voice hoarser, 
**Sunday Day 8**
Woke 5am, drenched in sweat, very gritty and dry mouth, Woke 7am, drenched in sweat, Morning – noticed oral thrush, vasculitis rash completely gone, Tried to change the bed-sheets, HR went to 125, felt dizzy, Sp02 said 93%,All improved after lying down for 15mins, Had 2 good small meals, Highest temp of the day 37.5°C (99.5°F) at 6pm, Still having boughts of dry cough, Very fatigued, HR goes up on minimal exertion, Still no sense of smell.
**Monday Day 9**
Smell came back, Still have night sweats but improving, Still fatigued, Heart rate goes up to 120bpm on exertion, Found out that I lost 6.5kg (1 stone) in total during the illness period, Temp. max 37.3°C (99.1°F),
**Tuesday, Wednesday, Thursday Days 10-12**
Night sweats disappeared slowly, HR response to minimal exertion improved to 100bpm, Max temp 37.3 (99.1°F), Eating well.
**Friday Day 13** 
Almost back to normal, no fatigue on exertion at home, still mild cough but only occasionally 
Will be back at work on Saturday 
=======
\- A guide to awake pronation 
 [https://emcrit.org/emcrit/awake-pronation/](https://emcrit.org/emcrit/awake-pronation/)
Read the Eng/Spanish patient leaflet at the end of the article.
&amp;amp;#x200B;
\- Fever and anti-pyretics (please watch the video if you have a question) 
[https://www.youtube.com/watch?v=md6BGwGnekw](https://www.youtube.com/watch?v=md6BGwGnekw)</t>
        </is>
      </c>
      <c r="D435" t="n">
        <v>15</v>
      </c>
      <c r="E435" t="n">
        <v>23</v>
      </c>
      <c r="F435">
        <f>HYPERLINK("https://www.reddit.com/r/COVID19positive/comments/g32dn0/dr_33m_day_14_covid19_ve_recovered_update/")</f>
        <v/>
      </c>
      <c r="G435" t="inlineStr">
        <is>
          <t>2020-04-17 06:51:08</t>
        </is>
      </c>
      <c r="H435" t="inlineStr">
        <is>
          <t>Tested Positive - Me</t>
        </is>
      </c>
    </row>
    <row r="436">
      <c r="A436" t="inlineStr">
        <is>
          <t>g34r48</t>
        </is>
      </c>
      <c r="B436" t="inlineStr">
        <is>
          <t>feeling really bad today, couldn't breath without manual breathing for an hour, maybe declining? Anybody else around a month?</t>
        </is>
      </c>
      <c r="C436" t="inlineStr">
        <is>
          <t>day 29.  ER yesterday and said everything was fine.  Symptoms the entire 29 days, comes in waves.
I feel I've been trending downward the last, I don't know 8 days?
I always come out and feel sort of ok, but still kind of trending downward, esp when i was in the teens, felt a bit better then, bad waves weren't as bad, and good waves were better.
Anybody have this?  It clear up for y'all at some point?  I'm thinking of going back to the ER, but I know they don't want to see me.  I also know they ran the normal tests, checked blood, xray of lungths, ekg, all fine.  I guess maybe I could ask for hemo blood test, but would they do it?  Do I need to go?  I feel terrible today y'all I am very concerned, and I know they don't want me coming back to the ER, and frankly unless I can get some treatment(doubtful I'd guess) maybe I shouldn't go.
My breathing keeps getting worse though. Just doesn't feel like I'm getting better, honestly if I just stayed the same I wouldn't be so worried.  Do y'all just wait this type of stuff out?
Edit:  feeling ok now, Jesus these waves are getting worse.</t>
        </is>
      </c>
      <c r="D436" t="n">
        <v>2</v>
      </c>
      <c r="E436" t="n">
        <v>6</v>
      </c>
      <c r="F436">
        <f>HYPERLINK("https://www.reddit.com/r/COVID19positive/comments/g34r48/feeling_really_bad_today_couldnt_breath_without/")</f>
        <v/>
      </c>
      <c r="G436" t="inlineStr">
        <is>
          <t>2020-04-17 09:00:16</t>
        </is>
      </c>
      <c r="H436" t="inlineStr">
        <is>
          <t>Tested Positive - Me</t>
        </is>
      </c>
    </row>
    <row r="437">
      <c r="A437" t="inlineStr">
        <is>
          <t>g34um3</t>
        </is>
      </c>
      <c r="B437" t="inlineStr">
        <is>
          <t>Stepmom just tested positive for Covid-19. Grandma passed away from Covid-19 on April 11th.</t>
        </is>
      </c>
      <c r="C437" t="inlineStr">
        <is>
          <t>I’m scared. My dad has some heart issues and I’m worried that he’ll be impacted badly by it. Excluding me (19F), he has 3 very young children (6F, 3F, and 1F). This whole thing is terrible.</t>
        </is>
      </c>
      <c r="D437" t="n">
        <v>11</v>
      </c>
      <c r="E437" t="n">
        <v>8</v>
      </c>
      <c r="F437">
        <f>HYPERLINK("https://www.reddit.com/r/COVID19positive/comments/g34um3/stepmom_just_tested_positive_for_covid19_grandma/")</f>
        <v/>
      </c>
      <c r="G437" t="inlineStr">
        <is>
          <t>2020-04-17 09:04:54</t>
        </is>
      </c>
      <c r="H437" t="inlineStr">
        <is>
          <t>Tested Positive - Family</t>
        </is>
      </c>
    </row>
    <row r="438">
      <c r="A438" t="inlineStr">
        <is>
          <t>g3565f</t>
        </is>
      </c>
      <c r="B438" t="inlineStr">
        <is>
          <t>Confused about conditions to discontinue home isolation</t>
        </is>
      </c>
      <c r="C438" t="inlineStr">
        <is>
          <t>Hi.  27 y/o, exposed to SARS-CoV-2 via one of my roommates who tested positive (who was likely exposed via community spread from a job in grocery).  Came down with symptoms resembling COVID-19 starting March 31st, but did not test because of mildness of symptoms plus lack of preexisting conditions.
I’m confused about the conditions required to discontinue home isolation.  The CDC and CDPHE have implemented the following criteria...
&amp;gt;You have had no fever for at least 72 hours
Check.  Lacking a thermometer for the first week of the disease, I’m unsure if I ever had a fever to begin with.  I never felt feverish, and by day 14 when we actually got a hold of a thermometer, I had a normal temperature (hovering around 97.6 degrees).
&amp;gt;Other symptoms have improved.
So this is ambiguous as hell.  Improved as in gotten better?  Or improved as in resolved?  If I still have *some* cough, I think it’s incredibly irresponsible to break home isolation while remaining symptomatic, especially the symptom most likely to spread the virus.  If they mean literally “improved”, improved by *how much*?  I had “improved” on day 8, but only because I went from “coughing like crazy” to “coughing a lot” and instead of “sleeping 18 hours a day”, only “sleeping like, 12 hours a day”.  No idea if I check this box.
&amp;gt;At least 7 days since your first symptom appeared
Check.
Additionally, is this dependent on others in the household?  All 3 remaining tenants of household became symptomatic of a COVID-19-like disease within a week after the fourth of us tested positive.  3 of us are better now, but one remaining roommate is still symptomatic, which means all of us still have exposure to the virus.  Should we all wait until our last roommate has totally improved and fulfills the conditions set by the CDC before any of us lift self-quarantine?</t>
        </is>
      </c>
      <c r="D438" t="n">
        <v>8</v>
      </c>
      <c r="E438" t="n">
        <v>13</v>
      </c>
      <c r="F438">
        <f>HYPERLINK("https://www.reddit.com/r/COVID19positive/comments/g3565f/confused_about_conditions_to_discontinue_home/")</f>
        <v/>
      </c>
      <c r="G438" t="inlineStr">
        <is>
          <t>2020-04-17 09:21:14</t>
        </is>
      </c>
      <c r="H438" t="inlineStr">
        <is>
          <t>Tested Positive - Friends</t>
        </is>
      </c>
    </row>
    <row r="439">
      <c r="A439" t="inlineStr">
        <is>
          <t>g35lgq</t>
        </is>
      </c>
      <c r="B439" t="inlineStr">
        <is>
          <t>For those that had family/friends hospitalized, did you notice fluctuation of improving/deterioration over their hospital course?</t>
        </is>
      </c>
      <c r="C439" t="inlineStr">
        <is>
          <t>Family member is in the hospital now on day 8. Every time it seems like there's an upward trend of getting better for a couple of days, the next day there's a new setback with either new or worsening symptoms. 
This is what's taking a toll on me the most, getting my hopes up then I wake up the next day and we're back to square one.
Would appreciate any input, thanks.</t>
        </is>
      </c>
      <c r="D439" t="n">
        <v>11</v>
      </c>
      <c r="E439" t="n">
        <v>6</v>
      </c>
      <c r="F439">
        <f>HYPERLINK("https://www.reddit.com/r/COVID19positive/comments/g35lgq/for_those_that_had_familyfriends_hospitalized_did/")</f>
        <v/>
      </c>
      <c r="G439" t="inlineStr">
        <is>
          <t>2020-04-17 09:43:28</t>
        </is>
      </c>
      <c r="H439" t="inlineStr">
        <is>
          <t>Tested Positive - Family</t>
        </is>
      </c>
    </row>
    <row r="440">
      <c r="A440" t="inlineStr">
        <is>
          <t>g35x2q</t>
        </is>
      </c>
      <c r="B440" t="inlineStr">
        <is>
          <t>Is albuterol safe?</t>
        </is>
      </c>
      <c r="C440" t="inlineStr">
        <is>
          <t>Presumed Positive/
I know there’s conflicting information on steroids, but has anyone personally found help with albuterol? I have an old inhaler here and I might give it a go because my SOB is getting worse.
O2 is 99 but I can’t breathe</t>
        </is>
      </c>
      <c r="D440" t="n">
        <v>1</v>
      </c>
      <c r="E440" t="n">
        <v>5</v>
      </c>
      <c r="F440">
        <f>HYPERLINK("https://www.reddit.com/r/COVID19positive/comments/g35x2q/is_albuterol_safe/")</f>
        <v/>
      </c>
      <c r="G440" t="inlineStr">
        <is>
          <t>2020-04-17 10:00:25</t>
        </is>
      </c>
      <c r="H440" t="inlineStr">
        <is>
          <t>Tested Positive</t>
        </is>
      </c>
    </row>
    <row r="441">
      <c r="A441" t="inlineStr">
        <is>
          <t>g36kf8</t>
        </is>
      </c>
      <c r="B441" t="inlineStr">
        <is>
          <t>Plasma donation for fully recovered. Red Cross has not reached out after applying to donate plasma over a week ago.</t>
        </is>
      </c>
      <c r="C441" t="inlineStr">
        <is>
          <t>Filled out the American Red Cross Plasma donor form a week ago. I tested positive March 31 and am now fully recovered. Has anyone gotten a response from Red Cross?</t>
        </is>
      </c>
      <c r="D441" t="n">
        <v>12</v>
      </c>
      <c r="E441" t="n">
        <v>8</v>
      </c>
      <c r="F441">
        <f>HYPERLINK("https://www.reddit.com/r/COVID19positive/comments/g36kf8/plasma_donation_for_fully_recovered_red_cross_has/")</f>
        <v/>
      </c>
      <c r="G441" t="inlineStr">
        <is>
          <t>2020-04-17 10:35:05</t>
        </is>
      </c>
      <c r="H441" t="inlineStr">
        <is>
          <t>Tested Positive - Me</t>
        </is>
      </c>
    </row>
    <row r="442">
      <c r="A442" t="inlineStr">
        <is>
          <t>g385re</t>
        </is>
      </c>
      <c r="B442" t="inlineStr">
        <is>
          <t>Bad flare-up of symptoms after treatment and discharge from hospital (tested positive, then later double negative)</t>
        </is>
      </c>
      <c r="C442" t="inlineStr">
        <is>
          <t>Just as it says on the tin. I was tested for Covid19 on April 2, after struggling with the symptoms at home for a week and a half. The result came back positive 24 hours later and I was picked up by an ambulance and taken to the hospital to be admitted on the night between April 3 and 4 (my country is still admitting all positive cases in hospital). Was discharged on April 13, after two negative RT-PCR tests in a row.
Here's the problem, though. Almost all of my symptoms from the first week of infection:
- pain at the back of the skull
- weakness and dizziness
- dehydration
- CONSTANT urination if I drink even a small amount of liquid (urinated over *eighteen times* today)
- muscle pain
- nerve pain in arms
- very foul smelling sweat
- soft, sun-yellow, foul smelling stools
- constant feeling of knot in throat and difficulty swallowing
are back with a goddamn vengeance and I feel worse than ever, even with those two negative tests. The only things I'm missing from three weeks ago are the explosive diarrhea and the night sweats that soak the sheets (and at this rate they'll come back in due time, I'm sure).
This is a post I made here at the end of March, before I was confirmed positive:
https://www.reddit.com/r/COVID19positive/comments/foz9go/anyone_had_explosive_diarrhea_and_constant
**Even after treatment (five days on HCQ) and two consecutive negative tests, this virus is still present in my system and fucking me up.** Right now I'm fighting the constant choking feeling in my throat, as if the pharynx wants to close up (at one point in late March I spent a sleepless night when I became totally unable to swallow anymore. To swallow my own saliva, I'd have to gather a ton of it, then tip my head back and struggle).
My breathing itself is fine (never had either shortness of breath or loss of taste and smell, not for a moment) and I've never really had a fever either. SpO2 values steady at 97%, but the rest of me feels utterly wrecked. In particular, I feel like I can't keep up with how much fluid my kidneys are pumping out and I'm constantly dehydrated, no matter how many rehydration salts or vitamin drinks or tea or plain water I chug down. I just piss more and I don't know how long my kidneys will last under these conditions.
In hospital I wasn't taken seriously because I didn't have pulmonary symptoms, my GI symptoms and massive urination were either ignored or blamed on something else. Hence just five days on HCQ, with my file noting "patient became asymptomatic". I did improve, but my GI issues and nerve pain never disappeared, just lessened, but they were ignored when I reported them.
Two takeaways here:
**- be prepared for two negatives to not necessarily mean this thing is gone** (now I understand what probably happened in South Korea with those "reinfection" cases. It's not reinfection, the viral load goes down likely due to immune response and then this thing surges again)
**-be prepared to not even be believed if you don't have pulmonary symptoms**
I don't know what to do, on my end. I'm feeling worse and worse and I genuinely can't keep up with the fluid loss (fell down today when going to the bathroom, likely due to the electrolyte imbalance). My kidneys themselves are okay for now, I don't have any sort of UTI, no blood or protein in the urine (they did check for this in the hospital, at least). It's just something about this infection that tries to wring all the water from my body.</t>
        </is>
      </c>
      <c r="D442" t="n">
        <v>7</v>
      </c>
      <c r="E442" t="n">
        <v>14</v>
      </c>
      <c r="F442">
        <f>HYPERLINK("https://www.reddit.com/r/COVID19positive/comments/g385re/bad_flareup_of_symptoms_after_treatment_and/")</f>
        <v/>
      </c>
      <c r="G442" t="inlineStr">
        <is>
          <t>2020-04-17 11:58:26</t>
        </is>
      </c>
      <c r="H442" t="inlineStr">
        <is>
          <t>Tested Positive - Me</t>
        </is>
      </c>
    </row>
    <row r="443">
      <c r="A443" t="inlineStr">
        <is>
          <t>g38m35</t>
        </is>
      </c>
      <c r="B443" t="inlineStr">
        <is>
          <t>Scared As Shit (Presumed positive / awaiting test results)</t>
        </is>
      </c>
      <c r="C443" t="inlineStr">
        <is>
          <t>I'm not sure where to put this or if it will get deleted, but I'm hoping typing it out helps to alleviate some of the fear.
I have been presumed positive and am.on week three now.  They finally set up a drive up testing site in the area via Quest Diagnostics so I was able to go get tested today - I was denied testing before because I wasn't a healthcare worker or first responder and didn't need to be hospitalized.
So I've been isolating alone in my apartment and the isolation and being sick is just making me horribly scared.
I'm now on my third wave of whatever this is.  I've experienced nausea, diarrhea, headache, sinus congestion, runny nose, chills, chest congestion, a constant almost drowning/wet lung feeling, shortness of breath, a bit of a dry cough, heart palpations, and the latest symptom of dizzy spells.
I've been taking Mucinex, Pepto bismul, Tylenol, and an Albuterol inhaler.  Melatonin to sleep at night.  Klonopin from my therapist when I panic.
It's been three weeks and the fact that I keep getting waves and symptoms I thought were gone come back I'm starting to really worry.  I think about people in the hospital and if going to the hospital means inevitably a ventilator or death.  I'm just... This constant state of fear.
Please someone give me some good news or hope.  Anything I can ground myself with.  I keep reminding myself that yes its been 3 weeks, but that means I'm at least 3 weeks through it now.
For reference I'm 36, female, obese, but no other real underlying conditions.  The worst of the lung congestion and shortness of breath seems to be gone, though given the waves and return of symptoms I don't even know if that's true.
How are you all dealing with this uncertainty and fear?</t>
        </is>
      </c>
      <c r="D443" t="n">
        <v>4</v>
      </c>
      <c r="E443" t="n">
        <v>9</v>
      </c>
      <c r="F443">
        <f>HYPERLINK("https://www.reddit.com/r/COVID19positive/comments/g38m35/scared_as_shit_presumed_positive_awaiting_test/")</f>
        <v/>
      </c>
      <c r="G443" t="inlineStr">
        <is>
          <t>2020-04-17 12:22:32</t>
        </is>
      </c>
      <c r="H443" t="inlineStr">
        <is>
          <t>Tested Positive - Me</t>
        </is>
      </c>
    </row>
    <row r="444">
      <c r="A444" t="inlineStr">
        <is>
          <t>g38o0a</t>
        </is>
      </c>
      <c r="B444" t="inlineStr">
        <is>
          <t>Question regarding false negatives : First test -ve (not infected), then +ve (infected) test result</t>
        </is>
      </c>
      <c r="C444" t="inlineStr">
        <is>
          <t>Scenario - You had symptoms, but tested -ve.  Then you were tested again, and result was +ve (infected). If you or anyone you knew faced this -
1. Where did you test ( state, city, testing facility)
2. Your gender and age
3. Did you have any preexisting conditions
4. What were your symptoms before both the tests
5. How many days it took for both the test results to come out
Trying to understand if such cases have any commonalities (like if any testing center is consistently coming up with false negatives or if such patients had similar symptoms - such as only lack of taste), etc.</t>
        </is>
      </c>
      <c r="D444" t="n">
        <v>0</v>
      </c>
      <c r="E444" t="n">
        <v>2</v>
      </c>
      <c r="F444">
        <f>HYPERLINK("https://www.reddit.com/r/COVID19positive/comments/g38o0a/question_regarding_false_negatives_first_test_ve/")</f>
        <v/>
      </c>
      <c r="G444" t="inlineStr">
        <is>
          <t>2020-04-17 12:25:28</t>
        </is>
      </c>
      <c r="H444" t="inlineStr">
        <is>
          <t>Tested Positive</t>
        </is>
      </c>
    </row>
    <row r="445">
      <c r="A445" t="inlineStr">
        <is>
          <t>g39cjy</t>
        </is>
      </c>
      <c r="B445" t="inlineStr">
        <is>
          <t>Got the anti-body test today in California</t>
        </is>
      </c>
      <c r="C445" t="inlineStr">
        <is>
          <t>A little backstory, my fiance worked with someone who tested positive for Covid. She got sick around March 15th, with the headache, fever, loss of smell. Around March 18th I started getting sick as well, chills, fever, body aches, the standard Covid symptoms. She was feeling better after about 8 days. I felt sick for about 18 days and still have a dry cough a month later but overall I'm feeling back to normal with the exception of the cough. 
Today we got the anti-body blood test in California. She tested NEGATIVE across the board. And I tested posted for both IgM and IgG which seems to indicate according to the test that I am both still contagious and also have some level of immunity. 
These are pretty confusing results for a couple reasons. One I think without a doubt I got sick from my fiance and even if I didn't, I'm not sure how she wouldn't have got it from me during quarantine. Also If I was exposed over a month ago it's hard to imagine I would still be contagious. 
Wondering if anyone else got tested and if they had a similar experience?</t>
        </is>
      </c>
      <c r="D445" t="n">
        <v>18</v>
      </c>
      <c r="E445" t="n">
        <v>48</v>
      </c>
      <c r="F445">
        <f>HYPERLINK("https://www.reddit.com/r/COVID19positive/comments/g39cjy/got_the_antibody_test_today_in_california/")</f>
        <v/>
      </c>
      <c r="G445" t="inlineStr">
        <is>
          <t>2020-04-17 13:02:28</t>
        </is>
      </c>
      <c r="H445" t="inlineStr">
        <is>
          <t>Tested Positive - Me</t>
        </is>
      </c>
    </row>
    <row r="446">
      <c r="A446" t="inlineStr">
        <is>
          <t>g3atb8</t>
        </is>
      </c>
      <c r="B446" t="inlineStr">
        <is>
          <t>How did you guys handle the pneumonia?</t>
        </is>
      </c>
      <c r="C446" t="inlineStr">
        <is>
          <t>Hey everyone me again (; (unfortunately)
So if you guys read my last post, I was doing much better day by day. I eventually got to a point where I felt amazing and myself for a little over a week, even as far as going for a very long run and not having any relapse symptoms the next couple of days or anything. I have not stopped taking my vitamins and my zinc, I’m most likely going to keep them in my life but at lower doses once I know I’m truly in the clear. 
However, I just woke up the other day (Wednesday 4/15)with the usual cold symptoms. I brushed those off because they were right on the clock with my “once a year get sick one week after my birthday” cold. No fever or anything. I don’t remember what day I’m on anymore because I stopped counting when I got to around 5 days no fever/symptoms, but if i had to guess, I think I was around day 26 when this stuff came back. 
Fast forward to yesterday, I woke up and I had the headache and my chest was tight again like it had been that whole time when I was sick before. Lovely. Went about my day inside as usual and tried not to panic. No fever. 
This morning was the kicker. I woke up, my Throat felt hoarse and I sat up, and took a deep breath - WHEEEEEEEEEEEEZE. I immediately called the urgent care. I still don’t have a fever, I don’t “feel”’sick, but my lungs do. I went in and they gave me a chest X-ray, and the dr said I have what looks like the beginnings of pneumonia or bronchitis, however it’s most likely pneumonia trying to start up given my past few weeks. I was given a z pack and an inhaler and sent home. I’m on approximately day 28 of this now and so completely broken down and disheartened because this is the worst I’ve been. I don’t even feel that bad physically and I have energy, but even when I felt real bad a few weeks ago everything was clear. 
So to my point - anyone who has/had the pneumonia, what did it feel like for you and what can I expect? What helped/didn’t help, and how are you feeling now? I’ve never had anything get into my lungs before and I’m scared. Maybe my body will fight it off before it gets any worse?
Edit: link to my original post [original post](https://www.reddit.com/r/COVID19positive/comments/fqz3q9/23f_blood_type_a_extremely_active_presumptive/?utm_source=share&amp;amp;utm_medium=ios_app&amp;amp;utm_name=iossmf)</t>
        </is>
      </c>
      <c r="D446" t="n">
        <v>2</v>
      </c>
      <c r="E446" t="n">
        <v>12</v>
      </c>
      <c r="F446">
        <f>HYPERLINK("https://www.reddit.com/r/COVID19positive/comments/g3atb8/how_did_you_guys_handle_the_pneumonia/")</f>
        <v/>
      </c>
      <c r="G446" t="inlineStr">
        <is>
          <t>2020-04-17 14:22:27</t>
        </is>
      </c>
      <c r="H446" t="inlineStr">
        <is>
          <t>Tested Positive - Me</t>
        </is>
      </c>
    </row>
    <row r="447">
      <c r="A447" t="inlineStr">
        <is>
          <t>g3bgwg</t>
        </is>
      </c>
      <c r="B447" t="inlineStr">
        <is>
          <t>Update: Had shortness of breath suddenly at 4 weeks of mild symptoms (went to hospital)</t>
        </is>
      </c>
      <c r="C447" t="inlineStr">
        <is>
          <t>Hi everyone! My last post received a great deal of support and advice and I am utterly grateful for this sub. I wanted to make sure to update my symptoms in the event that it could possibly help someone else. 
My last post: https://www.reddit.com/r/COVID19positive/comments/fzij0g/when_should_i_got_to_the_hospital_for_shortness/?utm_medium=android_app&amp;amp;utm_source=share
Last night I woke up feeling very hoarse and out of breath and decided it was time to get it checked out (a week from first indication of SOB). I called my doctor, in case there was a specific protocol for my hospital attendance. She told me to go to the hospital asap and that they would have a procedure in place. I'm located in Ontario, Canada. I was taken to a specific area after triage. Blood work, chest x-ray, and ECG were done. I was also given a nasal swab for covid testing (brutal btw). The swab will likely take a few weeks to be processed, but my labs, xray and ecg came back normal. Which is great news of course. I'm still perplexed about my chest symptoms but hopefully it gets better rather than worse! 
Once my test comes back I will update this post with my symptoms progression and the results. I know that this virus has such a great deal of variation in the symptoms and timeline so hopefully this helps to contribute to the knowledge of the virus overall. Feel free to PM me if anyone has any questions!
(Had to add flair, haven't received my test result but from what the attending doctor said I'm presuming I'm positive.)</t>
        </is>
      </c>
      <c r="D447" t="n">
        <v>9</v>
      </c>
      <c r="E447" t="n">
        <v>81</v>
      </c>
      <c r="F447">
        <f>HYPERLINK("https://www.reddit.com/r/COVID19positive/comments/g3bgwg/update_had_shortness_of_breath_suddenly_at_4/")</f>
        <v/>
      </c>
      <c r="G447" t="inlineStr">
        <is>
          <t>2020-04-17 14:58:48</t>
        </is>
      </c>
      <c r="H447" t="inlineStr">
        <is>
          <t>Tested Positive</t>
        </is>
      </c>
    </row>
    <row r="448">
      <c r="A448" t="inlineStr">
        <is>
          <t>g3bjcb</t>
        </is>
      </c>
      <c r="B448" t="inlineStr">
        <is>
          <t>My girlfriend is a presumed positive case, and I was with her Sunday for the first time in over a month now I have symptoms :/</t>
        </is>
      </c>
      <c r="C448" t="inlineStr">
        <is>
          <t>Didn’t want to make this post but I have no one else to really talk to as my mom will worry and think I’m dying, as will my dad
So first things first I live in Ohio and we are on lockdown, I really don’t leave my house besides to get food through the drive through 2-3x a week, other than that I’m in my room.
So here we go, last Wednesday I had a sore throat it literally felt like strep throat, like I was swallowing glass, 2 days later and it was gone like magically disappeared as fast as it came on. Saturday &amp;amp; Sunday I felt pretty much fine, I drove to my girlfriends and gave her some of her birthday gifts in my car, we held hands, I kissed her cheek she got out (20-30 mins), I didn’t touch my mouth or face and washed my hands, I take pretty good preventative measures and limit my social interaction to just my mom. Monday I felt something coming on, I know my body well, and Tuesday I started to feel tired and pretty much just bleh, my allergies seemed to acted up all in all I would call it a very minor cold, highest my temp reached was around 99.8, I have an oximeter and the readings have been normal, I have congestion/runny nose at times, sneezing, a weird slight cough here and there but today (I woke up at 5pm after a nap) I was snorting and bringing up spit Bc my nose itches and I spit into my sink and seen streaks of red blood, I got super nervous....if covid wasn’t a thing right now I don’t think I’d be worried about this at all but I’m pretty concerned. Other than that I mean I’m eating and drinking fine, I would label it as a cold right now, but I know how fast this virus can turn the corner. 
Little bit about me is I’m a 24 year old male, athletic build, with no other health conditions, but I do have anxiety around my health (especially in times like this).</t>
        </is>
      </c>
      <c r="D448" t="n">
        <v>4</v>
      </c>
      <c r="E448" t="n">
        <v>14</v>
      </c>
      <c r="F448">
        <f>HYPERLINK("https://www.reddit.com/r/COVID19positive/comments/g3bjcb/my_girlfriend_is_a_presumed_positive_case_and_i/")</f>
        <v/>
      </c>
      <c r="G448" t="inlineStr">
        <is>
          <t>2020-04-17 15:02:29</t>
        </is>
      </c>
      <c r="H448" t="inlineStr">
        <is>
          <t>Tested Positive - Friends</t>
        </is>
      </c>
    </row>
    <row r="449">
      <c r="A449" t="inlineStr">
        <is>
          <t>g3d5o2</t>
        </is>
      </c>
      <c r="B449" t="inlineStr">
        <is>
          <t>Anybody having auto breathing trouble?</t>
        </is>
      </c>
      <c r="C449" t="inlineStr">
        <is>
          <t>Just started today, oddly enough my breathing is much better than it was yesterday and earlier, but now it's weird like...I just can't automatically breath, I have to do it manually, even though it's been way worse before this.
Anybody had this?  Does it come and go too?  hoping it's just anxiety or something, but it's really weird so far, hoping I can get to sleep tonight.</t>
        </is>
      </c>
      <c r="D449" t="n">
        <v>1</v>
      </c>
      <c r="E449" t="n">
        <v>41</v>
      </c>
      <c r="F449">
        <f>HYPERLINK("https://www.reddit.com/r/COVID19positive/comments/g3d5o2/anybody_having_auto_breathing_trouble/")</f>
        <v/>
      </c>
      <c r="G449" t="inlineStr">
        <is>
          <t>2020-04-17 16:33:13</t>
        </is>
      </c>
      <c r="H449" t="inlineStr">
        <is>
          <t>Tested Positive - Me</t>
        </is>
      </c>
    </row>
    <row r="450">
      <c r="A450" t="inlineStr">
        <is>
          <t>g3lftp</t>
        </is>
      </c>
      <c r="B450" t="inlineStr">
        <is>
          <t>Anyone here can't breath through their belly?</t>
        </is>
      </c>
      <c r="C450" t="inlineStr">
        <is>
          <t>Something seems wrong with the way I am breathing I just can't breath through my belly and it feels like my lungs are restricted whenever I breath air.</t>
        </is>
      </c>
      <c r="D450" t="n">
        <v>1</v>
      </c>
      <c r="E450" t="n">
        <v>9</v>
      </c>
      <c r="F450">
        <f>HYPERLINK("https://www.reddit.com/r/COVID19positive/comments/g3lftp/anyone_here_cant_breath_through_their_belly/")</f>
        <v/>
      </c>
      <c r="G450" t="inlineStr">
        <is>
          <t>2020-04-18 03:30:24</t>
        </is>
      </c>
      <c r="H450" t="inlineStr">
        <is>
          <t>Tested Positive - Me</t>
        </is>
      </c>
    </row>
    <row r="451">
      <c r="A451" t="inlineStr">
        <is>
          <t>g3ncwi</t>
        </is>
      </c>
      <c r="B451" t="inlineStr">
        <is>
          <t>7th week of being symptomatic today. Anyone else strugggling to fight this off?</t>
        </is>
      </c>
      <c r="C451" t="inlineStr">
        <is>
          <t>I first became symptomatic on the 29th of February. Have had 2 ER visits including a chest x-ray which was apparently clear. Cough comes and goes, absence of taste in mouth/metallic taste on tongue. Mild fever which has worsened this week. Starting to get incredibly weak. Had diarrhoea on and off since the start also. Lymph nodes are very sore and had shortness of breath feeling quite a lot too although my sats have normally been good.
Today marks the 49th day (7 weeks) of being sick and whilst I have had a few days where I began to feel better, overall I don't feel like I'm recovering. I'm trying to eat as well as I can and have lost quite a bit of weight. I take Vitiamin C/D and a multivitamin daily too boost my immune system. I have Chronic Fatigue Syndrome as an underlying condition.
My question is, has anybody managed to beat this after such a long time? I've been in tears a lot as I'm scared that I'm dying. I know most people take a turn for the worst in week 2 but this is getting to the point of ridiculousness now.</t>
        </is>
      </c>
      <c r="D451" t="n">
        <v>1</v>
      </c>
      <c r="E451" t="n">
        <v>88</v>
      </c>
      <c r="F451">
        <f>HYPERLINK("https://www.reddit.com/r/COVID19positive/comments/g3ncwi/7th_week_of_being_symptomatic_today_anyone_else/")</f>
        <v/>
      </c>
      <c r="G451" t="inlineStr">
        <is>
          <t>2020-04-18 06:17:22</t>
        </is>
      </c>
      <c r="H451" t="inlineStr">
        <is>
          <t>Tested Positive - Me</t>
        </is>
      </c>
    </row>
    <row r="452">
      <c r="A452" t="inlineStr">
        <is>
          <t>g3pukw</t>
        </is>
      </c>
      <c r="B452" t="inlineStr">
        <is>
          <t>People I know who had COVID-19 and their results over time</t>
        </is>
      </c>
      <c r="C452" t="inlineStr">
        <is>
          <t>F, 18 NYC- 2 weeks of body ache, sweats but recovered. 
F, 72 NYC - died after catching it 4 weeks prior symptoms showed 3 weeks in. Brain damage. One week in hospital 
M 50+ NYC - 2 weeks in hospital, declared dead today. Kidney issues (probably from drinking)
F 18, UK - declared dead 
M 21 NYC - family with COVID, showed NO symptoms and is fine 
M 40+ NYC- same as above 
F 6 NYC, same as above 
M 12, M 12 brothers NYC same as above 
M 50+ same 
2 M 40, NYC doctor, declared dead. But family is all fine. 
M (age?) BD declared dead
Just showing things are really random. We know little about the virus. People who has asthma or smoking issues of varying degrees either are totally fine or are totally not. People I’ve known as fighters have died from the virus and people I’ve known to have the worst hygiene habits showed no symptoms (not saying all of them) it just shows you don’t know what will happen. Praying for everyone, I don’t know what the future holds anymore.</t>
        </is>
      </c>
      <c r="D452" t="n">
        <v>3</v>
      </c>
      <c r="E452" t="n">
        <v>7</v>
      </c>
      <c r="F452">
        <f>HYPERLINK("https://www.reddit.com/r/COVID19positive/comments/g3pukw/people_i_know_who_had_covid19_and_their_results/")</f>
        <v/>
      </c>
      <c r="G452" t="inlineStr">
        <is>
          <t>2020-04-18 09:01:46</t>
        </is>
      </c>
      <c r="H452" t="inlineStr">
        <is>
          <t>Tested Positive - Family</t>
        </is>
      </c>
    </row>
    <row r="453">
      <c r="A453" t="inlineStr">
        <is>
          <t>g3q0ha</t>
        </is>
      </c>
      <c r="B453" t="inlineStr">
        <is>
          <t>A 'Mild' Ride</t>
        </is>
      </c>
      <c r="C453" t="inlineStr">
        <is>
          <t>Hi all,
I feel like this post is mostly an echo chamber for people who are anxious and/or dealing with lingering symptoms, so wanted to throw an update out now that I've been feeling solidly better for a good bit now
I'm a 30 year old male in good health, and I'm very active. I started feeling sick on Monday, 4/6. Retrospectively, I was probably off for a few days before hand. I did a lot of cycling on 4/4 &amp;amp; 4/5, and if I was getting sick already, a 4 hour ride on 4/5 wore me down enough for the virus to get a good hold on me. The prior week, I recall feeling kinda foggy (making mistakes at work I wouldn't normally have) and catching my breath during exercise just feeling...off.
On 4/6, I started getting an obvious fever in the evening, with sweats and chills. (no thermometer to check unfortunately - I had one mailed around then but the shipping was delayed a week). That evening, I woke up abruptly shaking and drenched in sweat. I figured it was from a sunburn from the previous day.
4/7 - Woke up incredibly exhausted. Chalked it up to being worn out in general and a bad night's sleep. This devolved during the day into body aches and a headache, and got progressively [worse.](https://worse.GI) GI issues start and persist for the next 4 days.
4/8, 9, &amp;amp; 10 - Same as 4/7, extreme fatigue and mild body aches. I barely left the couch for this entire duration, other than to keep myself nourished and go to the bathroom. Looking back, I was way more exhausted than I realized at the time. I experienced one odd symptom I haven't seen elsewhere; my feet didn't stop sweating from the onset of symptoms until past this phase. Like, I was leaving wet footprints in my kitchen sweaty. No respiratory issues at this time. I did a telehealth screen on 4/8 and was advised it was likely COVID, and to just stay home and ride it out.
4/11 - A bit of my energy came back this day. Thought I might be improving. My headache got worse, however, and I started to feel the chest tightness, and mild shortness of breath. The chest tightness felt like, if I was lying on my back, someone stacked a few bricks on my sternum. I could still take full breathes, and was very conscious of deep breathing, but felt like I had to 'breath past' that tightness to fill my lungs.
4/12 - Headache and bodyaches persist in the morning, but energy still improving. Think I'm getting better. I clean my kitchen and take a shower. Getting out of the shower, I get hit with the dreaded second wave. It took almost an hour on the couch to catch my breath. I did a telehealth call again; this time, the doctor advises me to seek urgent care/ER treatment as my condition seemed to be worsening rapidly. I called the ER, who advised they wouldn't be able to test me, and would most likely x-ray my chest and send me home. As I was able to get my breathing under control, and had an inhaler on hand, I remained at home and focused on my breathing for the rest of the day. I felt terrible that night, but got some sleep.
4/13 - Energy is back again a little bit. I'm a bit nervous from the prior day, and rest hard all day. I'm feeling alright during the day, but when I try to go to sleep, have a splitting headache. I wake up again in the middle of the night gasping for air, shaking, and with sweats and chills. It was the exact same way I felt the first night, and cross my fingers that it's the last wave, as I still felt like I had been improving the prior day or two.
4/14 - Wake up feeling decent, and am cautiously optimistic about my condition. No relapse that day, really felt a lot of improvement.
4/15 - Actually felt good this day. No symptoms and enough energy to do things, but forced myself to stay on the couch all day.
4/16 - Felt good again. My body was definitely worn down from putting up a fight for so long, but other than that no issues.
4/17 &amp;amp; 4/18 - Really feeling good. No issues still, energy back. Easing back into things and staying home for a few more days, but no fever since the night of 4/13.
I am one of those people who thought 'maybe I already had this', as I had a bad flu with respiratory symptoms back in February. At the time, it was about the hardest a flu had ever hit me.
I definitely don't think that's the case now, as that flu had quite a bit of upper respiratory and sinus congestion, and what I had (the presumed COVID) last week had the notorious dry cough. Like you want to cough something up but there's nothing there.
It definitely felt different than any flu I've had before - even though, as I mentioned, I could take full breathes, I never felt like I was getting enough air from them. I've you've ever spent a lot of time at high altitude, it was very similar to that. I just felt mentally foggy, uncomfortable in my skin, and unbelievably fatigued. In the first few days, I was thinking "I don't feel THAT sick", but comparatively, after my flu in February, I was up and moving again, if in pain, after 4-5 days.
This had me knocked on my ass for like 8 days. It took until day 8 or 9 for me to be able to sit up for most of the day, instead of laying on the couch the entire time I was awake.
I just found out my sisters' roommates' boss (she was still going into work) just got a positive antibody test. My sister and her roommate were both sick, and I was exposed to them maybe 2 weeks before I got sick. 6 days before getting sick, I had to do trips to the bank, post office, and convenience store. I live in a dense part of a major city that has a lot of cases, and had been going for walks or bike rides every day. My building also has a common entrance. So, I can't say for sure where I was exposed, but there's a lot of possibility there.
All in all, I'm feeling back to normal and don't anticipate any more waves coming my way, as I've had no symptoms since Tuesday. Hope this makes you all feel a little less anxious. As shitty as it was, it wasn't the end of the world, and hopefully I can get an antibody test and peace of mind soon. :)</t>
        </is>
      </c>
      <c r="D453" t="n">
        <v>4</v>
      </c>
      <c r="E453" t="n">
        <v>9</v>
      </c>
      <c r="F453">
        <f>HYPERLINK("https://www.reddit.com/r/COVID19positive/comments/g3q0ha/a_mild_ride/")</f>
        <v/>
      </c>
      <c r="G453" t="inlineStr">
        <is>
          <t>2020-04-18 09:11:16</t>
        </is>
      </c>
      <c r="H453" t="inlineStr">
        <is>
          <t>Tested Positive - Friends</t>
        </is>
      </c>
    </row>
    <row r="454">
      <c r="A454" t="inlineStr">
        <is>
          <t>g3qpza</t>
        </is>
      </c>
      <c r="B454" t="inlineStr">
        <is>
          <t>Husband Covid +</t>
        </is>
      </c>
      <c r="C454" t="inlineStr">
        <is>
          <t>My husband just got the news he is covid + and I'm honestly relieved.  We have both been sick for a couple of weeks. It's mild. One of our kids has had very mild conjunctivitis, belly aches, and a dry throat. Our two youngest- 4 year old twins- have no symptoms at this time. Hoping this is the worst of it. We both are feeling better by the day.</t>
        </is>
      </c>
      <c r="D454" t="n">
        <v>2</v>
      </c>
      <c r="E454" t="n">
        <v>11</v>
      </c>
      <c r="F454">
        <f>HYPERLINK("https://www.reddit.com/r/COVID19positive/comments/g3qpza/husband_covid/")</f>
        <v/>
      </c>
      <c r="G454" t="inlineStr">
        <is>
          <t>2020-04-18 09:52:48</t>
        </is>
      </c>
      <c r="H454" t="inlineStr">
        <is>
          <t>Tested Positive - Family</t>
        </is>
      </c>
    </row>
    <row r="455">
      <c r="A455" t="inlineStr">
        <is>
          <t>g3qw7v</t>
        </is>
      </c>
      <c r="B455" t="inlineStr">
        <is>
          <t>Be careful with Mucinex</t>
        </is>
      </c>
      <c r="C455" t="inlineStr">
        <is>
          <t>I get a lot of lung infections and my favorite OTC medication has always been Mucinex. It has worked on every cold and flu ever but not on covid. There is just nothing to cough up. I have had very sticky stuff in my lungs but I don’t think  the pressure in this virus is phlegm it’s damage. I tried taking it and it made things worse. Please don’t take this without being very careful.</t>
        </is>
      </c>
      <c r="D455" t="n">
        <v>7</v>
      </c>
      <c r="E455" t="n">
        <v>15</v>
      </c>
      <c r="F455">
        <f>HYPERLINK("https://www.reddit.com/r/COVID19positive/comments/g3qw7v/be_careful_with_mucinex/")</f>
        <v/>
      </c>
      <c r="G455" t="inlineStr">
        <is>
          <t>2020-04-18 10:02:49</t>
        </is>
      </c>
      <c r="H455" t="inlineStr">
        <is>
          <t>Tested Positive - Family</t>
        </is>
      </c>
    </row>
    <row r="456">
      <c r="A456" t="inlineStr">
        <is>
          <t>g3r5a4</t>
        </is>
      </c>
      <c r="B456" t="inlineStr">
        <is>
          <t>Is cough syrup and Mucinex good to use for dry cough?</t>
        </is>
      </c>
      <c r="C456" t="inlineStr">
        <is>
          <t>I tested positive with no real symptoms besides lack of smell And taste.
My mom is showing symptoms now and is diabetic in her mid 50s, experiencing dry cough. I ordered mucinex and have a brand new bottle of codeine syrup prescribed to her from a few months back she never used. Is this safe to help the process?</t>
        </is>
      </c>
      <c r="D456" t="n">
        <v>1</v>
      </c>
      <c r="E456" t="n">
        <v>7</v>
      </c>
      <c r="F456">
        <f>HYPERLINK("https://www.reddit.com/r/COVID19positive/comments/g3r5a4/is_cough_syrup_and_mucinex_good_to_use_for_dry/")</f>
        <v/>
      </c>
      <c r="G456" t="inlineStr">
        <is>
          <t>2020-04-18 10:17:23</t>
        </is>
      </c>
      <c r="H456" t="inlineStr">
        <is>
          <t>Tested Positive - Family</t>
        </is>
      </c>
    </row>
    <row r="457">
      <c r="A457" t="inlineStr">
        <is>
          <t>g3scsj</t>
        </is>
      </c>
      <c r="B457" t="inlineStr">
        <is>
          <t>If I have a mild case, will my parents catch the same “strain?”</t>
        </is>
      </c>
      <c r="C457" t="inlineStr">
        <is>
          <t>Hey obviously I don’t know much about this, all that I know is that I’ve tested positive and my parents are now showing symptoms. Sorry if my science hope does not make sense at all. Just thinking of something to help ease my mind in this situation. 
I have a mild case day 6. No cough or fever yet. It looks like my mom is experiencing some cough and tiredness. I experienced tiredness day 1 and so far just can’t taste my food and smell. I’m young so I’m sure it’s mild that way.
So I read anecdotes about how families have been recovering together, is it because they got sick from 1 person in the house that has a specific strain? Does that mean they might all have non severe cases? Or does it really all just come down to the person and the body? 
I think at this point I’m just trying to find at a ray of hope that since I’m mild my parents who caught it from me will be too. They’ve shown symptoms and today can be considered the first day. I feel fine and would go back to work if I didn’t know I tested positive. My PCP recommended it because lack of smell.</t>
        </is>
      </c>
      <c r="D457" t="n">
        <v>2</v>
      </c>
      <c r="E457" t="n">
        <v>5</v>
      </c>
      <c r="F457">
        <f>HYPERLINK("https://www.reddit.com/r/COVID19positive/comments/g3scsj/if_i_have_a_mild_case_will_my_parents_catch_the/")</f>
        <v/>
      </c>
      <c r="G457" t="inlineStr">
        <is>
          <t>2020-04-18 11:28:04</t>
        </is>
      </c>
      <c r="H457" t="inlineStr">
        <is>
          <t>Tested Positive - Family</t>
        </is>
      </c>
    </row>
    <row r="458">
      <c r="A458" t="inlineStr">
        <is>
          <t>g3sihi</t>
        </is>
      </c>
      <c r="B458" t="inlineStr">
        <is>
          <t>My family and I ( F 20) tested positive. Minorities in LA</t>
        </is>
      </c>
      <c r="C458" t="inlineStr">
        <is>
          <t>My father (49) remained an essential worker, got sick and infected us at home. We live in south la so we live in a relatively small home where we couldn’t go to another room, different restroom, or even socially distance ourselves. My dad had more of the traditional symptoms that were being reported. Despite being sick over a week, and my mom(39) and i beginning to feel symptoms, he was denied the ability to get tested and was told to go back to work by his doctor. He refused to go back to work and instead my parents got tested a couple days later since LA started providing free testing to la residents. My mother (worse) and I (minimal) have experienced gastritis symptoms, headaches, loss of smell and taste, dizziness (my mom fainted), and cough and yet both their doctors still told them both that they were not experiencing corona. Finally the tests It came back, and they were positive. My parents had to call their doctors and tell them they were wrong the entire time. Thankfully my parents were always strict and followed procedures about staying indoors, and use a lot of Hispanic at home remedies. They are coming out recovery but still hoping they feel 100% okay soon.
If you are showing symptoms and it’s been more than a couple days i highly suggest that trying to get tested regardless if your doctors say no. 
This is where we signed up for free testing in the LA area. You do have be a resident of LA to get tested. 
https://lacovidprod.service-now.com/rrs</t>
        </is>
      </c>
      <c r="D458" t="n">
        <v>165</v>
      </c>
      <c r="E458" t="n">
        <v>87</v>
      </c>
      <c r="F458">
        <f>HYPERLINK("https://www.reddit.com/r/COVID19positive/comments/g3sihi/my_family_and_i_f_20_tested_positive_minorities/")</f>
        <v/>
      </c>
      <c r="G458" t="inlineStr">
        <is>
          <t>2020-04-18 11:37:21</t>
        </is>
      </c>
      <c r="H458" t="inlineStr">
        <is>
          <t>Tested Positive</t>
        </is>
      </c>
    </row>
    <row r="459">
      <c r="A459" t="inlineStr">
        <is>
          <t>g3t2zj</t>
        </is>
      </c>
      <c r="B459" t="inlineStr">
        <is>
          <t>Positive without respiratory symptoms?</t>
        </is>
      </c>
      <c r="C459" t="inlineStr">
        <is>
          <t>I'm not positive, but one of my friends tested positive for covid antibodies. The only symptoms she had were severe headaches and a loss of tase and smell. Also, she slept like 20 hours a day for almost 10 days straight.
She didn't have any respiratory symptoms, at least that she told me about. How uncommon is it for the virus to present like this?</t>
        </is>
      </c>
      <c r="D459" t="n">
        <v>5</v>
      </c>
      <c r="E459" t="n">
        <v>20</v>
      </c>
      <c r="F459">
        <f>HYPERLINK("https://www.reddit.com/r/COVID19positive/comments/g3t2zj/positive_without_respiratory_symptoms/")</f>
        <v/>
      </c>
      <c r="G459" t="inlineStr">
        <is>
          <t>2020-04-18 12:10:07</t>
        </is>
      </c>
      <c r="H459" t="inlineStr">
        <is>
          <t>Tested Positive - Friends</t>
        </is>
      </c>
    </row>
    <row r="460">
      <c r="A460" t="inlineStr">
        <is>
          <t>g3trez</t>
        </is>
      </c>
      <c r="B460" t="inlineStr">
        <is>
          <t>Plasma for Dad</t>
        </is>
      </c>
      <c r="C460" t="inlineStr">
        <is>
          <t>If anyone has been following my story, a couple days ago I mentioned we were at a brick wall with my dad’s condition. Yesterday on my birthday we had received news that he was approved at Methodist Dallas to receive plasma from a recovered COVID19 patient! Honestly it was great to hear. I thought it was going to be a process. Which one of the doctors told me it would be a process to get one for my dad, I haven’t spoken with that doctor since then. Today the procedure will be done and we are very much hoping we get good results, maybe even life saving. I thank the person so much for this or if this person even knows their plasma is being used. Thank you to everyone who donated to those in need. Im praying this helps my dad. ❤️</t>
        </is>
      </c>
      <c r="D460" t="n">
        <v>60</v>
      </c>
      <c r="E460" t="n">
        <v>24</v>
      </c>
      <c r="F460">
        <f>HYPERLINK("https://www.reddit.com/r/COVID19positive/comments/g3trez/plasma_for_dad/")</f>
        <v/>
      </c>
      <c r="G460" t="inlineStr">
        <is>
          <t>2020-04-18 12:49:28</t>
        </is>
      </c>
      <c r="H460" t="inlineStr">
        <is>
          <t>Tested Positive - Family</t>
        </is>
      </c>
    </row>
    <row r="461">
      <c r="A461" t="inlineStr">
        <is>
          <t>g3v1pu</t>
        </is>
      </c>
      <c r="B461" t="inlineStr">
        <is>
          <t>40M fit: Immune system overreaction: food poisoning</t>
        </is>
      </c>
      <c r="C461" t="inlineStr">
        <is>
          <t>So, I'm on week seven. Was sick two weeks, now I'm just recovering and enjoying the after effects - shitty breathing, waking up like I'm at the bottom of a pool being pulled up by a rope around my neck, hypertension (high blood pressure) and fast heart rate; can't handle stress - reminds me of being young again.
Anyway, I ate a steak. Yeah, it was a bit ripe. Yeah, I usually eat it that way - I feel emasculated working in a fancy suit in an office an it's my private rebellion.
Cue 5 hours of my body cleaning everything ingested. It was 8 hours later so it was a deep dive for a 1.2 inch tbone. First time in my life shitting and puking in the bath simultaneously.
It was violent, completist, and theatrical. I shat my pyjamas, for fuck sake. I lay on a pile of laundry on the bathroom floor between expletions. 
tl;dr: Your immune system might overreact to bad food so be unusually careful.</t>
        </is>
      </c>
      <c r="D461" t="n">
        <v>3</v>
      </c>
      <c r="E461" t="n">
        <v>8</v>
      </c>
      <c r="F461">
        <f>HYPERLINK("https://www.reddit.com/r/COVID19positive/comments/g3v1pu/40m_fit_immune_system_overreaction_food_poisoning/")</f>
        <v/>
      </c>
      <c r="G461" t="inlineStr">
        <is>
          <t>2020-04-18 14:05:01</t>
        </is>
      </c>
      <c r="H461" t="inlineStr">
        <is>
          <t>Tested Positive - Me</t>
        </is>
      </c>
    </row>
    <row r="462">
      <c r="A462" t="inlineStr">
        <is>
          <t>g3zngd</t>
        </is>
      </c>
      <c r="B462" t="inlineStr">
        <is>
          <t>Anyone recovered taste and smell after more than 30 days?</t>
        </is>
      </c>
      <c r="C462" t="inlineStr">
        <is>
          <t>My wife and I are both tested-positive cases, but have had completely different symptoms. For me, it was mostly respiratory, a really bad cough, fever, and GI issues. Her big symptom has been loss of taste and smell. The issue for her, though, is that it's now been around 33 days, which is longer than anyone else we know who's dealt with the symptom. She is really scared and worried that she is never getting them back. 
I thought I'd come here and see if there's anyone out there who's dealt with this particular symptom for this period of time...and, especially, if anyone had it that long and then managed to get those senses back. We're just basically looking for some hope for her that this won't be a permanent condition.</t>
        </is>
      </c>
      <c r="D462" t="n">
        <v>6</v>
      </c>
      <c r="E462" t="n">
        <v>23</v>
      </c>
      <c r="F462">
        <f>HYPERLINK("https://www.reddit.com/r/COVID19positive/comments/g3zngd/anyone_recovered_taste_and_smell_after_more_than/")</f>
        <v/>
      </c>
      <c r="G462" t="inlineStr">
        <is>
          <t>2020-04-18 19:06:01</t>
        </is>
      </c>
      <c r="H462" t="inlineStr">
        <is>
          <t>Tested Positive - Family</t>
        </is>
      </c>
    </row>
    <row r="463">
      <c r="A463" t="inlineStr">
        <is>
          <t>g40dbx</t>
        </is>
      </c>
      <c r="B463" t="inlineStr">
        <is>
          <t>My great grandmother just died from COVID-19.</t>
        </is>
      </c>
      <c r="C463" t="inlineStr">
        <is>
          <t>The hospital called THREE hours after she died. I never knew her very well because she lived a few hours away, but my mom did. My mom won’t stop crying and I feel awful and I wish there was something I could do to make her feel better.</t>
        </is>
      </c>
      <c r="D463" t="n">
        <v>3</v>
      </c>
      <c r="E463" t="n">
        <v>29</v>
      </c>
      <c r="F463">
        <f>HYPERLINK("https://www.reddit.com/r/COVID19positive/comments/g40dbx/my_great_grandmother_just_died_from_covid19/")</f>
        <v/>
      </c>
      <c r="G463" t="inlineStr">
        <is>
          <t>2020-04-18 19:59:41</t>
        </is>
      </c>
      <c r="H463" t="inlineStr">
        <is>
          <t>Tested Positive - Family</t>
        </is>
      </c>
    </row>
    <row r="464">
      <c r="A464" t="inlineStr">
        <is>
          <t>g41ntn</t>
        </is>
      </c>
      <c r="B464" t="inlineStr">
        <is>
          <t>My employer is choosing to stay open regardless of my positive case.</t>
        </is>
      </c>
      <c r="C464" t="inlineStr">
        <is>
          <t>Apparently he’s told my other coworkers that the CDC will track down my contacts and let us know what to do from there in our office, and then test all my contacts.
Well, it has to be BS right? Or am I missing something? From what my doctor told me, it’s my responsibility to notify those I’ve been around with which I did. He didn’t say anything about testing everyone I’ve been in contact with. And I don’t blame them, considering those WITH known symptoms can’t even get a test. 
I told my coworker maybe she can get a test if she tells her care doctor she’s been directly exposed. Nope, denied. Says if she didn’t have symptoms then she’s okay now. I can’t imagine being on the CDC’s radar haha! I’m sure the local health department gets notified but nobody said anything about releasing my records? How do you know my contacts if nobody even asked me for them? 
My positive phone call basically just asked me for my symptoms, how I’m feeling, telling me it’s mild, and to wait to recover at home. Nothing about “hey give me your contacts so we can test them too!” I mean that’d be great right. But is this a thing in any states? or how did my employer even come to this conclusion??</t>
        </is>
      </c>
      <c r="D464" t="n">
        <v>1</v>
      </c>
      <c r="E464" t="n">
        <v>15</v>
      </c>
      <c r="F464">
        <f>HYPERLINK("https://www.reddit.com/r/COVID19positive/comments/g41ntn/my_employer_is_choosing_to_stay_open_regardless/")</f>
        <v/>
      </c>
      <c r="G464" t="inlineStr">
        <is>
          <t>2020-04-18 21:38:38</t>
        </is>
      </c>
      <c r="H464" t="inlineStr">
        <is>
          <t>Tested Positive - Me</t>
        </is>
      </c>
    </row>
    <row r="465">
      <c r="A465" t="inlineStr">
        <is>
          <t>g41xhr</t>
        </is>
      </c>
      <c r="B465" t="inlineStr">
        <is>
          <t>Has anyone had extremely minor symptoms?</t>
        </is>
      </c>
      <c r="C465" t="inlineStr">
        <is>
          <t>I live with my dad. I got sick around mar 23 and am still recovering with breathing issues.
My dad said he got a minor cough a few weeks ago and says he caught it and is now better. 
I have been going out of my way to avoid getting him sick and now he thinks he has had it and is immune. 
Are there any cases of extremely minor symptoms and full recoveries with immunity afterwards?</t>
        </is>
      </c>
      <c r="D465" t="n">
        <v>1</v>
      </c>
      <c r="E465" t="n">
        <v>11</v>
      </c>
      <c r="F465">
        <f>HYPERLINK("https://www.reddit.com/r/COVID19positive/comments/g41xhr/has_anyone_had_extremely_minor_symptoms/")</f>
        <v/>
      </c>
      <c r="G465" t="inlineStr">
        <is>
          <t>2020-04-18 22:00:39</t>
        </is>
      </c>
      <c r="H465" t="inlineStr">
        <is>
          <t>Tested Positive</t>
        </is>
      </c>
    </row>
    <row r="466">
      <c r="A466" t="inlineStr">
        <is>
          <t>g4299b</t>
        </is>
      </c>
      <c r="B466" t="inlineStr">
        <is>
          <t>Fighting COVID and pls help!❤️</t>
        </is>
      </c>
      <c r="C466" t="inlineStr">
        <is>
          <t>https://gogetfunding.com/fighting-covid-19-and-my-illness/</t>
        </is>
      </c>
      <c r="D466" t="n">
        <v>1</v>
      </c>
      <c r="E466" t="n">
        <v>3</v>
      </c>
      <c r="F466">
        <f>HYPERLINK("https://www.reddit.com/r/COVID19positive/comments/g4299b/fighting_covid_and_pls_help/")</f>
        <v/>
      </c>
      <c r="G466" t="inlineStr">
        <is>
          <t>2020-04-18 22:27:25</t>
        </is>
      </c>
      <c r="H466" t="inlineStr">
        <is>
          <t>Tested Positive - Me</t>
        </is>
      </c>
    </row>
    <row r="467">
      <c r="A467" t="inlineStr">
        <is>
          <t>g43p4c</t>
        </is>
      </c>
      <c r="B467" t="inlineStr">
        <is>
          <t>Coronavirus India Updates: Ahmedabad case count crosses 1,000; Gujarat tally tops 1,600</t>
        </is>
      </c>
      <c r="C467" t="inlineStr">
        <is>
          <t>Total number of COVID-19 positive cases rise to 15,712 in India including 12,974 active cases, 2,230 cured/discharged/migrated people and 507 deaths. 
Source: [indiatimes.com](https://indiatimes.com)</t>
        </is>
      </c>
      <c r="D467" t="n">
        <v>1</v>
      </c>
      <c r="E467" t="n">
        <v>2</v>
      </c>
      <c r="F467">
        <f>HYPERLINK("https://www.reddit.com/r/COVID19positive/comments/g43p4c/coronavirus_india_updates_ahmedabad_case_count/")</f>
        <v/>
      </c>
      <c r="G467" t="inlineStr">
        <is>
          <t>2020-04-19 00:39:05</t>
        </is>
      </c>
      <c r="H467" t="inlineStr">
        <is>
          <t>Tested Positive</t>
        </is>
      </c>
    </row>
    <row r="468">
      <c r="A468" t="inlineStr">
        <is>
          <t>g43yfk</t>
        </is>
      </c>
      <c r="B468" t="inlineStr">
        <is>
          <t>New symptom, tingling in hands?</t>
        </is>
      </c>
      <c r="C468" t="inlineStr">
        <is>
          <t>I don’t know if I should be very freaked out. I had lost of smell as my only symptom for about a week now, no cough yet. All of a sudden my fingers started tingling for almost an hour now. It feels like I slept on it, but it’s constant as if they’re going numb but they’re just tingly. 
Is this something to call the doc on ASAP if they can even do anything? I was concerned because my case had been so mild, random severe symptoms were gonna go my way. I haven’t heard of this one yet but I just got the news I was positive today. It’s something I can endure but not sure if I should be very concerned or how to treat it.</t>
        </is>
      </c>
      <c r="D468" t="n">
        <v>1</v>
      </c>
      <c r="E468" t="n">
        <v>17</v>
      </c>
      <c r="F468">
        <f>HYPERLINK("https://www.reddit.com/r/COVID19positive/comments/g43yfk/new_symptom_tingling_in_hands/")</f>
        <v/>
      </c>
      <c r="G468" t="inlineStr">
        <is>
          <t>2020-04-19 01:03:37</t>
        </is>
      </c>
      <c r="H468" t="inlineStr">
        <is>
          <t>Tested Positive - Me</t>
        </is>
      </c>
    </row>
    <row r="469">
      <c r="A469" t="inlineStr">
        <is>
          <t>g44x0s</t>
        </is>
      </c>
      <c r="B469" t="inlineStr">
        <is>
          <t>Family and I (M/26) Tested Positive - United Kingdom, London</t>
        </is>
      </c>
      <c r="C469" t="inlineStr">
        <is>
          <t>What a challenging time we are all going through. I for one, did not expect to get this and have taken every precaution to avoid it. However, something as small as your mother dropping food round to you, even after keeping distance when collecting the shopping bags, resulted in this occurring. So I can tell you from experience what its like for many of us, who have it, to go through hell and back during this viruses time within us, or our family members. 
My symptoms remained relatively mild, and lasted approximately 16 days, the worst of which being insane sinus pain for about a week and a temperature as high as 39.3. Plus all of the other tell tell signs such as loss of smell. I'm mixed race, a non smoker, keep myself in shape and have an intense work schedule. With that being said, it knocked me on my ass for multiple days through sheer exhaustion and pain that rode from the back of my skull to behind my eyes. Even with this, I still consider my symptoms mild. 
My mother and sister however were not so lucky. Even being a twin, our symptoms differed greatly, and from the other side of London all I could do with what little energy I had was to call, WhatsApp and pray that their shortness of breath, muscle aches, temperatures and coughs did not develop into something any more life threatening. By gods grace my 60 year old mother (Blood type O) and my twin sister (Blood type A-) came out of this unscathed, with potential ambulance calls being a regular thing, they survived what one could only describe as a horrific experience, that came in waves and for 2 weeks showed no signs of slowing down. 
As the numbers infected continue to rise and the death toll does too, many of our family members, our friends and our colleagues are at risk of getting this, or have already got this. I am &amp;amp; was no different. While there was nothing I could do to help my family during this time, I did make them T-shirts as a memory and almost as a badge of honour that they came out on the right side of this, I named it **Covid Clear** (picture link down below). 
I ended up buying some extra, 10 in S,M,L in black and grey and to do my part I will be offering them to anyone that would like one for £10 each, with 100% of the proceeds going to the NHS. If you would like one DM me. All donations will be posted here. 
We are all feeling the affects of this, and I’m just trying to my small part in a global pandemic. Id ask for no hate, this isn’t to sensationalise, &amp;amp; no I’m not selling Crisis Kits for $60 like Kim Kardashian. I think in all these situations, even the smallest donation can and will help, and surviving this can be a a life changing moment for some. Should no one want them, they will be donated to the NHS Nightingale at the ExCeL Centre. For all those that are currently fighting in dark place, and when they come out on top will have a little something to take away with them. 
For all those that have taken the time to read this, thank you, and should you have any questions regarding my symptoms, supplementation/medication during this time or T-shirt related, please feel free to ask. 
[**https://imgur.com/a/EJqfgsa**](https://imgur.com/a/EJqfgsa)</t>
        </is>
      </c>
      <c r="D469" t="n">
        <v>1</v>
      </c>
      <c r="E469" t="n">
        <v>8</v>
      </c>
      <c r="F469">
        <f>HYPERLINK("https://www.reddit.com/r/COVID19positive/comments/g44x0s/family_and_i_m26_tested_positive_united_kingdom/")</f>
        <v/>
      </c>
      <c r="G469" t="inlineStr">
        <is>
          <t>2020-04-19 02:32:38</t>
        </is>
      </c>
      <c r="H469" t="inlineStr">
        <is>
          <t>Tested Positive</t>
        </is>
      </c>
    </row>
    <row r="470">
      <c r="A470" t="inlineStr">
        <is>
          <t>g46gmr</t>
        </is>
      </c>
      <c r="B470" t="inlineStr">
        <is>
          <t>A bit of hope</t>
        </is>
      </c>
      <c r="C470" t="inlineStr">
        <is>
          <t>We all know this. But I thought I’d add to give some hope to those of you with grandparents with COVID. My co-workers granddad was in poor health recently. He got diabetes and straight after discharge had a terrible stroke. He couldn’t walk and talk for a while after and wasn’t supposed to live but he made it.
But during recovery he got diagnosed with COVID-19 while in the hospital. After 2 weeks of having it and a few days in critical care he miraculously made it out alive. Only last year did he suffer a heart attack too. Against all odds, this superman motherfucker survived.
We know that it can happen, but hearing it from someone’s personal account always helps understand it more. You can survive this with big health complications, don’t give up hope on your loved ones! Be strong</t>
        </is>
      </c>
      <c r="D470" t="n">
        <v>1</v>
      </c>
      <c r="E470" t="n">
        <v>4</v>
      </c>
      <c r="F470">
        <f>HYPERLINK("https://www.reddit.com/r/COVID19positive/comments/g46gmr/a_bit_of_hope/")</f>
        <v/>
      </c>
      <c r="G470" t="inlineStr">
        <is>
          <t>2020-04-19 04:53:47</t>
        </is>
      </c>
      <c r="H470" t="inlineStr">
        <is>
          <t>Tested Positive - Family</t>
        </is>
      </c>
    </row>
    <row r="471">
      <c r="A471" t="inlineStr">
        <is>
          <t>g47la6</t>
        </is>
      </c>
      <c r="B471" t="inlineStr">
        <is>
          <t>New development. Low blood pressure and oxygen.</t>
        </is>
      </c>
      <c r="C471" t="inlineStr">
        <is>
          <t>Last week or so have been having low blood pressure, esp at night.  Gets as low as 60 100, I don’t think lower but maybe 90s not sure.  Also had my blood oxygen dip below 95 to 92 last night.  I’d be laying there and just watching it dip down then go back up to 97 maybe 98.  Then back down and so on.
Anybody else develop these issues?  Day 31 so surprised to see I might be developing more severe issues.  How worried should I be, if you’ve had this stuff, it’s new to me.  I called the er and there line is always the same, not that helpful.</t>
        </is>
      </c>
      <c r="D471" t="n">
        <v>1</v>
      </c>
      <c r="E471" t="n">
        <v>22</v>
      </c>
      <c r="F471">
        <f>HYPERLINK("https://www.reddit.com/r/COVID19positive/comments/g47la6/new_development_low_blood_pressure_and_oxygen/")</f>
        <v/>
      </c>
      <c r="G471" t="inlineStr">
        <is>
          <t>2020-04-19 06:23:18</t>
        </is>
      </c>
      <c r="H471" t="inlineStr">
        <is>
          <t>Tested Positive</t>
        </is>
      </c>
    </row>
    <row r="472">
      <c r="A472" t="inlineStr">
        <is>
          <t>g49r98</t>
        </is>
      </c>
      <c r="B472" t="inlineStr">
        <is>
          <t>Lived with a roommate that tested positive.</t>
        </is>
      </c>
      <c r="C472" t="inlineStr">
        <is>
          <t>A bit of background information. My roommate had symptoms of what we thought was a cold. He was very anxious so we thought it would make it worse. We followed guidelines to stay at home if we felt sick. His symptoms worsened so he went to the doc, and isolated himself elsewhere. He was in our apartment for a week or so with symptoms prior to his testing. He texted me and told me positive. I got sick just a few days after he got sick. Could this have been covid-19? I feel great now, but I stayed home just for precaution. Could it have been a cold?
For more context we only have one bathroom, and we share it. We share the kitchen, living room, fridge, etc. He did wear a mask though after he started coughing indoors. We tried wiping down everything but human error exists. I am 19 if that’s relevant.</t>
        </is>
      </c>
      <c r="D472" t="n">
        <v>1</v>
      </c>
      <c r="E472" t="n">
        <v>7</v>
      </c>
      <c r="F472">
        <f>HYPERLINK("https://www.reddit.com/r/COVID19positive/comments/g49r98/lived_with_a_roommate_that_tested_positive/")</f>
        <v/>
      </c>
      <c r="G472" t="inlineStr">
        <is>
          <t>2020-04-19 08:43:46</t>
        </is>
      </c>
      <c r="H472" t="inlineStr">
        <is>
          <t>Tested Positive - Friends</t>
        </is>
      </c>
    </row>
    <row r="473">
      <c r="A473" t="inlineStr">
        <is>
          <t>g4a0ob</t>
        </is>
      </c>
      <c r="B473" t="inlineStr">
        <is>
          <t>I think it’s come back</t>
        </is>
      </c>
      <c r="C473" t="inlineStr">
        <is>
          <t>Hi all,
I started having symptoms of coronavirus on March 31st. I was sick for about two weeks, with mostly unconventional symptoms (very little cough, chills rather than fever, muscle aches, nausea and diarrhea). After that, all my symptoms went away, but both of my parents had begun having the more conventional symptoms of coronavirus so they were tested and it was determined they both got it from me. Fast forward to today, as I was falling asleep I felt weird, and suddenly had a burst of really high fever, then chills. I woke up feeling exactly the same as I did when I had coronavirus, and I’m pretty sure it’s come back. I wonder if it just lay dormant in me, or if I somehow managed to reinfect myself.</t>
        </is>
      </c>
      <c r="D473" t="n">
        <v>1</v>
      </c>
      <c r="E473" t="n">
        <v>19</v>
      </c>
      <c r="F473">
        <f>HYPERLINK("https://www.reddit.com/r/COVID19positive/comments/g4a0ob/i_think_its_come_back/")</f>
        <v/>
      </c>
      <c r="G473" t="inlineStr">
        <is>
          <t>2020-04-19 08:59:10</t>
        </is>
      </c>
      <c r="H473" t="inlineStr">
        <is>
          <t>Tested Positive - Me</t>
        </is>
      </c>
    </row>
    <row r="474">
      <c r="A474" t="inlineStr">
        <is>
          <t>g4a5va</t>
        </is>
      </c>
      <c r="B474" t="inlineStr">
        <is>
          <t>Family member living with me tested positive.</t>
        </is>
      </c>
      <c r="C474" t="inlineStr">
        <is>
          <t>A bit of background. We live in an apartment, and share the bathroom, kitchen, fridge, etc. One of my family members tested positive after a week or so of developing symptoms. Their[sick family member] children always ran into our rooms to play or watch tv in my room. They isolated themselves after finding out the positive test results somewhere else. After they got sick, we got sick shortly after. 
My parents got the severe symptoms with a nasty cough and fevers, body aches, and chest pain. One of them also had shortness of breath. They’re okay now though. I develop similar symptoms. We all lost our sense of smell. 
It’s been a week since our symptoms have gone away, could it have been covid -19? How did my family members children not get sick or show no symptoms?</t>
        </is>
      </c>
      <c r="D474" t="n">
        <v>1</v>
      </c>
      <c r="E474" t="n">
        <v>3</v>
      </c>
      <c r="F474">
        <f>HYPERLINK("https://www.reddit.com/r/COVID19positive/comments/g4a5va/family_member_living_with_me_tested_positive/")</f>
        <v/>
      </c>
      <c r="G474" t="inlineStr">
        <is>
          <t>2020-04-19 09:07:16</t>
        </is>
      </c>
      <c r="H474" t="inlineStr">
        <is>
          <t>Tested Positive - Family</t>
        </is>
      </c>
    </row>
    <row r="475">
      <c r="A475" t="inlineStr">
        <is>
          <t>g4asz0</t>
        </is>
      </c>
      <c r="B475" t="inlineStr">
        <is>
          <t>What kind of medicine did they gave me at the hospital?</t>
        </is>
      </c>
      <c r="C475" t="inlineStr">
        <is>
          <t>So, I'm 29 M Italian and was hospitalized 19/03 after 8 days of high fever and fortunately no severe respiratory symptoms.
However my fever was really high 40.5 °c at the hospital and one day the doctor said that he would try to cure me with medicines used in other countries against other viruses.
After 2 days of IV medicines without any lebel on it (the doctor simply wrote my name on it with a pen)
I got better and now I'm recovering at home.
What do you think it was?</t>
        </is>
      </c>
      <c r="D475" t="n">
        <v>1</v>
      </c>
      <c r="E475" t="n">
        <v>8</v>
      </c>
      <c r="F475">
        <f>HYPERLINK("https://www.reddit.com/r/COVID19positive/comments/g4asz0/what_kind_of_medicine_did_they_gave_me_at_the/")</f>
        <v/>
      </c>
      <c r="G475" t="inlineStr">
        <is>
          <t>2020-04-19 09:44:29</t>
        </is>
      </c>
      <c r="H475" t="inlineStr">
        <is>
          <t>Tested Positive - Me</t>
        </is>
      </c>
    </row>
    <row r="476">
      <c r="A476" t="inlineStr">
        <is>
          <t>g4ay29</t>
        </is>
      </c>
      <c r="B476" t="inlineStr">
        <is>
          <t>How long did it take you to recover?</t>
        </is>
      </c>
      <c r="C476" t="inlineStr">
        <is>
          <t>I’m on day 19 since my first fever. The first 7 days I had fluctuating temps from 99-100. GI issues, felt crummy but not too bad. Day 10-13 I was short of breath and coughing. I’m currently minimally short of breath, coughing occasionally, mild chest aches. I’ve been fever free for about a week. However I’m still exhausted. 
How long did it take you guys to feel back to normal? I know everyone’s illness is different but looking to see what other people’s experiences have been like. I’m a nurse, my job is pressuring me to come back since I’m no longer having fevers, however I feel that if my chest aches and I’m coughing I’m still a risk to transmit to my patients.</t>
        </is>
      </c>
      <c r="D476" t="n">
        <v>1</v>
      </c>
      <c r="E476" t="n">
        <v>19</v>
      </c>
      <c r="F476">
        <f>HYPERLINK("https://www.reddit.com/r/COVID19positive/comments/g4ay29/how_long_did_it_take_you_to_recover/")</f>
        <v/>
      </c>
      <c r="G476" t="inlineStr">
        <is>
          <t>2020-04-19 09:52:15</t>
        </is>
      </c>
      <c r="H476" t="inlineStr">
        <is>
          <t>Tested Positive - Me</t>
        </is>
      </c>
    </row>
    <row r="477">
      <c r="A477" t="inlineStr">
        <is>
          <t>g4bh39</t>
        </is>
      </c>
      <c r="B477" t="inlineStr">
        <is>
          <t>Got my results- I am positive</t>
        </is>
      </c>
      <c r="C477" t="inlineStr">
        <is>
          <t>42/F/125lbs/Smoker
So far it’s like an annoying grouping of random symptoms that come and go. Some moments I feel okay, others blah, sometimes pretty icky. Lots of fatigue in general. 
The ear pain has been the worst for me. 
I’m on day 11-ish. Not sure when the ‘you’re likely not to get worse’ point is, but just keeping fingers crossed I stay on mild end.</t>
        </is>
      </c>
      <c r="D477" t="n">
        <v>1</v>
      </c>
      <c r="E477" t="n">
        <v>83</v>
      </c>
      <c r="F477">
        <f>HYPERLINK("https://www.reddit.com/r/COVID19positive/comments/g4bh39/got_my_results_i_am_positive/")</f>
        <v/>
      </c>
      <c r="G477" t="inlineStr">
        <is>
          <t>2020-04-19 10:21:34</t>
        </is>
      </c>
      <c r="H477" t="inlineStr">
        <is>
          <t>Tested Positive - Me</t>
        </is>
      </c>
    </row>
    <row r="478">
      <c r="A478" t="inlineStr">
        <is>
          <t>g4dyfu</t>
        </is>
      </c>
      <c r="B478" t="inlineStr">
        <is>
          <t>Persistent ear/hearing issues?</t>
        </is>
      </c>
      <c r="C478" t="inlineStr">
        <is>
          <t>I tested positive 3/23 and had about 4-5 days of sweats/chills, coughing, headache and nausea. My loss of taste only lasted 2-3 days. 
Afterwards, I noticed this pressure in my ears and was sensitive to sounds I'd never been before--- I hear this loud rumbling in my ears during noises like crinkling plastic food packaging, certain tones of voice talking, or even chopsticks set down on a hard surface. It seems worse some days than others, but never seems to go away completely. For the most part my nose isn't runny, it feels like it's pretty dry up there, and I can breathe through it my nose.
I've had minor recurrences of headache and nausea since. I retested positive on April 8 and need to wait for another 7 days completely asymptomatic to get another retest and be cleared to go back to work. 
Question is: has anyone else suffered these weird and persistent ear pressure and hearing issues? Have decongestants worked for you? 
I'd been discounting this as a specifically covid-related symptom and expected it to go away, but it hasn't in nearly a month. I'm going to be calling my doctor's office to ask if I should be considering this as one of the symptoms that needs to resolve before I go in for a retest.
Thanks for you time, and I hope you all stay safe.</t>
        </is>
      </c>
      <c r="D478" t="n">
        <v>1</v>
      </c>
      <c r="E478" t="n">
        <v>20</v>
      </c>
      <c r="F478">
        <f>HYPERLINK("https://www.reddit.com/r/COVID19positive/comments/g4dyfu/persistent_earhearing_issues/")</f>
        <v/>
      </c>
      <c r="G478" t="inlineStr">
        <is>
          <t>2020-04-19 12:40:47</t>
        </is>
      </c>
      <c r="H478" t="inlineStr">
        <is>
          <t>Tested Positive - Me</t>
        </is>
      </c>
    </row>
    <row r="479">
      <c r="A479" t="inlineStr">
        <is>
          <t>g4e5fc</t>
        </is>
      </c>
      <c r="B479" t="inlineStr">
        <is>
          <t>Opinions on this ?</t>
        </is>
      </c>
      <c r="C479" t="inlineStr">
        <is>
          <t>So back on the 28th of feb my housemate returned from London with sob, dry cough and fever. A few days later my symptoms began with a post nasal drip, then going into extremely blocked nose, sneezing, headache, sore throat, loss of appetite and taste, mild Diarrea, nausea, runny nose and fatigue. I then had these symptoms for 4/5 days but assumed it was a head cold, but there was one night I had sweats and woke up with chills and feeling very hot, the next day I was fine. During the time I was ill I came back to my mums to recover and fast forward about a week later my mum has symptoms and tests positive for coronavirus, now I am a key worker in a supermarket and I’m sick of feeling anxious everyday about if I’m going to catch it. My mum is certain that Myself and my house mate had it and I gave it to her. What do you all think?</t>
        </is>
      </c>
      <c r="D479" t="n">
        <v>1</v>
      </c>
      <c r="E479" t="n">
        <v>9</v>
      </c>
      <c r="F479">
        <f>HYPERLINK("https://www.reddit.com/r/COVID19positive/comments/g4e5fc/opinions_on_this/")</f>
        <v/>
      </c>
      <c r="G479" t="inlineStr">
        <is>
          <t>2020-04-19 12:51:26</t>
        </is>
      </c>
      <c r="H479" t="inlineStr">
        <is>
          <t>Tested Positive - Family</t>
        </is>
      </c>
    </row>
    <row r="480">
      <c r="A480" t="inlineStr">
        <is>
          <t>g4e7jv</t>
        </is>
      </c>
      <c r="B480" t="inlineStr">
        <is>
          <t>At what point or did you realize your case might not be as mild as you think? Asking for my mom who is positive</t>
        </is>
      </c>
      <c r="C480" t="inlineStr">
        <is>
          <t>I tested positive then my mom started getting sick. For me, I’ve been lucky enough to not cough and only loss my taste and smell still 8 days in. I tested positive yesterday and she started showing symptoms yesterday. She’s about 56 and is diabetic. She is usually the one that gets randomly sick in our family sadly.
Right now it seems as if she just has a cold. I’ve heard her mildly dry cough but her voice sounds like there’s mucus in there or just sounds a little sick. She can still function but it’s only the beginning.
I’m worried and sad that she might not be as mild as me. Since this virus happens so fast I don’t know what to expect. I’m heartbroken that the next 2 weeks can go so severe and I shouldn’t expect the best because it might not be the case since she has underlying conditions. I’m so scared it’s gonna take a turn for the worse. I’m trying not to be pessimistic and hope for the best but I can’t stop imagining something drastic. Every time I hear her cough I literally break down.</t>
        </is>
      </c>
      <c r="D480" t="n">
        <v>1</v>
      </c>
      <c r="E480" t="n">
        <v>13</v>
      </c>
      <c r="F480">
        <f>HYPERLINK("https://www.reddit.com/r/COVID19positive/comments/g4e7jv/at_what_point_or_did_you_realize_your_case_might/")</f>
        <v/>
      </c>
      <c r="G480" t="inlineStr">
        <is>
          <t>2020-04-19 12:54:41</t>
        </is>
      </c>
      <c r="H480" t="inlineStr">
        <is>
          <t>Tested Positive - Family</t>
        </is>
      </c>
    </row>
    <row r="481">
      <c r="A481" t="inlineStr">
        <is>
          <t>g4f3dk</t>
        </is>
      </c>
      <c r="B481" t="inlineStr">
        <is>
          <t>Day 24 - I officially have pneumonia</t>
        </is>
      </c>
      <c r="C481" t="inlineStr">
        <is>
          <t>I wanted to post my story in case it helps others. Note: I tested negative for Covid but various doctors have thought I matched the symptoms. 
Day 1, Friday 3/27: Had a migraine, which is unusual for me. Took the afternoon off work. 
Day 2, Saturday: Felt normal 
Day 3, Sunday: Felt tired. Lay down in bed in the afternoon. 
Day 4, Monday: Woke up sick, covered in sweat. Headache, throatache, fever and chills, pain behind eyes. Shivered when I didn’t have a blanket over me. I did not have a thermometer so I couldn’t take my temperature. 
Days 5-8, Tuesday-Friday: More of the same. Did not work entire week and just rested. Managed to get a thermometer day 8 and found my temperature was between 98.8-99.6. I felt my fever was dropping through the week. Didn’t get intense chills again like the first day. When I felt hotter my head hurt more and was hard to focus. Had a lot of pain behind my eyes. 
Day 9-10, weekend: Felt better. 
Day 11, Mon: Felt worse. Had online appointment with primary care dr. She said my symptoms were consistent with mild COVID she’d seen in young patients (I’m in my 30s) but there was no point being tested as I was already getting better and I’d likely get a false negative. She didn’t seem worried. 
Day 12-13, Tues-Wed: Feeling better. Lots of energy day 14. Announced I was well again at work. Everyone relieved. Started contemplating some interior decoration projects I’d placed on pause. 
Day 14. Thurs: Woke up feeling like I’d been beaten up in the night. Back pain. Felt like someone had been punching me in the back all night, leaving me winded. Temp was 98.9. As soon as I moved around I’d get out of breath and my heart would start beating really fast. Couldn’t let my cat sit on my chest because it hurt. Felt exhausted and weak. When I talked, realized I had to take a few extra breaths. When I was sitting down, not moving, not talking, felt mostly okay. Called dr and went in for a COVID Test. Was with a different dr to my usual one but same health center. Dr listened to my lungs and said they sounded very clear. Blood oxygen level looked fine, 97 or 98. She said my pulse rate was high (100) when it’s normally low 60s but I could be anxious. Realized I was being treated like I had anxiety rather than something physical...”this is a hard time for a lot of people” etc. Dr said she had no concerns about me. 
Day 15-17, Friday- Sunday: Same symptoms as day 15 but no fever (97.7-98.0 is normal for me.) Getting winded whenever I tried to do anything. Covid test came back negative. My feet were cold all the time and started wearing woolly socks in the house. Dizzy when standing in the shower. Figured out some techniques to make life at home bearable. My dishwasher is broken so I have to wash dishes by hand. Learned to sit down and take break every 5 dishes. Sit down after crossing the room for a couple minutes. Rest on landing for minutes between floors. Rest before loading laundry and after. These techniques stopped my breathing getting too labored and my pulse rate shooting to 130+ whenever I did anything. Called dr on Sunday and got prescribed inhaler (albuterol.) 
Day 18: Monday: Online appointment with primary care dr. She said my symptoms were “not medically worrisome.” I described everything above - the wilderness, the extra breaths when I talk, the exhaustion. She said the fact I can speak sentences without gasping, and wasn’t coughing, meant that it wasn’t medically a problem. She said I had probably lost some fitness from being in quarantine (what, overnight?!) and that I could start building up an exercise routine again. She wasn’t worried that going up the stairs sent my heart rate from 60 to 130, and said heart can comfortably do 160 when you’re exercising. Not worried about dizziness in shower. Asked me about anxiety a bunch. Said if I need to double over to breathe or couldn’t say more than a few words without gasping, to go to ER. 
Day 19, Tuesday: So hard to fall asleep because of back pain and nausea. Kept reminding myself my symptoms were not medically significant. 
Day 20-22,  Wed-Friday: started feeling better. Back/chest pain diminished. Able to move around house easier without my continual-sitting techniques. Still have pink eyes and some eye soreness but no fever, headaches very mild. Gaining energy. Seeing light at end of tunnel. 
Day 23: Saturday: work up feeling absolutely terrible. Like I’d been beaten up during the night again, everything hurt. All my joints, all my muscles. My back felt like it had been pounded. Super winded again doing anything. Avoiding stairs. Exhaustion was at a new level - getting up to open window felt really hard. Took a bath and had to muster so much energy to get out. Mild headache. Nausea when back pain was at its worst. Called a new dr for a 2nd opinion. She told me to get an X-ray and that she’d seen a covid patient who’d tested positive then recover, test negative, and have lingering chest pain and tiredness which turned out to be pneumonia. She wasn’t ok with previous doctors assessment that in recent years viruses can take up to 8 weeks to recover from. She said that as a healthy woman in my 30s it shouldn’t take that long and not to just stay home resting - I need an in-person physical exam by a dr and a chest X-ray. 
Day 24: Felt terrible. Dragged myself to urgent care. Got X-ray that showed I have pneumonia in right lung. They say it’s “early infiltrate” but am too tired to google it and research like I normally do. Got antibiotics. They did one more covid test that turned out negative. Am relieved to have a solid diagnosis. Feel like we have a starting point for recovery now that we know what’s wrong. Very glad I called that doctor for 2nd opinion and went to urgent care. 
Need to rest now but thank you to everyone who has contributed your stories. I don’t know what’s next for me but right now I’m glad I know a bit more about what’s wrong. This sub really helped me feel less crazy and more supported. &amp;lt;3</t>
        </is>
      </c>
      <c r="D481" t="n">
        <v>1</v>
      </c>
      <c r="E481" t="n">
        <v>26</v>
      </c>
      <c r="F481">
        <f>HYPERLINK("https://www.reddit.com/r/COVID19positive/comments/g4f3dk/day_24_i_officially_have_pneumonia/")</f>
        <v/>
      </c>
      <c r="G481" t="inlineStr">
        <is>
          <t>2020-04-19 13:45:32</t>
        </is>
      </c>
      <c r="H481" t="inlineStr">
        <is>
          <t>Tested Positive - Me</t>
        </is>
      </c>
    </row>
    <row r="482">
      <c r="A482" t="inlineStr">
        <is>
          <t>g4f8f6</t>
        </is>
      </c>
      <c r="B482" t="inlineStr">
        <is>
          <t>Grandfather Passed Suddenly, Grandmother Tested Positive, parent exposed, looking for a strategy</t>
        </is>
      </c>
      <c r="C482" t="inlineStr">
        <is>
          <t>Hello all,  A little backstory:  
My grandfather and grandmother both live in an assisted living facility in New England.  On April 12, we were informed that my grandfather had not eaten anything in about a day.  He had advanced dementia and usually had a year round cough.  He was alert as late as April 13th, but on April 15th, he declined quickly, stopped speaking and passed away that night.  In my state, exceptions to the no visitation orders are made for end of life, so my father and my two aunts went to visit him.  They all wore surgical masks.  Luckily, my governor was prioritizing testing for all assisted living and nursing home residents to move them into covid 19 only facilities to slow the spread through assisted living and nursing homes.  Unfortunately today, we found out today that she was positive.  So far, she's likely on day 8 of exposure and is so far asymptomatic.  We hope she stays that way, she will likely be moved to another facility with covid patients this week.  
While we can't know for sure if my grandfather passed due to covid (they are not testing him postmortem), my family and the assisted living facility said that it's a safe assumption that covid was the straw that broke the camel's back for him, as he already had severe dementia and bladder cancer, given his sharp over such a few short days, and his loss of appetite.  My father and my aunts are self quarantining, we are likely cancelling my grandfather's pandemic funereal, or restricting it only to those exposed (up to the funeral director apparently, even though I think having it is a grave mistake) and I've already stocked up on Vitamin D, Zinc, acet, mucinex in case my wife or I were to get it, so I have my dad covered.  
My questions are, what strategy should we take with my father taking supplements before he shows symptoms?  My father is 61 years old, BMI 29, type 2 diabetic, well controlled with meds and he does not take insulin.  Non-hodgkins lymphoma cancer survivor, but last chemo treatment was 2005.  He contacted his PCP who is off today but will get back to him tomorrow, asking to see if he could qualify to go to a drive through testing facility given his pre existing conditions.  Disclaimer: not taking/seeking any advice as medical advice, just trying to see what has worked for other folks who have tested positive, and if folks who took Vit D/Zinc before symptoms had mild cases.  He does take a multivitamin which contains both I believe.  If the PCP refuses to order the test, does anyone have another avenue that they would suggest that worked for them?  My father has been in good health otherwise, exercised regularly until they closed his gym, ate a good diet, his BMI went up due to less exercise/same diet over the last month.  His A1C was 6.7 during his last fasting bloodwork.  I'm hoping we qualify for a test but if we don't, I'm wondering if anyone has had any success pursuing a different avenue for testing.  Thank you all, I appreciate any advice and support you may have in advance.</t>
        </is>
      </c>
      <c r="D482" t="n">
        <v>1</v>
      </c>
      <c r="E482" t="n">
        <v>5</v>
      </c>
      <c r="F482">
        <f>HYPERLINK("https://www.reddit.com/r/COVID19positive/comments/g4f8f6/grandfather_passed_suddenly_grandmother_tested/")</f>
        <v/>
      </c>
      <c r="G482" t="inlineStr">
        <is>
          <t>2020-04-19 13:53:26</t>
        </is>
      </c>
      <c r="H482" t="inlineStr">
        <is>
          <t>Tested Positive - Family</t>
        </is>
      </c>
    </row>
    <row r="483">
      <c r="A483" t="inlineStr">
        <is>
          <t>g4g57k</t>
        </is>
      </c>
      <c r="B483" t="inlineStr">
        <is>
          <t>Fever drops in the night to return in the morning (anyone else?)</t>
        </is>
      </c>
      <c r="C483" t="inlineStr">
        <is>
          <t>Today is day 28, and I'm back in a New Wave since 5 days back. Fever between 37.8-38.7 in the days, then it goes down to be back up in the morning, it annoys me. Other symptoms is headache, loss of appetite, heavy breathing. 
Oxygen sat 97-100
Pulse 95 resting 130 sitting up/walking around.</t>
        </is>
      </c>
      <c r="D483" t="n">
        <v>1</v>
      </c>
      <c r="E483" t="n">
        <v>5</v>
      </c>
      <c r="F483">
        <f>HYPERLINK("https://www.reddit.com/r/COVID19positive/comments/g4g57k/fever_drops_in_the_night_to_return_in_the_morning/")</f>
        <v/>
      </c>
      <c r="G483" t="inlineStr">
        <is>
          <t>2020-04-19 14:47:40</t>
        </is>
      </c>
      <c r="H483" t="inlineStr">
        <is>
          <t>Tested Positive - Me</t>
        </is>
      </c>
    </row>
    <row r="484">
      <c r="A484" t="inlineStr">
        <is>
          <t>g4ih5d</t>
        </is>
      </c>
      <c r="B484" t="inlineStr">
        <is>
          <t>Bye Felicia, Coronavirus!</t>
        </is>
      </c>
      <c r="C484" t="inlineStr">
        <is>
          <t>Day 18. We say Bye, Felicia to the 🦠. The road to recovery has begun. I hope the anxiety-inducing, fretting at midnight if I should take him to the ER, overconsulting the doctors and those agonizing hours are finally over. We have a strong 💪🏼 survivor here.
TL;DR: A little bit of reflection. Always have a plan in place. Keep more than 2 thermometers and pulse oximeters. When in doubt, get a second opinion or a better doctor. Health is wealth. Keep hydrated. Ascorbic acid, Vit D and Zinc up! Breathing exercises are important. The virus is aggressive, unpredictable and lingers much longer, don't let it win. We still have a long fight up ahead. Something more dangerous than the virus- ignorance and apathy. As long as we will have science and our loved ones on our side (6 ft apart or virtually), everything is gonna be alright. 💕
Labs: RT-PCR = false negative, elevated LDH, Ferritin, ^Liver enzymes, lymphocytopenia, monocytosis, clear chest x-ray. 70-90 bpm, 90-97% O2 sat.
Symptoms: 100-104 deg fever, headaches, (day 7 up), pressure in chest, chills, night sweats, difficulty breathing, lethargia, body malaise, earaches, dry cough, sore throat, diarrhea, loss of sense of taste and smell.
Medication and diet: Tylenol, G2, emergen-c, citrus fruits, vitamin water, my love, devotion and my quick critical thinking skills, Z-pak, ginger tea, breathing exercises
Additional thanks to Dr. Fauci, Doordash, Uber Eats, Hen  House, Pricechopper, KU, Lysol, Clorox bleach, Gov Kelly, Reddit and Tik Tok for keeping me sane.</t>
        </is>
      </c>
      <c r="D484" t="n">
        <v>1</v>
      </c>
      <c r="E484" t="n">
        <v>16</v>
      </c>
      <c r="F484">
        <f>HYPERLINK("https://www.reddit.com/r/COVID19positive/comments/g4ih5d/bye_felicia_coronavirus/")</f>
        <v/>
      </c>
      <c r="G484" t="inlineStr">
        <is>
          <t>2020-04-19 17:09:48</t>
        </is>
      </c>
      <c r="H484" t="inlineStr">
        <is>
          <t>Tested Positive</t>
        </is>
      </c>
    </row>
    <row r="485">
      <c r="A485" t="inlineStr">
        <is>
          <t>g4iuvu</t>
        </is>
      </c>
      <c r="B485" t="inlineStr">
        <is>
          <t>My 59 year old father in law is in the hospital with pneumonia. I'm so worried he won't get to meet his granddaughter.</t>
        </is>
      </c>
      <c r="C485" t="inlineStr">
        <is>
          <t>He went to the hospital overnight after being sick for over a week. He's diabetic and a smoker. My husband and I are worried beyond sick. I'm due with our first child in October. It will be my FIL's first grandchild. Please Lord don't take him from us. We want our baby girl to know her granddad.
I've been crying all day and am crying now typing this up. Please give me hope he'll be OK.</t>
        </is>
      </c>
      <c r="D485" t="n">
        <v>1</v>
      </c>
      <c r="E485" t="n">
        <v>7</v>
      </c>
      <c r="F485">
        <f>HYPERLINK("https://www.reddit.com/r/COVID19positive/comments/g4iuvu/my_59_year_old_father_in_law_is_in_the_hospital/")</f>
        <v/>
      </c>
      <c r="G485" t="inlineStr">
        <is>
          <t>2020-04-19 17:34:00</t>
        </is>
      </c>
      <c r="H485" t="inlineStr">
        <is>
          <t>Tested Positive - Family</t>
        </is>
      </c>
    </row>
    <row r="486">
      <c r="A486" t="inlineStr">
        <is>
          <t>g4jp9u</t>
        </is>
      </c>
      <c r="B486" t="inlineStr">
        <is>
          <t>Days 37 - 42: False recovery, still sick, please learn from my mistakes</t>
        </is>
      </c>
      <c r="C486" t="inlineStr">
        <is>
          <t>Last week was my first week back to work.  A few hours before I had to get ready I developed a terrible headache.
Took 130p mg of Tylenol,  didn't touch the headache. Took a nap for a few hours, felt worse when I awoke but it was too late to call out sick without risk of getting written up.
Went to work.  Even walking slowly and taking it slow, using my inhalers, struggled to breathe. 
Left work sfter 1.5 hours.
Was so exhausted and still couldn't breathe so called out the next day.
The following 3 days I made it further into my shift, and on day 3 I managed to work a full 8 hours with lots if breathing exercises and going really slow.
I have ran out of sick time, as well as 80 hours of the emergency sick time granted by my employer. 
I had a tele visit with a covid19 specialist/doctor at the best hospital in the state, who said that there was absolutely nothing to be done for me, there is no further treatment for me, there is nothing for me to do except rest. 
I talked to the covid19 specialty triage line nurses who had no advice for me.  I talked to the health department who also said there is no treatment for me.
So this is just it I guess.  Struggling to breath and having to take things reallllllly slow.
Learn from my mistakes - if you think you're recovered, still don't do anything or work because it might be a false recovery. 
Sorry if this has brought anyone bad news.  I just want everyone to know the truth.</t>
        </is>
      </c>
      <c r="D486" t="n">
        <v>1</v>
      </c>
      <c r="E486" t="n">
        <v>78</v>
      </c>
      <c r="F486">
        <f>HYPERLINK("https://www.reddit.com/r/COVID19positive/comments/g4jp9u/days_37_42_false_recovery_still_sick_please_learn/")</f>
        <v/>
      </c>
      <c r="G486" t="inlineStr">
        <is>
          <t>2020-04-19 18:29:53</t>
        </is>
      </c>
      <c r="H486" t="inlineStr">
        <is>
          <t>Tested Positive - Me</t>
        </is>
      </c>
    </row>
    <row r="487">
      <c r="A487" t="inlineStr">
        <is>
          <t>g4jrlo</t>
        </is>
      </c>
      <c r="B487" t="inlineStr">
        <is>
          <t>Is this normal?</t>
        </is>
      </c>
      <c r="C487" t="inlineStr">
        <is>
          <t>Hi guys. I just wanted to know if anyone’s gone through anything similar? I’m not sure if I am fully recovered from the virus as my symptoms were all over the place (loss of taste and smell for over a week then one night of fever and pain) since then I have had a dry cough for 3 weeks. This is on and off but sometimes I have woken up choking. I now have an uncomfortable feeling in my lungs (which mainly flairs up at night) too. I don’t know if this is something I should be worried about or not as it’s been going on  for so long? I did go to the doctor and they gave me antibiotics and steroids :/. (Also I’m 23 had childhood asthma and allergies if that makes a difference)</t>
        </is>
      </c>
      <c r="D487" t="n">
        <v>1</v>
      </c>
      <c r="E487" t="n">
        <v>5</v>
      </c>
      <c r="F487">
        <f>HYPERLINK("https://www.reddit.com/r/COVID19positive/comments/g4jrlo/is_this_normal/")</f>
        <v/>
      </c>
      <c r="G487" t="inlineStr">
        <is>
          <t>2020-04-19 18:34:15</t>
        </is>
      </c>
      <c r="H487" t="inlineStr">
        <is>
          <t>Tested Positive - Me</t>
        </is>
      </c>
    </row>
    <row r="488">
      <c r="A488" t="inlineStr">
        <is>
          <t>g4k9hk</t>
        </is>
      </c>
      <c r="B488" t="inlineStr">
        <is>
          <t>5 more days to go</t>
        </is>
      </c>
      <c r="C488" t="inlineStr">
        <is>
          <t>26M, Just about finishing up my 14 day quarantine after testing positive. Originally went to get tested after not being able to test/smell anything. Symptoms started with tickle in throat and very mild &amp;lt;100 degree fever for two days. Then came the not being able to taste/smell and at that point knew I had it. This lasted for about 2 days and after that everything was fine.
Got the virus from my wife who was still working in NYC as an essential worker. I had been working at home for almost 2 weeks prior to any symptoms occurring and she was completely asymptomatic. It really is strange how this virus affects everyone differently. 
I’ve been symptom free for over a week now. The worst part of it (for me) was not being able to smell (and hence taste) absolutely anything. Because it was my sense of smell and not actually taste that I lost I could still kind of taste sour, sweet, and salty but the actual flavor of the things I was eating was non existent. About the only things that brought me joy to eat we’re oranges, pretzels (kind of) and sweetened ice tea. My doctor told me the loss of smell/taste could last up to a month and honestly idk what I would have done if that was the case. Being stuck inside, eating is really one of the only little bits of enjoyment I still have.
All in all, I was one of the lucky ones in that my symptoms were very mild and went away in only a few days. I do count myself lucky that I did have some sort of symptoms and went and got tested because my wife did not and she was still going into work. Me getting tested possibly saved several lives by having her also be tested and quarantined after testing positive and her work enacted even stricter protocols afterwards. Just wanted to share my story and stay safe out there!</t>
        </is>
      </c>
      <c r="D488" t="n">
        <v>1</v>
      </c>
      <c r="E488" t="n">
        <v>27</v>
      </c>
      <c r="F488">
        <f>HYPERLINK("https://www.reddit.com/r/COVID19positive/comments/g4k9hk/5_more_days_to_go/")</f>
        <v/>
      </c>
      <c r="G488" t="inlineStr">
        <is>
          <t>2020-04-19 19:08:15</t>
        </is>
      </c>
      <c r="H488" t="inlineStr">
        <is>
          <t>Tested Positive - Me</t>
        </is>
      </c>
    </row>
    <row r="489">
      <c r="A489" t="inlineStr">
        <is>
          <t>g4lgfp</t>
        </is>
      </c>
      <c r="B489" t="inlineStr">
        <is>
          <t>Can someone describe what getting your taste and smell back feels like?</t>
        </is>
      </c>
      <c r="C489" t="inlineStr">
        <is>
          <t>I’m about to be a full week into my symptoms of loss of taste and smell. Exactly a week ago I had a fever and tiredness, nothing else except losing those senses. 
My doctors said I’m very lucky it’s mild and I’m already over the hump and on the road to recovery. When I asked if I should expect them to return back, they gave me a timeline of another 7-10 days before full recovery. They said me being able to gain my senses back again will be the cue that I’m okay. 
However they don’t allow retests and I’m scared to go back into the world just like that. Lots of people on here have said they lost taste and smell and THEN got way worse or got hit by a second wave. Despite this, docs I’ve talked to have reassured me that it’s usually a sign of recovery but for some reason I believe anecdotal evidence more when it comes to symptoms. 
I have absolutely no smell or taste. I wake up hoping maybe I’ll smell the candles in my room but no. For those of you who have recovered, does this gradually come back or does it come back as fast as it left? Did you just one day wake up and it was there? People have said it’s been almost a month and it hasn’t came back yet as well. I just don’t know if I should trust the use  doctors that it’ll be that easy to return. 
I’ve been ordering food because in my head it tastes good and I get my appetite back in that way, but when it arrives it’s just all flat and mush!</t>
        </is>
      </c>
      <c r="D489" t="n">
        <v>1</v>
      </c>
      <c r="E489" t="n">
        <v>2</v>
      </c>
      <c r="F489">
        <f>HYPERLINK("https://www.reddit.com/r/COVID19positive/comments/g4lgfp/can_someone_describe_what_getting_your_taste_and/")</f>
        <v/>
      </c>
      <c r="G489" t="inlineStr">
        <is>
          <t>2020-04-19 20:34:19</t>
        </is>
      </c>
      <c r="H489" t="inlineStr">
        <is>
          <t>Tested Positive - Me</t>
        </is>
      </c>
    </row>
    <row r="490">
      <c r="A490" t="inlineStr">
        <is>
          <t>g4mm4h</t>
        </is>
      </c>
      <c r="B490" t="inlineStr">
        <is>
          <t>Presumed positive 34 days of symptoms...and now a negative test.</t>
        </is>
      </c>
      <c r="C490" t="inlineStr">
        <is>
          <t>I was presumed positive due to positive family member.  I had all the symptoms including fever (for 29 days) cough, burning / tight chest, headache, loss of smell, mild nausea, fatigue and just generally feeling like shit for weeks and weeks. When my first test was negative around week 2 I figured it was just a false negative. But then I was assigned a new dr who did a second test last week and it also came back negative.  Is it possible for this all to be in my head?  The chances of 2 false negatives has got to be pretty low, right? I’m baffled...and although I’m starting to feel better once in awhile, I still feel awful most days. Baffled.</t>
        </is>
      </c>
      <c r="D490" t="n">
        <v>1</v>
      </c>
      <c r="E490" t="n">
        <v>8</v>
      </c>
      <c r="F490">
        <f>HYPERLINK("https://www.reddit.com/r/COVID19positive/comments/g4mm4h/presumed_positive_34_days_of_symptomsand_now_a/")</f>
        <v/>
      </c>
      <c r="G490" t="inlineStr">
        <is>
          <t>2020-04-19 22:03:12</t>
        </is>
      </c>
      <c r="H490" t="inlineStr">
        <is>
          <t>Tested Positive - Family</t>
        </is>
      </c>
    </row>
    <row r="491">
      <c r="A491" t="inlineStr">
        <is>
          <t>g4n9gu</t>
        </is>
      </c>
      <c r="B491" t="inlineStr">
        <is>
          <t>Lingering symptoms after recovery</t>
        </is>
      </c>
      <c r="C491" t="inlineStr">
        <is>
          <t>I'm 40ish days post symptom onset. 31 days post positive result. 12 days post recovery.
For 12 days, I've felt recovered for the most part. However, when standing up from sitting or lying down - I'm getting light headed easily and my eyes dim slightly. I'm assuming its orthostatic hypotension or drop in blood pressure when standing. I had this symptom towards the end of my illness, never had it previous to infection. Have any of you had lingering symptoms? Anyone had something similar to this?
I have posted my day to day diary previously, let me know if you'd like it linked here.
Initial symptoms were:    
- Throat tightness.    
- Moderate fever.    
- Earache.    
- Dizziness.     
- Loss of appetite.     
- Sinus pain &amp;amp; pressure.     
- Severe headache.    
- Fatigue.     
- Eye floaters.    
- Neck pain.      
- Body aches.     
- Chest pain.    
- Anxiety.     
- Facial numbness.     
- Teeth pain.     
About me:     
- Psoriatic Arthritis.     
- 32F healthy.     
- Low end average weight.     
- Avid runner.</t>
        </is>
      </c>
      <c r="D491" t="n">
        <v>1</v>
      </c>
      <c r="E491" t="n">
        <v>17</v>
      </c>
      <c r="F491">
        <f>HYPERLINK("https://www.reddit.com/r/COVID19positive/comments/g4n9gu/lingering_symptoms_after_recovery/")</f>
        <v/>
      </c>
      <c r="G491" t="inlineStr">
        <is>
          <t>2020-04-19 22:58:10</t>
        </is>
      </c>
      <c r="H491" t="inlineStr">
        <is>
          <t>Tested Positive - Me</t>
        </is>
      </c>
    </row>
    <row r="492">
      <c r="A492" t="inlineStr">
        <is>
          <t>g4ovi8</t>
        </is>
      </c>
      <c r="B492" t="inlineStr">
        <is>
          <t>40+ days &amp;amp; still fighting neurological issues</t>
        </is>
      </c>
      <c r="C492" t="inlineStr">
        <is>
          <t>Thought I'd do an update on myself with the intent of raising awareness for myself and others in the same situation. 
In my last post I expressed my concerned of a HSV/HIV like mechanism and potential infection of the CNS/brain tissue. I can find data to back up CNS and brain infiltration but we still don't know enough to confirm the pathogensis in the long term. I'm not a doctor.
Given my symptoms and the response I received from my last post, It's likely I'm suffering from *Post Viral Fatigue Syndrome, which at 6 months could become diagnosable as Chronic Fatigue Syndrome / Myalgic Encephalomyelitis*
https://www.nhs.uk/conditions/chronic-fatigue-syndrome-cfs/
Previous post: https://www.reddit.com/r/COVID19positive/comments/fykla4/29_days_keeps_coming_back/?utm_medium=android_app&amp;amp;utm_source=share
I have been through the severe pneumonia stage and now have assumed pulmonary scarring; Doctor confirmed.
I am pleased to report a decrease in the severity of the 'flare ups' of symptoms although I'm far from being well. 
Current symptoms: 
- nausea 
- mild confusion 
- brain fog
- lack of memory recall from the previous day(s)
- long term memory is more difficult to recall 
- mental and physical exhaustion 
- swaying when I walk and stand (balance issues)
- tinnitus 
- dream like state
- colours are attenuated 
- visual anomalies, spots/ stars (not hallucinations)
- slow reaction times 
- lingering headaches 
- chest is still really sore 
- out of breath through walking short distances 
- sleep issues 
- dissociation
- heart cramps, pain and palpitations 
- muscular pain
- nerve pain 
- joint pain 
- headaches 
- focus issues 
The neurological perception issues could be summarised to those without an insight as feeling similar to being drunk, stoned or high on small amounts of ketamine without the good sensations brought on by those drugs. 
I'll walk around to do minor housework and it's like my brain will lag and switch off momentarily. Like a stuttered perception. 
I'm able to look after myself but I have to take things slow. I couldn't return to running my business dealing with these issues; the physical and mental fatigue is beyond anything I've experienced before. Fatigue doesn't do it justice. I'm wiped out from the moment I wake with no let up till I fall asleep.
Sleep is non-refreshing, I wake exhausted. It would appear I'm having 3 hours of seemingly normal sleep and with a transition into 4 hours of unrestful tossing and turning to the most vivid dreams. 
To reiterate, I'm not experiencing anxiety. Anxiety isn't contributing to my symptoms. 
I'm taking no medication for any of the symptoms.
Though I am supplementing my diet with multi vitamins and plant based whole proteins.
I was previously very healthy, I would work out 5 days a week with full body weight exercises plus light jogging. I ate a very clean and counted calorie/macro intake. Non smoker. 26M. Very mild asthma that never held me back. If anything inhalers appeared to worsen the major lung issues.
I'm taking it day by day because that's all I can do at this time. Understanding from the medical community is not yet readily available.
I would urge anyone in my position to keep a day by day health diary, it'll help you track your progression and in future it could help your care provider understand your illness to offer better treatment.
I'm recording my symptoms, weight and sleep hours. I'm also scoring my health out of 10; with 0 being the lowest I experienced and 10 being my previous good health. I'm back and forth between a 4 and a 5 for reference.
If anyone has a similar story, I encourage you to comment.
My inbox is also open for anyone looking to share mutual support and experiences or I'm open to general conversation to lighten the burden of long term isolation and new found illness. 
Take care all :)</t>
        </is>
      </c>
      <c r="D492" t="n">
        <v>1</v>
      </c>
      <c r="E492" t="n">
        <v>58</v>
      </c>
      <c r="F492">
        <f>HYPERLINK("https://www.reddit.com/r/COVID19positive/comments/g4ovi8/40_days_still_fighting_neurological_issues/")</f>
        <v/>
      </c>
      <c r="G492" t="inlineStr">
        <is>
          <t>2020-04-20 01:14:36</t>
        </is>
      </c>
      <c r="H492" t="inlineStr">
        <is>
          <t>Tested Positive - Me</t>
        </is>
      </c>
    </row>
    <row r="493">
      <c r="A493" t="inlineStr">
        <is>
          <t>g4p1z9</t>
        </is>
      </c>
      <c r="B493" t="inlineStr">
        <is>
          <t>When I told the first ER I went to that I have General Anxiety Disorder, they dismissed my concerning medical symptoms and missed the fact I have SEVERE BACTERIAL PNEUMONIA from COVID-19</t>
        </is>
      </c>
      <c r="C493" t="inlineStr">
        <is>
          <t>The other day I took a trip to the hospital because I was having BAD chest pains and concerning symptoms such as: shallow breathing, and intense buzzing and tingling throughout my entire body, and very bad dizziness. I could barely speak or walk when it was at its worst. That whole week I had COVID like symptoms (fever, sore throat, dry cough,  extreme tiredness), but when it reached its peak I had to go the ER.  They asked me originally if I took any medication - so I told them I  took a low dose of an antidepressant for my general anxiety disorder. As soon as I told the nurse this, she left me alone in the room (barely checking on me) when I felt like I was going to collapse. When she came in, I pointed to my vitals with concern - she scoffed and said "yeah, of  course,  your oxygen is low and your heart rate is 125 bpm. you are working yourself into a fit!" I wasn't hyperventilating, I was just breathing more quickly because every breath I took was shallow. I tried to tell her I was nervous about the buzzing, the buzzing didn't happen after me being nervous. Then the doctor came in and just said: "you just had a panic attack you are fine, Do you need us to hook you up with a therapist?" I tried to explain to him I never had this bad of chest pain and uncontrollable shaking/tingling in my entire body and my vision blacking out from it. He just smiled and said "yeah you might have  COVID, stay home, get plenty of rest and remember to try your best not to panic!" the thing is...I knew chest pain was a serious symptom of COVID,  and I get panic attacks from time to time but never experience burning/stabbing chest pain like that and that WEIRD BODILY SENSATION. I begged the doctor to not discharge me and stay to look at my vitals. Because when the nurse left me alone my oxygen saturation got to 76 - and it supposed to be 92 or higher! I wanted to show him how it fluctuated, but since the last reading said 92 "I was fine" I went home and the next day the burning got SO SO bad in my lungs. Every time I would inhale even lightly I had SHARP, STABBING PAIN, the dizziness got way worse I couldn't walk, I had a HIGH fever, and genuinely felt like I was on my death bed. Every time I exhaled there would be a noticeably loud crackling sound my boyfriend could even hear. I also started to cough up blood. I went to another ER, and I chose to not mention my anxiety diagnosis and they took me SO much more seriously. They decided to actually do detailed testing on me (blood tests, CT scan, urine  tests) not just the old fashioned x-ray and stethoscope. They found a concerning abnormality in my blood from a BACTERIA infection. They found my lungs were dangerously very filled with phlegm and fluid in the CT Scan.  They showed me the picture and said it is very clear it is a bad  "COVID-19 Bacteria Induced Pneumonia Case" just by seeing how blocked my lungs were I was so terrified. Luckily, immediately after they instantly put me on VERY STRONG ANTIBIOTICS through an IV to try to help me as soon as possible. They told me when that tingling happened, my body was reacting to the lack of oxygen from all the gunk in my lungs. They said it was pretty severe for my age, but they were going to do  what they could to help me. Even now that I am on an inhaler and strong antibiotics I still have difficulty breathing (but I know that if I never went back to the hospital and listened to the other ER that said I was just panicking, it could have been much much worse - I could have died) It makes me so sad how biased those doctors were towards my mental illness. But I just want to say to anyone with scary medical symptoms (who is not getting taken seriously by doctors due to your mental illness) PLEASE keep trying to get help. Not all doctors will dismiss you. If you feel there is something genuinely wrong, don't stop looking for treatment until you get the help you need!!</t>
        </is>
      </c>
      <c r="D493" t="n">
        <v>1</v>
      </c>
      <c r="E493" t="n">
        <v>125</v>
      </c>
      <c r="F493">
        <f>HYPERLINK("https://www.reddit.com/r/COVID19positive/comments/g4p1z9/when_i_told_the_first_er_i_went_to_that_i_have/")</f>
        <v/>
      </c>
      <c r="G493" t="inlineStr">
        <is>
          <t>2020-04-20 01:30:31</t>
        </is>
      </c>
      <c r="H493" t="inlineStr">
        <is>
          <t>Tested Positive - Me</t>
        </is>
      </c>
    </row>
    <row r="494">
      <c r="A494" t="inlineStr">
        <is>
          <t>g4q42p</t>
        </is>
      </c>
      <c r="B494" t="inlineStr">
        <is>
          <t>Recovered from full smell loss (0%), to approximately 80% in 5 weeks. Anyone else in a similar situation?</t>
        </is>
      </c>
      <c r="C494" t="inlineStr">
        <is>
          <t>I completely lost my sense of smell on the 18th of March. Sense of taste was never lost. Although it's very hard to quantify sense of smell, I started recovering gradually 1.5/2 weeks after the onset, and I am currently capable of smelling most things. 
Still, subtle smells such as body odor/room smells are still very hard to register. Food is still not tasting the same with the explicit aroma's that should register. For example, it is very hard for me to distinguish paprika chips and cheese chips, or different kinds of tea. 
Is/has anyone else experiencing such a slow recovery process?</t>
        </is>
      </c>
      <c r="D494" t="n">
        <v>1</v>
      </c>
      <c r="E494" t="n">
        <v>5</v>
      </c>
      <c r="F494">
        <f>HYPERLINK("https://www.reddit.com/r/COVID19positive/comments/g4q42p/recovered_from_full_smell_loss_0_to_approximately/")</f>
        <v/>
      </c>
      <c r="G494" t="inlineStr">
        <is>
          <t>2020-04-20 03:04:49</t>
        </is>
      </c>
      <c r="H494" t="inlineStr">
        <is>
          <t>Tested Positive - Me</t>
        </is>
      </c>
    </row>
    <row r="495">
      <c r="A495" t="inlineStr">
        <is>
          <t>g4t9j8</t>
        </is>
      </c>
      <c r="B495" t="inlineStr">
        <is>
          <t>RN, sent home today with 103.4 temp</t>
        </is>
      </c>
      <c r="C495" t="inlineStr">
        <is>
          <t>I had a known exposure, a coworker went home Friday with Covid sx and one of our patients tested positive. We also treat Covid patients exclusively on the days we are normally closed. Today i have body aches, scratchy throat, slight cough, and a 103.4 temp. I’m sure its Covid, i NEVER have high fevers, and my boss is going to test us tomorrow. :(</t>
        </is>
      </c>
      <c r="D495" t="n">
        <v>1</v>
      </c>
      <c r="E495" t="n">
        <v>16</v>
      </c>
      <c r="F495">
        <f>HYPERLINK("https://www.reddit.com/r/COVID19positive/comments/g4t9j8/rn_sent_home_today_with_1034_temp/")</f>
        <v/>
      </c>
      <c r="G495" t="inlineStr">
        <is>
          <t>2020-04-20 06:58:58</t>
        </is>
      </c>
      <c r="H495" t="inlineStr">
        <is>
          <t>Tested Positive - Friends</t>
        </is>
      </c>
    </row>
    <row r="496">
      <c r="A496" t="inlineStr">
        <is>
          <t>g4yy2r</t>
        </is>
      </c>
      <c r="B496" t="inlineStr">
        <is>
          <t>Moms (61yo) COVOD19 Journey...Now Second Wave- Please Weigh In!</t>
        </is>
      </c>
      <c r="C496" t="inlineStr">
        <is>
          <t>This has been my mom's COVID journey. She is 61yo, in amazing shape (does 4x triathalons a year, plays on 3 sports teams, works out 6x a week), no preexisting conditions, blood type O+. We thought she was out of the woods and has just been hit with round two apparently. Can anyone please relay their experiences with the second wave of COVID19.
Timeline- Days 1-3 exhaustion, chills, low grade fever, sore throat, headache
Day 4 chest heaviness and shortness of breath set in, in addition to previous symptoms
Day 5 symptoms worsening, up all night with fever dreams/hallucinations
Day 6 scary breathing, doc prescribes inhaler, I pick it up and rush it to her, seems to provide some relief from the shortness of breath.
Days 7-8 same symptoms, inhaler still helping, dreams/hallucinations continue at night
Day 9 tests positive
Days 10-15 same, not feeling better, but also doesn't seem to be worsening. Inhaler is out and chest is still heavy, shortness of breath after even a few steps, but not feeling panicked with lack of breath like before
Days 16-20 feeling increasingly stronger each day, seems to have turned into a sinus/head cold, enough energy to do some light cooking and wipe down the kitchen and door knobs around the condo
Day 21 wakes up with incredibly sore throat, too painful to talk
Day 22 getting worse- splitting headache, fever, chills, absolute exhaustion, pain at the base of the neck, sweats, ear pressure.
We were so hopeful she finally turned a corner. Has anyone had a similar second wave experience? How long did it last? We were feeling so blessed that she made it through without being hospitalized. Was your second wave worse than the first? I want to mentally prepare myself to be her source of strength.</t>
        </is>
      </c>
      <c r="D496" t="n">
        <v>1</v>
      </c>
      <c r="E496" t="n">
        <v>11</v>
      </c>
      <c r="F496">
        <f>HYPERLINK("https://www.reddit.com/r/COVID19positive/comments/g4yy2r/moms_61yo_covod19_journeynow_second_wave_please/")</f>
        <v/>
      </c>
      <c r="G496" t="inlineStr">
        <is>
          <t>2020-04-20 12:01:35</t>
        </is>
      </c>
      <c r="H496" t="inlineStr">
        <is>
          <t>Tested Positive</t>
        </is>
      </c>
    </row>
    <row r="497">
      <c r="A497" t="inlineStr">
        <is>
          <t>g4z6m7</t>
        </is>
      </c>
      <c r="B497" t="inlineStr">
        <is>
          <t>Dad successfully extubated after 24 days on the ventilator!</t>
        </is>
      </c>
      <c r="C497" t="inlineStr">
        <is>
          <t>Hello, I just wanted to give an update that my father was successfully extubated yesterday after 24 days on the ventilator! He is recovering strength now in ICU and breathing on his own with NC oxygen delivery! His kidneys are still not functioning properly, so he is continuing to receive dialysis, but we are just so happy and thankful that he is breathing and on his way to recovery!
To everyone out there that is fighting this, or has a family member fighting: there is hope, no matter how long they are on the vent! We lost hope at times, there were good days and bad days full of hiccups. But the longer they are intubated, the stronger the more their lungs can recover and have a better chance to fight! 
Do not lose hope and God bless!</t>
        </is>
      </c>
      <c r="D497" t="n">
        <v>3</v>
      </c>
      <c r="E497" t="n">
        <v>69</v>
      </c>
      <c r="F497">
        <f>HYPERLINK("https://www.reddit.com/r/COVID19positive/comments/g4z6m7/dad_successfully_extubated_after_24_days_on_the/")</f>
        <v/>
      </c>
      <c r="G497" t="inlineStr">
        <is>
          <t>2020-04-20 12:14:53</t>
        </is>
      </c>
      <c r="H497" t="inlineStr">
        <is>
          <t>Tested Positive - Family</t>
        </is>
      </c>
    </row>
    <row r="498">
      <c r="A498" t="inlineStr">
        <is>
          <t>g50m6u</t>
        </is>
      </c>
      <c r="B498" t="inlineStr">
        <is>
          <t>Question from my 67yr old mum- on day 33 and recovering</t>
        </is>
      </c>
      <c r="C498" t="inlineStr">
        <is>
          <t>So quick background for context 
My mum had a very high fever for 16 days, paracetamol wouldn’t bring it down. 
Chills body aches dizziness, difficulty breathing 
We have an oxygen concentrator at the house for my 80yr old father - she used that a lot from day 8 when things took a turn for the worse. She had a horrible taste in her mouth, GI issues, extreme nausea she couldn’t eat. Extreme exhaustion
Fever finally subsided- after a few days of going away for a few hours and then returning at night 
Anyway now we’re 2 weeks after the fever 
Her breathing is ok- and some days she feels fine
She is a clean freak and isn’t really impressed with my attempts so keeps trying to do housework on days when she feels ok
But then a few hours later she is knocked back down again
One thing she keeps experiencing and she wanted me to ask if anyone else is getting the same- her face keeps turning very red, her cheeks become very flushed - and her face feels hot. She doesn’t have a fever - but it’s very strange she says and she is wondering if anyone else gets this or knows what it could be.
This illness is really not fun and I wish everyone a speedy and easy recovery</t>
        </is>
      </c>
      <c r="D498" t="n">
        <v>1</v>
      </c>
      <c r="E498" t="n">
        <v>11</v>
      </c>
      <c r="F498">
        <f>HYPERLINK("https://www.reddit.com/r/COVID19positive/comments/g50m6u/question_from_my_67yr_old_mum_on_day_33_and/")</f>
        <v/>
      </c>
      <c r="G498" t="inlineStr">
        <is>
          <t>2020-04-20 13:31:42</t>
        </is>
      </c>
      <c r="H498" t="inlineStr">
        <is>
          <t>Tested Positive - Family</t>
        </is>
      </c>
    </row>
    <row r="499">
      <c r="A499" t="inlineStr">
        <is>
          <t>g51n8c</t>
        </is>
      </c>
      <c r="B499" t="inlineStr">
        <is>
          <t>COVID-19 patient reviewing the Moscow healthcare system</t>
        </is>
      </c>
      <c r="C499" t="inlineStr">
        <is>
          <t>Hello there!
My name is Sasha, I am from Russia, and I am infected with coronavirus. 
I've been ill for slightly more than 2 weeks already, and it seems (and I hope) that I am on my way to recovery. The only symptom I have right now is the loss of my sense of smell, and my sense of taste seems to be somewhat muted, so I hope none of the more serious symptoms will reemerge.
I have a few friends in the United States, and when I tell them how much attention and care I receive from our public healthcare system, on a daily basis, and completely for free, I notice this leaves them completely speechless. They encouraged me to document my story, saying it might be interesting for other people to learn about my personal experience here in Moscow.
To clarify, I am not affiliated with any of the governments or medical organizations whatsoever - as you will see from my story, there a lot of things in our current system that I am unhappy about, and I will share all of my thoughts with you.
Now, without further ado, let's get to the story itself.
# I have a bad feeling about this
My mom works at the HR department of a very big hospital in Moscow. This hospital has many different wards, including a cardiology ward.
Some time around the middle of March, the cardiology ward receives a new patient, who experiences a shortness of breath. This patient's doctor decided that that is caused by his heart condition, and prescribes him cardiological treatment. However, a week passes by, but his shortness of breath doesn't go away, yet with this kind of treatment it should have. And so the staff decides to test the patient for coronavirus - and, of course, the results are positive. Immediately, the decision is made to quarantine the whole cardiology ward. Doctors who were in contact with this patient were sent home.
Very soon afterwards, there was a very similar situation in another ward, and by that point, it became clear that the hospital has quite a few coronavirus cases. Some people proposed that they send non-medical staff home to work remotely, but the management decided that "our hospital will not be working remotely.”
My mom handles a lot documents, and doctors from all the wards come and go to her office to process paperwork. So it becomes evident that somebody could eventually bring the virus to the HR department.
On Friday, March 27th, as my mom was going to sleep, she realized that she has a fever. From that moment on, we assume she is infected.
# This is outrageous, it's unfair
The next day, all the regular coronavirus symptoms showed up. Fever, dry cough, weakness, and, quite unexpectedly, very painful sensations in back muscles and joints, making it very hard to find a comfortable sleeping position. During the first two days, she also experienced an unbearable headache. For quite a few days, she had a very loud, unstoppable, and exhausting cough.  
Since my mom needed to get sick leave papers, on March 29th, she called for a doctor from a local public clinic. The doctor came, logged all the symptoms, and suggested symptomatic treatment. Right away, my mom was tested for coronavirus. 
The testing materials look like a pair of extremely long cue tips. They insert one in the nose, and another one in the throat. They cut these cue tips to leave only a short fragment with the cotton wad, put them in the test tube, and take them away. 
In Moscow, if you’re ill and call for a doctor, tests are performed free of charge.  
The doctor says that the results will come in in 2 days, so my mom asked:
* But how will I get my results?
* Don't worry, **they will find you**. 
It's a very illogical system: if your results are positive, they will call you back - if they’re negative, they won't even bother informing you.
My mom got a sick leave for 2 weeks, and the doctor left.
On March 31st, my dad got a fever as well. We called for the doctor right away. His interaction with the doctor was identical to my mom's: symptomatic treatment, testing, wait for 2 days. Aside from the fever, my dad didn't have any other symptoms.
All that time, I was staying at my parents' place. During the night, between April 2nd and 3rd, I got a fever as well. My symptoms were pretty much identical to my mom's. During the first 2 days, I felt weak and had an unbearable headache. I also experienced muscle and joint pain, which made it difficult to sit or even lie down. By the 3rd day, these symptoms started fading away. I had a dry cough, although it was mild in comparison to my mom's. However, starting on day 3, I got a horrible runny nose and sore throat.
I didn't call for a doctor, because I run my own business and don't need a sick leave.
# This is where the fun begins
Fast forward to Saturday, April 4. By that date, my mom was ill for 8 days already, and it was 6 days since she was tested. We thought it must have been coronavirus, although the results still didn't come in yet, and, by the logic suggested by the doctors, you’re supposed to assume that the results are negative.
All of a sudden, my mom receives a call from some kind of a call center. They were asking my mom a lot of questions: how she feels, what her symptoms are, with whom she was in contact, where she works, with whom she lives, passport number, social security number, and so on. I am gonna refer to these questions as “the standard list of questions” from now own.
When they learned that me and my dad live in the same place, they started asking her about us as well.
My mom asked about the test results, but the response was "your results are inconclusive, so we are sending a doctor to administer another test."
We got a visit from a very nice, joyful lady in an outfit which looks somewhat like a simplified hazmat suit made of cloth. This time, the doctor tested all of us. We asked when we would get the results, and she said that we will have to wait for 3 days. Yet, it's the same principle again: they're not gonna inform you if it's negative.
The doctor left, and very soon afterwards, my mom received another call, this time informing her that a person will come and bring a so-called "decree". This decree will be dropped under the door, "to avoid contact."
My mom decided to ask once again:
* Wait, but not too long ago I was told that my results are inconclusive?
* What do you mean, inconclusive? **They're positive.**
And that's how we learned for sure that my mom is infected.
I do understand that the accuracy of these tests is far from ideal, but I don't understand why one person says they're inconclusive, yet another person says they're positive. I am not sure if they were trying to conceal the result, or this was just some bureaucratic mistake - could be anything, really.  
So, my mom finally gets the decree. This decree says that my mom is forbidden to leave home, and violating it will result in an administrative fine.
Interestingly enough, this document was backdated: my mom received it on April 4, but the document demands that she doesn't leave home beginning March 30, for 6 days, which means that she can leave home by April 5 - essentially, just one day after she received that decree, which doesn't make any sense.
I also need to point out that, at that moment, neither I, nor my dad, had received any decrees, although we were just as ill as my mom was. We weren't leaving home just because it was common sense.
# Around the survivors, a perimeter create
The next day (April 5th), we received a call from the local police station. The police officer wanted to make sure that my mom was aware that she is not allowed to leave the apartment. He asked most of the questions from the standard list.
Very soon afterwards, we got a visit from the ambulance team. It was two young girls in hazmat suits. This time these were proper hazmat suits - they were synthetic, and they covered the entire body, so no body part was exposed.
The ambulance got information that my mom is infected, and according to the procedure, they're supposed to check every infected patient.
They asked the standard questions, took our temperatures, and also checked the oxygen saturation in our blood using a device called a pulse oximeter. It's a non-invasive procedure - they attach this thingy to your finger, and the device tells them how much oxygen there is. They said that our results are fine, our condition is satisfactory, and then they started writing down our symptoms, logging our condition and all sorts of legal information in what seemed like an endless stack of papers.
Eventually, the paper work was done, and the girls handed us all sorts of documents. My mom received a paper that clearly states that she has a positive result and extends her stay-at-home order to 14 days since the ambulance's visit, overriding the previously received decree.
My dad and I were classified as "persons in contact with coronavirus patient," and we received decrees that forbid us to leave our apartment until my mom recovers, plus 14 days since that moment.
Also, since it seems that we have mild cases of coronavirus, the ambulance suggested that we receive remote care. We signed papers that we all agree to stay home (instead of being hospitalized) and receive telemedicine services instead.
Finally, they handed each of us 4 professionally designed pamphlets about coronavirus which explain how to clean and disinfect your apartment, which number to call if you start feeling worse, and all sorts of other useful information for the patients and their relatives.
As they were leaving, they told us that we should take this seriously and not go outside. If we didn’t listen, the police would take us to the hospital by force, which, if you ask me, makes total sense, especially considering that some Russians don't believe that the virus exists and completely ignore self-isolation advice.
# There is always a bigger fish
After the ambulance's visit on April 5, we probably didn't have a single day that our phones didn’t ring. Almost every day, each of us would receive a call from an organization checking on our condition. Initially, each of us would receive at least 3 calls daily.
Here's a list of organizations:
* Local public clinic
* Police
* Ambulance
* Coronavirus HQ. Yes, apparently, they created an organization specifically for the purpose of fighting coronavirus.
* RosPotrebNadzor, a funny sounding word which is translated to English as "The Federal Service for Surveillance on Consumer Rights Protection and Human Wellbeing"
* Volunteers. They usually do chores for people over 65, but they reluctantly help coronavirus patients as well (not their fault, but rather their management’s policy, and they respond to the Moscow government)
* Telemedicine, which, it turns out, is completely independent from the local clinic and the ambulance and is completely unaware of what either of these two were doing
I've managed to count 7 organizations, but there might have been more, because some people on the phone identified themselves vaguely, or said that they were from the Moscow government call-center or something like that.
# If an item does not appear in our records, it does not exist!
Aside from that, Coronavirus HQ called me once, and asked all the standard questions. The next day, the very same Coronavirus HQ calls, and asked me the same questions again. Of course, I complained to the operator that I had already answered most of these questions (granted, some of the questions were new), but they said that I might have confused them with somebody else. 
I am 100% sure that I wouldn't confuse an organization with such a memorable name with anybody else on the list.
# I don’t think the system works
Honestly, I appreciate all that attention a lot, because I really did not expect that anybody would actually take care of us. But, sadly, there's really not much use from all that activity. They ask the same standard questions all the time, so each of us had to re-tell the whole story all over again to each and every organization. There is clearly no cooperation between them - they do not share information with each other.
Besides, we ran into a few problems, and, when none of the organizations provided any help, we had to figure something out.
**Problem #1**, very hard to buy groceries. In Moscow, there are a lot of food delivery services to choose from, but because of the coronavirus, many of them are completely booked at least a week in advance. The only solution we found is to wake up very early and check whether any of these services have an empty delivery timeframe and book it ASAP. Fortunately, very soon after we got our decrees, a new service called Yandex.Lavka opened in my area, and they deliver any groceries within 20 minutes after you place the order. Thankfully, this completely solved the problem, because now, if we need basic groceries, we can always order from there.
**Problem #2**, taking out the trash. We have a dumpster outside of our apartment building, and obviously we can't go out. Occasionally, when we get a visit from a doctor or somebody else, we ask if it's ok for them to take out our trash for us. It's unclear to me whether it's safe. There are no official guidelines regarding trash, but at least people in protective gear generally do not refuse and take out our trash for us. Yet now these visits are becoming less frequent, so there's still no elegant solution to this problem.
**Problem #3**, getting medicine. If you need any kind of drugs, you don't really have any option to get them. Drug stores, at least the ones we know, don't deliver orders to your apartment, and you have to pick them up somehow. When we pointed out these problems, a few organizations suggested calling the Moscow government hotline to ask for the volunteers’ help.
However, when we called them, they initially refused helping us because we're "too young.” When we mentioned that my dad needs to buys some meds and has some chronic diseases, they decided to classify us as in the at-risk group, and sent a volunteer. The volunteer paid for our order at the drug store, dropped it off in front of our door to avoid contact, and we compensated them for the order using online banking.
# Time to abandon ship
This is already a huge story, so I will try to condense the rest of it.
We were tested 2 more times. Thus, my parents were tested 4 times, and I was tested 3 times in total.
On April 11th, independently from each other, me and my dad received a call from coronavirus HQ, informing us that we have positive results. They were unaware which exact test came in positive, but I assume it was the one we took a week ago, on April 4.
On April 14 (will confirm the date later), the last time they tested us, me and my dad were re-classified as “coronavirus patients” and my mom was re-classified as “person in contact with coronavirus patients.”  Our stay at home orders were extended until April 24.
And, since April 17th, which is more than 2 weeks after I was infected, we have started receiving calls from the telemedicine service, which now checks on us (almost) every day.
# A surprise, to be sure, but a welcome one!
I am surprised by the amount of attention we received from our healthcare system. And I am infinitely grateful to all the people who were checking on our conditions, some of them risking their health when walking into our apartment.
But there are some things I can complain about, and they mostly have to do with the management of these organizations.
**First** **of all**: never-ending calls from all these organizations, asking the same questions over and over again. Either the list of organizations must be shorter, or they must establish some channel of communication or at least exchange information. They're wasting precious time on patients who don't really need immediate medical attention.
**Second**: none of our problems were really addressed. Sometimes, they suggest asking for the volunteers’ help, but if you're under 65, you're on your own. There are no guidelines regarding trash and if it should be thrown out or not. Volunteers said they're not allowed to throw out the trash, although people from the other organizations didn't mind taking it out for us - meaning, if there is some kind of guideline, only the volunteers are aware of it.
**Third**: absolutely no transparency when it comes to test results. You are randomly informed by some organization that you're positive, and they don't even know which particular test it was. I understand that many people are tested at the same time, that the system is overloaded, and it takes more than a week to get your results. But it's unclear why they didn't make these results available online, especially considering that our government has a very convenient website where you can get all sorts of government services - it would make a lot of sense to make our results available there.
**Fourth**: the unimaginable amount of bureaucracy. It takes 5 minutes to check our conditions and take the tests, yet every single doctor that visited us stayed in our apartment for at least an hour to fill out all the paperwork. When the EMTs in hazmat suits visited us, there were a few times when they didn't know what exactly they're supposed to write down in their papers, so they had to call their HQ to guide them, and the HQ started joking that the girls aren't thinking clearly. And the girls joyfully responded that they've been wearing these suits for hours, it's hard to breathe, and of course it's hard to think straight under these conditions. All this bureaucracy essentially puts their health at risk and doesn't really help achieve anything.
On the bright side, I received all of that attention for free. Well, not exactly for free - it's funded by us, the taxpayers. Still, I am glad this experience didn't turn into an additional financial burden for my family.
Aside from that, Putin announced that all businesses and organizations must keep paying salaries to their employees. Obviously, this doesn't work for the private sector - many private companies went bankrupt and had to lay off their employees. Thankfully, my parents work in the public medical sector, and although they're on sick leave, it seems they will receive 100% of their salary. There is a problem, though: they won't be able to receive their salary until they officially end their sick leave (plus a few days after that), and this might take a while. 
I am less lucky, because I have my own company, and there is no support for businesses from the government at the moment, so I have to survive on my own. But, at the very least, I am glad that all my recent adventures didn't turn into another expense.
I hope you found my story interesting. If you have any friends skeptical about the effects of coronavirus, perhaps my story will somehow convince them that the whole thing should be taken seriously. If Russia as a country finally decided to treat the problem THAT seriously, maybe they should, too.  
I wish you all good health, and my respect to all the essential workers whose lives are at a huge risk and who help me not to die from hunger.
Be safe! Bye!
**TL;DR**: Russian guy gets infected with coronavirus, gets tested 3 times completely for free, is checked routinely by 7 different organizations without any strings attached, still complains.</t>
        </is>
      </c>
      <c r="D499" t="n">
        <v>1</v>
      </c>
      <c r="E499" t="n">
        <v>44</v>
      </c>
      <c r="F499">
        <f>HYPERLINK("https://www.reddit.com/r/COVID19positive/comments/g51n8c/covid19_patient_reviewing_the_moscow_healthcare/")</f>
        <v/>
      </c>
      <c r="G499" t="inlineStr">
        <is>
          <t>2020-04-20 14:24:33</t>
        </is>
      </c>
      <c r="H499" t="inlineStr">
        <is>
          <t>Tested Positive - Me</t>
        </is>
      </c>
    </row>
    <row r="500">
      <c r="A500" t="inlineStr">
        <is>
          <t>g52c2n</t>
        </is>
      </c>
      <c r="B500" t="inlineStr">
        <is>
          <t>Model of active coronavirus cases based on death rates and data from regions that attempted to test their entire population at random (rather than only testing sick people).</t>
        </is>
      </c>
      <c r="C500" t="inlineStr">
        <is>
          <t xml:space="preserve"> [https://michaelvonplato.shinyapps.io/covidDeaths/](https://michaelvonplato.shinyapps.io/covidDeaths/)</t>
        </is>
      </c>
      <c r="D500" t="n">
        <v>1</v>
      </c>
      <c r="E500" t="n">
        <v>2</v>
      </c>
      <c r="F500">
        <f>HYPERLINK("https://www.reddit.com/r/COVID19positive/comments/g52c2n/model_of_active_coronavirus_cases_based_on_death/")</f>
        <v/>
      </c>
      <c r="G500" t="inlineStr">
        <is>
          <t>2020-04-20 15:00:55</t>
        </is>
      </c>
      <c r="H500" t="inlineStr">
        <is>
          <t>Tested Positive - Friends</t>
        </is>
      </c>
    </row>
    <row r="501">
      <c r="A501" t="inlineStr">
        <is>
          <t>g53ufu</t>
        </is>
      </c>
      <c r="B501" t="inlineStr">
        <is>
          <t>How did/do you cope with the loss of someone due to COVID-19?</t>
        </is>
      </c>
      <c r="C501" t="inlineStr">
        <is>
          <t>Hello fellow redditors! 
 How did you cope with the loss of a loved one due to COVID-19? How was their last moments on earth? What is your most joyful memory of them? 
- I recently lost my grandfather due to the virus. We as a family said our goodbyes via a videocall, even though he was unconscious I find peace in thinking that he could hear us. His final days he lost his appetite but could speak and would crack a joke here and there. At last...he did not have any strenght anymore and fell into a deeper slumber. My most joyful memory of him is sitting down talking about life in general and how he believed in the spiritual world. 
I am devastated...I want to hear other peoples stories to cope with my loss. It feels so unreal and lonely right now.</t>
        </is>
      </c>
      <c r="D501" t="n">
        <v>1</v>
      </c>
      <c r="E501" t="n">
        <v>7</v>
      </c>
      <c r="F501">
        <f>HYPERLINK("https://www.reddit.com/r/COVID19positive/comments/g53ufu/how_diddo_you_cope_with_the_loss_of_someone_due/")</f>
        <v/>
      </c>
      <c r="G501" t="inlineStr">
        <is>
          <t>2020-04-20 16:25:45</t>
        </is>
      </c>
      <c r="H501" t="inlineStr">
        <is>
          <t>Tested Positive - Family</t>
        </is>
      </c>
    </row>
    <row r="502">
      <c r="A502" t="inlineStr">
        <is>
          <t>g54d08</t>
        </is>
      </c>
      <c r="B502" t="inlineStr">
        <is>
          <t>Anybody else having "scary" moments late into the game?(day 32.)</t>
        </is>
      </c>
      <c r="C502" t="inlineStr">
        <is>
          <t>Didn't know if I was going to wake up last couple days.  said goodbye to family just in case.  Thankfully I'm still kicking.  Having some pretty severe illness still though, been bad for about a week.
Anybody else have severe illness into the 30s or 40s?  did it just clear up?  I keep thinking today is going to be the day, but everyday, here I am.
Good luck everybody still fighting, we can do this.</t>
        </is>
      </c>
      <c r="D502" t="n">
        <v>1</v>
      </c>
      <c r="E502" t="n">
        <v>21</v>
      </c>
      <c r="F502">
        <f>HYPERLINK("https://www.reddit.com/r/COVID19positive/comments/g54d08/anybody_else_having_scary_moments_late_into_the/")</f>
        <v/>
      </c>
      <c r="G502" t="inlineStr">
        <is>
          <t>2020-04-20 16:56:49</t>
        </is>
      </c>
      <c r="H502" t="inlineStr">
        <is>
          <t>Tested Positive</t>
        </is>
      </c>
    </row>
    <row r="503">
      <c r="A503" t="inlineStr">
        <is>
          <t>g54jeh</t>
        </is>
      </c>
      <c r="B503" t="inlineStr">
        <is>
          <t>Has anyone donated plasma after fully recovering?</t>
        </is>
      </c>
      <c r="C503" t="inlineStr">
        <is>
          <t>I tested positive March 31st and got a negative retest result today. I really want to help in any way I can. I’ve heard about antibody and plasma testing but I don’t know how or where to donate. Has anyone donated? What was the process like? 
I’m in Ontario, Canada.</t>
        </is>
      </c>
      <c r="D503" t="n">
        <v>1</v>
      </c>
      <c r="E503" t="n">
        <v>3</v>
      </c>
      <c r="F503">
        <f>HYPERLINK("https://www.reddit.com/r/COVID19positive/comments/g54jeh/has_anyone_donated_plasma_after_fully_recovering/")</f>
        <v/>
      </c>
      <c r="G503" t="inlineStr">
        <is>
          <t>2020-04-20 17:08:08</t>
        </is>
      </c>
      <c r="H503" t="inlineStr">
        <is>
          <t>Tested Positive - Me</t>
        </is>
      </c>
    </row>
    <row r="504">
      <c r="A504" t="inlineStr">
        <is>
          <t>g55vkg</t>
        </is>
      </c>
      <c r="B504" t="inlineStr">
        <is>
          <t>My mild COVID Case so far...</t>
        </is>
      </c>
      <c r="C504" t="inlineStr">
        <is>
          <t>I've been reading through a lot of the posts on here the last few days and thought I should post my own COVID-19 story.
For reference, I live in Toronto. I had been going to work but other than that all other contact has been limited to weekly grocery store visits and the occasional walk around the block for the last 4 weeks. Most of the symptoms I describe from April 11- 16 were so mild I had to go back and think about them once I learned I was positive. I should mention my job requires me to work in close contact with COVID positive patient blood samples. 
Apr 11-Woke up feeling fine. As the day went on my brain started to feel really foggy. I have anxiety that comes and goes in cycles, so I chalked it up to lack of exercise while being cooped up at home. Felt a little bit tired but nothing else. Checked my temperature a few times over the day and never had a temperature over 98F.
April 12-Brain fog still present. No cough, no fever, noticed a bit of a need to clear my throat a few times an hour, thought it was probably from the joint I had smoked the night before.
April 13-16. Brain fog persisted, worsening as the day went on. Had what I would describe as a very mild sinus infection. Sinuses were mostly clear but could feel slight pressure behind my eyes and felt like I couldn't get my ears to "pop" and equalize the pressure. No other "typical" COVID symptoms. At no point did I suspect I was positive. 
April 17-18-Brain fog and minor sinus issues have completely subsided. But then very abruptly I came down with profound loss of smell. Had no sinus blockage and could breath fine but found I was unable to smell a thing. I could not even smell a hint of things that are normally quite pungent like fresh rosemary, vanilla extract, or blue cheese. Could still taste but only the basic flavours of sweet, salty, bitter, and sour. 
April 19-Feel completely healthy but still no sense of smell. Reading many stories about loss of smell as a COVID symptom. Decide to fill out the online assessment form. Contacted shortly after by a nurse performing screens. I mentioned my loss of smell as the main symptom. Due to the fact that I was working with COVID positive samples the screener recommended I be tested. Immediately went to the test center and received a VERY uncomfortable nasal swab. Felt totally healthy for the rest of the day.
April 20-Was super surprised to recieve a call less than 24 hours after being tested confirming I was positive. Felt mostly fine but started feeling tired and got a minor headache in the later afternoon. Felt a little bit warm but confirmed no fever. Took an Advil and feel fine again. 
Overall I've been super lucky to have such mild to non existant symptoms and I'm crossing my fingers that it stays that way. For anyone reading this; if you find that your sense of smell very suddenly disappears I'd recommend treating yourself as positive and immediately staying in self isolation. You may not be showing any symptoms, but it's s scary how many people could be out there going about their daily lives while spreading this thing around.</t>
        </is>
      </c>
      <c r="D504" t="n">
        <v>1</v>
      </c>
      <c r="E504" t="n">
        <v>21</v>
      </c>
      <c r="F504">
        <f>HYPERLINK("https://www.reddit.com/r/COVID19positive/comments/g55vkg/my_mild_covid_case_so_far/")</f>
        <v/>
      </c>
      <c r="G504" t="inlineStr">
        <is>
          <t>2020-04-20 18:30:52</t>
        </is>
      </c>
      <c r="H504" t="inlineStr">
        <is>
          <t>Tested Positive - Me</t>
        </is>
      </c>
    </row>
    <row r="505">
      <c r="A505" t="inlineStr">
        <is>
          <t>g5603q</t>
        </is>
      </c>
      <c r="B505" t="inlineStr">
        <is>
          <t>What I Wish I had Known When I First Got Sick</t>
        </is>
      </c>
      <c r="C505" t="inlineStr">
        <is>
          <t>My exwife's experience in getting covid19.  
https://www.elephantjournal.com/2020/04/what-i-wish-i-had-known-when-i-first-got-sick/</t>
        </is>
      </c>
      <c r="D505" t="n">
        <v>1</v>
      </c>
      <c r="E505" t="n">
        <v>5</v>
      </c>
      <c r="F505">
        <f>HYPERLINK("https://www.reddit.com/r/COVID19positive/comments/g5603q/what_i_wish_i_had_known_when_i_first_got_sick/")</f>
        <v/>
      </c>
      <c r="G505" t="inlineStr">
        <is>
          <t>2020-04-20 18:38:33</t>
        </is>
      </c>
      <c r="H505" t="inlineStr">
        <is>
          <t>Tested Positive - Family</t>
        </is>
      </c>
    </row>
    <row r="506">
      <c r="A506" t="inlineStr">
        <is>
          <t>g5892u</t>
        </is>
      </c>
      <c r="B506" t="inlineStr">
        <is>
          <t>Everybody in the house has it</t>
        </is>
      </c>
      <c r="C506" t="inlineStr">
        <is>
          <t>My brother did the test and he came back positive meaning everybody in the house most likely has it. The first day i had major chills, a headache , and was very fatigue. yesterday i was feeling way better. i showered today and when i got out i started coughing really bad. a couple hours ago i laid down and took a nap.  when i woke up i was burning way more than before. my brother seems to be doing better but i feel like i’m back to where i was last week. it took me a while to cool down but currently way cooler then before. i’m only 18 so i thought it wouldn’t be as bad but it really is.</t>
        </is>
      </c>
      <c r="D506" t="n">
        <v>1</v>
      </c>
      <c r="E506" t="n">
        <v>12</v>
      </c>
      <c r="F506">
        <f>HYPERLINK("https://www.reddit.com/r/COVID19positive/comments/g5892u/everybody_in_the_house_has_it/")</f>
        <v/>
      </c>
      <c r="G506" t="inlineStr">
        <is>
          <t>2020-04-20 21:03:08</t>
        </is>
      </c>
      <c r="H506" t="inlineStr">
        <is>
          <t>Tested Positive</t>
        </is>
      </c>
    </row>
    <row r="507">
      <c r="A507" t="inlineStr">
        <is>
          <t>g5aa18</t>
        </is>
      </c>
      <c r="B507" t="inlineStr">
        <is>
          <t>Is anyone taking marijuana products to help cope with decreased appetite and anxiety?</t>
        </is>
      </c>
      <c r="C507" t="inlineStr">
        <is>
          <t>lately I’ve been having mad breakdowns because I am tested positive and scared my parents will get very sick. we are all mild cases so far but I hear them cough and I spiral that it’ll get way worse.
I don’t cough at all and doctors say I’m on my recovery. I’m a week in but have only loss my taste and smell. Due to this, I also barely eat so I feel like I am not exactly helping myself recover better. the doctor said I don’t really have to take meds since I’m not coughing or feel tired, at this point I’m just waiting for my senses to come back. 
problem is I haven’t smoked or taken edibles in almost two months. I am scared it might make the virus act up again or worsen my symptoms. though the doctor told me he doesn’t expect me to cough at this point in the journey, i read about how people get random waves of symptoms when they start doing normal things they couldn’t do while sick. 
just want to get my mind away from corona for a while but it’s so hard when it’s everywhere in the media.</t>
        </is>
      </c>
      <c r="D507" t="n">
        <v>1</v>
      </c>
      <c r="E507" t="n">
        <v>12</v>
      </c>
      <c r="F507">
        <f>HYPERLINK("https://www.reddit.com/r/COVID19positive/comments/g5aa18/is_anyone_taking_marijuana_products_to_help_cope/")</f>
        <v/>
      </c>
      <c r="G507" t="inlineStr">
        <is>
          <t>2020-04-20 23:45:43</t>
        </is>
      </c>
      <c r="H507" t="inlineStr">
        <is>
          <t>Tested Positive - Me</t>
        </is>
      </c>
    </row>
    <row r="508">
      <c r="A508" t="inlineStr">
        <is>
          <t>g5be10</t>
        </is>
      </c>
      <c r="B508" t="inlineStr">
        <is>
          <t>WECARE Initiative - a stimulus created by the people, for the people, to fight the evolving impact of the Coronavirus on our communities</t>
        </is>
      </c>
      <c r="C508" t="inlineStr">
        <is>
          <t>[WeCare](https://snipon.com/wecare/) is a peer-to-peer platform that puts a personal touch on giving. Inspired by goodwill and community amid the Covid-19 pandemic, users can use the platform to give and receive emergency funds with zero commissions or administrative costs. Those who donate are able to connect their charitable act with the face and name of someone in need and make an immediate impact on people’s lives through a simple donation of any dollar amount. As the platform expands, WeCare plans to extend the service beyond the immediate needs of the Coronavirus pandemic.</t>
        </is>
      </c>
      <c r="D508" t="n">
        <v>1</v>
      </c>
      <c r="E508" t="n">
        <v>2</v>
      </c>
      <c r="F508">
        <f>HYPERLINK("https://www.reddit.com/r/COVID19positive/comments/g5be10/wecare_initiative_a_stimulus_created_by_the/")</f>
        <v/>
      </c>
      <c r="G508" t="inlineStr">
        <is>
          <t>2020-04-21 01:22:15</t>
        </is>
      </c>
      <c r="H508" t="inlineStr">
        <is>
          <t>Tested Positive</t>
        </is>
      </c>
    </row>
    <row r="509">
      <c r="A509" t="inlineStr">
        <is>
          <t>g5dfrh</t>
        </is>
      </c>
      <c r="B509" t="inlineStr">
        <is>
          <t>When are you cured?</t>
        </is>
      </c>
      <c r="C509" t="inlineStr">
        <is>
          <t>For me it started with pain in knee joints, then my schoulders with a terrible headache. I was realy carefull, wash my hands so much, they crack open, at one moment it burn so much to use medical destin " 80% alcohol".
I didnt go outside unless i needed to.
But somehow i felt so bad, i had to call my doctor. I had a small fever 38.4 Celcius, and when i have fever they need to check my heart because i have brugada syndrome. At the hospital i tested positief for covid 19.
Everything was oke, and no reason for me to stay in the hospital. At home my fever raised up to 41.2 celcius. But i managed to get over it.
If had no fever now for 2 weeks. I cough like 10 times per day now, i used to cough like every 5 minutes when sick. I even feel great, can take deep breates noting hurts everything like normal for 2 weeks now.
But i still cough 10 / 15 times per day and still have headache</t>
        </is>
      </c>
      <c r="D509" t="n">
        <v>1</v>
      </c>
      <c r="E509" t="n">
        <v>9</v>
      </c>
      <c r="F509">
        <f>HYPERLINK("https://www.reddit.com/r/COVID19positive/comments/g5dfrh/when_are_you_cured/")</f>
        <v/>
      </c>
      <c r="G509" t="inlineStr">
        <is>
          <t>2020-04-21 04:22:55</t>
        </is>
      </c>
      <c r="H509" t="inlineStr">
        <is>
          <t>Tested Positive - Me</t>
        </is>
      </c>
    </row>
    <row r="510">
      <c r="A510" t="inlineStr">
        <is>
          <t>g5fm1v</t>
        </is>
      </c>
      <c r="B510" t="inlineStr">
        <is>
          <t>I feel so defeated.</t>
        </is>
      </c>
      <c r="C510" t="inlineStr">
        <is>
          <t>I’m on Day 35 and my symptoms have been mild the whole time. Even escaped most of the breathing difficulties. Now I’m extremely bloated and it’s causing me to feel uncomfortable while making my breathing not autonomous(?) I had like 2.5 good days where all I was dealing with was some reflux. This is miserable. I want to feel like myfuckingself.</t>
        </is>
      </c>
      <c r="D510" t="n">
        <v>1</v>
      </c>
      <c r="E510" t="n">
        <v>24</v>
      </c>
      <c r="F510">
        <f>HYPERLINK("https://www.reddit.com/r/COVID19positive/comments/g5fm1v/i_feel_so_defeated/")</f>
        <v/>
      </c>
      <c r="G510" t="inlineStr">
        <is>
          <t>2020-04-21 06:53:33</t>
        </is>
      </c>
      <c r="H510" t="inlineStr">
        <is>
          <t>Tested Positive - Me</t>
        </is>
      </c>
    </row>
    <row r="511">
      <c r="A511" t="inlineStr">
        <is>
          <t>g5g3u6</t>
        </is>
      </c>
      <c r="B511" t="inlineStr">
        <is>
          <t>Admitted to Hospital-Week 5 (28F USA)</t>
        </is>
      </c>
      <c r="C511" t="inlineStr">
        <is>
          <t>Hi all,
I am a 28 year old female from the USA. No pre-existing health conditions, in shape, eat healthy, good BMI etc. 
I was diagnosed COVID-Positive on the 23rd of March. Tomorrow it will be an entire month.  This is my 4th and perhaps worst wave of symptoms. 
After struggling on and off for weeks at home, I was admitted to the hospital. I was vomiting uncontrollably, running a 95.9-96.0 degree temp (TOO low), struggling to breathe on my own and had severe sweats and violent chills. Turns out my pulse oxygen was very low which they helped with right away. They also ran another slew of tests. 
After my chest X-ray, EKG and CT of chest—the doctors came in to let me know that my pulmonary artery was extremely dilated (the doc said he usually sees this in people in their 70s and 80s). They are unsure if the damage to my lungs from COVID has affected my heart and arteries. They did notice that my lung function was back to normal but some abnormal spots on my lungs perhaps left behind by COVID.
I was also retested via nasal swab to see if there were still traces of Covid in my system after a month of continuous symptoms. Waiting on all of the results now and I am very nervous and concerned. Has anyone had anything that has gone on this long? Anyone dealing with potential heart damage? 
Thanks for reading. Be well.</t>
        </is>
      </c>
      <c r="D511" t="n">
        <v>3</v>
      </c>
      <c r="E511" t="n">
        <v>202</v>
      </c>
      <c r="F511">
        <f>HYPERLINK("https://www.reddit.com/r/COVID19positive/comments/g5g3u6/admitted_to_hospitalweek_5_28f_usa/")</f>
        <v/>
      </c>
      <c r="G511" t="inlineStr">
        <is>
          <t>2020-04-21 07:22:34</t>
        </is>
      </c>
      <c r="H511" t="inlineStr">
        <is>
          <t>Tested Positive - Me</t>
        </is>
      </c>
    </row>
    <row r="512">
      <c r="A512" t="inlineStr">
        <is>
          <t>g5gjbe</t>
        </is>
      </c>
      <c r="B512" t="inlineStr">
        <is>
          <t>How long does this cough last?</t>
        </is>
      </c>
      <c r="C512" t="inlineStr">
        <is>
          <t>I feel like I’ve been coughing for months. How long have your coughs lasted after the other symptoms subsided? Are we still contagious while we have lingering coughs?</t>
        </is>
      </c>
      <c r="D512" t="n">
        <v>1</v>
      </c>
      <c r="E512" t="n">
        <v>9</v>
      </c>
      <c r="F512">
        <f>HYPERLINK("https://www.reddit.com/r/COVID19positive/comments/g5gjbe/how_long_does_this_cough_last/")</f>
        <v/>
      </c>
      <c r="G512" t="inlineStr">
        <is>
          <t>2020-04-21 07:47:24</t>
        </is>
      </c>
      <c r="H512" t="inlineStr">
        <is>
          <t>Tested Positive</t>
        </is>
      </c>
    </row>
    <row r="513">
      <c r="A513" t="inlineStr">
        <is>
          <t>g5ito5</t>
        </is>
      </c>
      <c r="B513" t="inlineStr">
        <is>
          <t>When can you/did you break isolation?</t>
        </is>
      </c>
      <c r="C513" t="inlineStr">
        <is>
          <t>My health department says 7 days from onset of symptoms or 3 days without fever and with improvement of symptoms. They are not using the two negative tests for mild cases. 
I only had one day of fever over a week ago, so that doesn’t help me. And my symptoms have been improving daily.  So based on their guidelines I’m okay to break isolation- but it seems insane to do so! It’s only been 13 days. 
So how the heck do I know when it’s safe to say I won’t be accidentally infecting people?? 
(Cloth masks are great but we know they’re not perfect...) 
I have no where to go, so I’m of course staying put, but I just wanted to see how others have been deemed safe to return to work etc, especially those without the negative test requirements.</t>
        </is>
      </c>
      <c r="D513" t="n">
        <v>0</v>
      </c>
      <c r="E513" t="n">
        <v>9</v>
      </c>
      <c r="F513">
        <f>HYPERLINK("https://www.reddit.com/r/COVID19positive/comments/g5ito5/when_can_youdid_you_break_isolation/")</f>
        <v/>
      </c>
      <c r="G513" t="inlineStr">
        <is>
          <t>2020-04-21 09:50:38</t>
        </is>
      </c>
      <c r="H513" t="inlineStr">
        <is>
          <t>Tested Positive - Me</t>
        </is>
      </c>
    </row>
    <row r="514">
      <c r="A514" t="inlineStr">
        <is>
          <t>g5j7x7</t>
        </is>
      </c>
      <c r="B514" t="inlineStr">
        <is>
          <t>Sudden onset of new symptoms</t>
        </is>
      </c>
      <c r="C514" t="inlineStr">
        <is>
          <t>I've actually been on the up the past few days (started feeling physical symptoms on March 30th) but I've had a sudden development of nausea (never present before) and my leg cramps are back. My diet hasn't changed all that much since I've been sick, and I don't believe I've eaten any contaminated foods. Is this normal?</t>
        </is>
      </c>
      <c r="D514" t="n">
        <v>2</v>
      </c>
      <c r="E514" t="n">
        <v>9</v>
      </c>
      <c r="F514">
        <f>HYPERLINK("https://www.reddit.com/r/COVID19positive/comments/g5j7x7/sudden_onset_of_new_symptoms/")</f>
        <v/>
      </c>
      <c r="G514" t="inlineStr">
        <is>
          <t>2020-04-21 10:11:19</t>
        </is>
      </c>
      <c r="H514" t="inlineStr">
        <is>
          <t>Tested Positive - Me</t>
        </is>
      </c>
    </row>
    <row r="515">
      <c r="A515" t="inlineStr">
        <is>
          <t>g5k3of</t>
        </is>
      </c>
      <c r="B515" t="inlineStr">
        <is>
          <t>Day 30+ Folk: How are your energy levels?</t>
        </is>
      </c>
      <c r="C515" t="inlineStr">
        <is>
          <t>Hope everyone is doing as well as they can be with this thing. I wanted to see how everyone was fairing 30 days out?
On day 35, I feel mostly recovered except for debilitating fatigue and diarrhea with the rare cough. Anyone else still completely shot a month out? 
At any given moment I feel like I could pass out, and I'm constantly battling that "overtired" feeling that I haven't felt with this regularity since I was a grade schooler. It's difficult to convey to people when I'm struggling because, let's face it, "I'm tired," is just about the lamest excuse ever, but it doesn't really convey the bone-deep exhaustion.
At this point, I'm just venting and curious to see how everyone else at Day 30+ is doing.</t>
        </is>
      </c>
      <c r="D515" t="n">
        <v>1</v>
      </c>
      <c r="E515" t="n">
        <v>30</v>
      </c>
      <c r="F515">
        <f>HYPERLINK("https://www.reddit.com/r/COVID19positive/comments/g5k3of/day_30_folk_how_are_your_energy_levels/")</f>
        <v/>
      </c>
      <c r="G515" t="inlineStr">
        <is>
          <t>2020-04-21 10:58:21</t>
        </is>
      </c>
      <c r="H515" t="inlineStr">
        <is>
          <t>Tested Positive - Me</t>
        </is>
      </c>
    </row>
    <row r="516">
      <c r="A516" t="inlineStr">
        <is>
          <t>g5l0al</t>
        </is>
      </c>
      <c r="B516" t="inlineStr">
        <is>
          <t>How to handle the stress of having a parent on a ventilator</t>
        </is>
      </c>
      <c r="C516" t="inlineStr">
        <is>
          <t>My mom started showing symptoms and tested positive about 10 days ago. She’s 59 years old and suffers from obesity and diabetes. She was fine and only had a fever and fatigue up until day 8 when she developed a cough. We tried to convince her to go to the hospital but she was adamant that she was feeling fine. Well fast forward to yesterday when we find her in her room delirious and barely-conscious. We rush her to the hospital against her wishes and the doctors tell us her oxygen saturation was at 60% and that she had pneumonia. She had to be put into a medically-induced coma so that she could be intubated and today she’s developed sepsis, but they’re now trying to treat her using Remdesivir. As the oldest son at home (21) I’m trying to bear the weight of this so that my dad, grandma, and two little brothers don’t have to. Just managing to keep a smile for them feels absolutely exhausting and I don’t know how else I can help them. I’m terrified of that phone call coming in telling us the worst outcome. Any tips on how to help manage this stress would be greatly appreciated! Thankfully no one else in my family is showing any symptoms, we just all feel extremely defeated because we feel we should’ve taken her to the hospital earlier, even if she refused.</t>
        </is>
      </c>
      <c r="D516" t="n">
        <v>2</v>
      </c>
      <c r="E516" t="n">
        <v>22</v>
      </c>
      <c r="F516">
        <f>HYPERLINK("https://www.reddit.com/r/COVID19positive/comments/g5l0al/how_to_handle_the_stress_of_having_a_parent_on_a/")</f>
        <v/>
      </c>
      <c r="G516" t="inlineStr">
        <is>
          <t>2020-04-21 11:45:24</t>
        </is>
      </c>
      <c r="H516" t="inlineStr">
        <is>
          <t>Tested Positive - Family</t>
        </is>
      </c>
    </row>
    <row r="517">
      <c r="A517" t="inlineStr">
        <is>
          <t>g5n7vg</t>
        </is>
      </c>
      <c r="B517" t="inlineStr">
        <is>
          <t>When did people get their sense of smell back?</t>
        </is>
      </c>
      <c r="C517" t="inlineStr">
        <is>
          <t>So I have most definitely had this, my mother has a confirmed test and we have been in the same household and I had all the symptoms. I lost my sense of smell during my symptoms, it was about 5 days into feeling bad, I’m recovered now, still a bit less lung capacity and run down, but my sense of smell seems completely gone? I’m on day 20 ish now and it’s not coming back I’m starting to freak out.</t>
        </is>
      </c>
      <c r="D517" t="n">
        <v>2</v>
      </c>
      <c r="E517" t="n">
        <v>9</v>
      </c>
      <c r="F517">
        <f>HYPERLINK("https://www.reddit.com/r/COVID19positive/comments/g5n7vg/when_did_people_get_their_sense_of_smell_back/")</f>
        <v/>
      </c>
      <c r="G517" t="inlineStr">
        <is>
          <t>2020-04-21 13:40:26</t>
        </is>
      </c>
      <c r="H517" t="inlineStr">
        <is>
          <t>Tested Positive - Family</t>
        </is>
      </c>
    </row>
    <row r="518">
      <c r="A518" t="inlineStr">
        <is>
          <t>g5oepk</t>
        </is>
      </c>
      <c r="B518" t="inlineStr">
        <is>
          <t>My Four Key Learnings from COVID</t>
        </is>
      </c>
      <c r="C518" t="inlineStr">
        <is>
          <t># MY FOUR KEY LEARNINGS FROM COVID
# It all felt so surreal.
My symptoms began in mid-March 2020 following an international flight back to the US via London. I have not experienced a flu or even a fever in 15 years, so something felt clearly different when within a few days of arrival, I was hit by multiple symptoms spread out over 2 weeks: cough, fever, body ache, diarrhea, an altered sense of smell and taste, and what not. With some difficulty, I was able to get a COVID-19 test which came back positive (after 8 days of waiting!). Later, my wife, who experienced a somewhat different set of symptoms, tested positive. Long story short, we were lucky to recover with relatively mild symptoms without taking special medications or a trip to the hospital… but it was not exactly a cakewalk.
I am not detailing my journey here as different people will have very different experiences, there are plenty of personal stories on the Internet, and I do not wish to bias you with my own. Rather, based on my experience and having read quite a bit of research and first-person accounts, I will share my key learnings as of mid-April 2020.
I assume you are quite familiar with the novel Coronavirus situation so I will not overly repeat the most common stuff you see in news articles.
**1. WE REALLY KNOW VERY LITTLE**
When I started to look for reliable information on COVID, I discovered that a lot about the novel Corona Virus is still unknown and experts are coming up with best guesses. Even the research is still preliminary. It is not clear why some people have mild symptoms while others end up on a ventilator. I learned that are many hypotheses premised on such things as viral load, blood group, age, gender, co-morbidities, immune conditions, and other vulnerabilities.
As you go through this maze, try to find out for yourself what is likely to be true, what is false, and what is a well-founded opinion. Consult reliable sources. However, do not automatically take authorities for granted, regardless of whether they are governments or health professionals. The situation and knowledge is changing all the time. Additional confusion is created by wild conspiracy theories, touted COVID cures (with mixed or little evidence), deliberate misinformation, and unfounded opinions and ideas.
&amp;gt;**Be healthily skeptical of all data, experts, news reports, forwarded messages, and opinions (including my own:))**
**2. COVID IS MYSTERIOUS AND UNPREDICTABLE**
The symptoms of COVID-19 are very diverse and vary widely in severity from mild to extreme. Not everyone will have fever or most of the symptoms. Some people will be asymptomatic. Some of the symptoms may be there one day but not the next. Some symptoms may happen suddenly. Some symptoms may last well over a month. You may feel good one day but symptoms may appear again after a few days. **There seems to be no uniform pattern.** (Even after full recovery, there is a period of time when one may not feel fully normal.) You should keep an eye on symptoms for a month or longer. 
&amp;gt;**There may be a need to question current CDC guidelines, which specify when to return to work.**
Everyone knows that if you are older or have other health conditions such as BP, Diabetes, Obesity, and Heart disease, you have to be very very careful of not catching COVID. However, even if you are relatively healthy or young, you should take all the precautions as there is a mystery to this disease. There are many theories but we still don't know why it strikes some young and healthy individuals severely or suddenly while others may not have realized they were infected. Moreover, a young person in a multi-generation/joint family could easily pass it on to elders.
**3. DON'T GO EASY ...**
We already know this disease is mysterious and unpredictable. However, even the mild symptoms of COVID are not as simple as experiencing the flu. Consistent with our experience and many first-person stories I read, even in cases that were mild, patients were physically and emotionally drained, while the severe cases could be fatal. Besides, not enough is known about long-term effects as well as potential immunity (how much?, how long?) after recovery. Tests for COVID are still not widely available. Many tests are not FDA approved but just authorized for emergency use, such as the one I got. Many tests suffer from a high rate of false negatives. Antibody tests are still unreliable (as of mid-April 2020). Some drugs appear promising but the evidence for their effectiveness is still preliminary.
&amp;gt;**YOUR goal should be to take precautions to NOT catch the disease, at least until reliable therapies, medicines, and vaccines are available.**
**4. THIS IS A TIME FOR CARING AND WISDOM**
Upon our return to the US, within a few days, we were pleasantly surprised and touched to see on my doorstep things we needed the most ... a box of wipes, some tissue, and a thermometer. What a simple touching act of care from our neighbor. A friend left some home-made food on our doorstep. A few friends friends who knew our situation stayed in touch. We had not informed many people so as not to alarm them. Physicians in our family and among friends were guides. My wife and I isolated ourselves in different rooms and took care of each other even as our children and family in different cities made sure we were doing okay.
In the face of so much pain from loss of life and livelihood, a fear and anxiety mentality has gripped the world. See if you can separate FACT from emotion. Fear should NOT prevent us from right action.
&amp;gt;**In other words, be "intelligently" cautious, not overly fearful, paranoid or paralyzed.**
Side by side, we are seeing all around us a sense of thankfulness for life and a respect for health workers and others who are at the front lines of this pandemic. **Can we act with compassion and understanding for others, even as we are dealing with our own fears?**
When locked down in one physical place, one can feel the need to connect with friends and family as well as the propensity to consume all manners of entertainment and streaming video. **However, can we also use this time to know oneself better and find what we really value in this world?** Can we meditate and connect with nature? with an inner stillness or divinity? Can reflection co-exist with entertainment?
For me, along with other things, COVID was a learning, witnessing opportunity - to watch fear, hope, anxiety, impatience, coping, scientific curiosity, and love in oneself and in the world.
The past month has been quite a journey.
# It still feels surreal.
*(Please feel free to forward or share.)*</t>
        </is>
      </c>
      <c r="D518" t="n">
        <v>4</v>
      </c>
      <c r="E518" t="n">
        <v>15</v>
      </c>
      <c r="F518">
        <f>HYPERLINK("https://www.reddit.com/r/COVID19positive/comments/g5oepk/my_four_key_learnings_from_covid/")</f>
        <v/>
      </c>
      <c r="G518" t="inlineStr">
        <is>
          <t>2020-04-21 14:44:10</t>
        </is>
      </c>
      <c r="H518" t="inlineStr">
        <is>
          <t>Tested Positive</t>
        </is>
      </c>
    </row>
    <row r="519">
      <c r="A519" t="inlineStr">
        <is>
          <t>g5r6ga</t>
        </is>
      </c>
      <c r="B519" t="inlineStr">
        <is>
          <t>Doubted I had it, then got tested positive. Here's how I felt/feel with COVID-19</t>
        </is>
      </c>
      <c r="C519" t="inlineStr">
        <is>
          <t xml:space="preserve"> 
Hey all
So i've been working from home for a month now, and around 2 weeks ago I started to feel really crappy. My lungs got tighter, a lot tighter, my whole body felt achey and i felt tired all the time.
I have asthma and i'm used to my lungs getting tighter and then using my inhalers to prevent and relieve it. Well those stopped working. I called my GP and got prescribed antibiotics, as it had a similar feeling to a chest infection, which i've had a few times before. My GP suggested at that point that I have a few Coronavirus Symptoms and should self-isolate for 7 days.
I started taking antibiotics and again noticed no difference whatsoever.
My partner works in care, and her employer arranged for us to go get tested. Wierdly, she was not allowed to get tested as she has zero symptoms, despite her living in the same house as me. I got tested; for those who don't know, the test (for me, in the UK) was a long swab that goes down to the back of your throat twice, followed by a swap up the nose.
3 days later I got my results via Text Message (which is still really odd to me!), I tested POSITIVE!
I was quite shocked by it at first, I didn't know what to think, i told my parents and some of my friends that were already worried about me.
Some of my symptoms have included:  
\- Dizziness  
\- A "pressurised" feeling head, kinda like sinus pain  
\- Light headedness  
\- Aching body  
\- Tight lungs/shortness of breath  
\- High temperature feelings  
\- Gross, phlegmmy coughs (ew)  
\- On/Off loss of smell/taste  
\- On/Off wierd taste/smells lingering
I had all of these at the same time, and wow i've never felt so bad. Last night I was feeling immense pressure in my face/head, and felt weak and wobbly, it was quite scary.
However I woke up this morning and feel improved, after 14 days of feeling terrible. I'm not 100% and hopefully it'll continue to improve.
It's not clear to me what i'm supposed to do. I called my GP again and told them the news, they basically said to just keep an eye on my breathing, if it gets to a point where i'm struggling I just need to call an ambulance. Scary thoughts!
Anyways, there's my story so far. Hope I make it through, seems to be OK so far.</t>
        </is>
      </c>
      <c r="D519" t="n">
        <v>0</v>
      </c>
      <c r="E519" t="n">
        <v>37</v>
      </c>
      <c r="F519">
        <f>HYPERLINK("https://www.reddit.com/r/COVID19positive/comments/g5r6ga/doubted_i_had_it_then_got_tested_positive_heres/")</f>
        <v/>
      </c>
      <c r="G519" t="inlineStr">
        <is>
          <t>2020-04-21 17:27:35</t>
        </is>
      </c>
      <c r="H519" t="inlineStr">
        <is>
          <t>Tested Positive - Me</t>
        </is>
      </c>
    </row>
    <row r="520">
      <c r="A520" t="inlineStr">
        <is>
          <t>g5ta9r</t>
        </is>
      </c>
      <c r="B520" t="inlineStr">
        <is>
          <t>My father's story of Covid-19</t>
        </is>
      </c>
      <c r="C520" t="inlineStr">
        <is>
          <t>I hope this is appropriate for this channel. Covid-19 has impacted my family heavily. This video goes over his process of trying to get a test.
https://youtu.be/vv0saLsYUws</t>
        </is>
      </c>
      <c r="D520" t="n">
        <v>1</v>
      </c>
      <c r="E520" t="n">
        <v>2</v>
      </c>
      <c r="F520">
        <f>HYPERLINK("https://www.reddit.com/r/COVID19positive/comments/g5ta9r/my_fathers_story_of_covid19/")</f>
        <v/>
      </c>
      <c r="G520" t="inlineStr">
        <is>
          <t>2020-04-21 19:50:43</t>
        </is>
      </c>
      <c r="H520" t="inlineStr">
        <is>
          <t>Tested Positive - Family</t>
        </is>
      </c>
    </row>
    <row r="521">
      <c r="A521" t="inlineStr">
        <is>
          <t>g5tsgn</t>
        </is>
      </c>
      <c r="B521" t="inlineStr">
        <is>
          <t>Slack group with many similar stories</t>
        </is>
      </c>
      <c r="C521" t="inlineStr">
        <is>
          <t>There's a Slack support group of over 1400 people with likely COVID that has been invaluable to me. Many of them have had it for 30+ days.
Sign up is here: https://docs.google.com/forms/d/e/1FAIpQLScM2EeJhgisTUdo5Op6euyx1PYu8O-aNeDVYhXuPFa_Gs9PnQ/viewform</t>
        </is>
      </c>
      <c r="D521" t="n">
        <v>1</v>
      </c>
      <c r="E521" t="n">
        <v>4</v>
      </c>
      <c r="F521">
        <f>HYPERLINK("https://www.reddit.com/r/COVID19positive/comments/g5tsgn/slack_group_with_many_similar_stories/")</f>
        <v/>
      </c>
      <c r="G521" t="inlineStr">
        <is>
          <t>2020-04-21 20:26:38</t>
        </is>
      </c>
      <c r="H521" t="inlineStr">
        <is>
          <t>Tested Positive - Me</t>
        </is>
      </c>
    </row>
    <row r="522">
      <c r="A522" t="inlineStr">
        <is>
          <t>g5vdkq</t>
        </is>
      </c>
      <c r="B522" t="inlineStr">
        <is>
          <t>Worried</t>
        </is>
      </c>
      <c r="C522" t="inlineStr">
        <is>
          <t>Tested positive on the 21st, got isolated in the hospital for 14 days and tested negative on the 8th of April. These past few days, my body has been heaty. Last i checked my temperature was 37.4. Really worried its come back. Should i get tested again?</t>
        </is>
      </c>
      <c r="D522" t="n">
        <v>1</v>
      </c>
      <c r="E522" t="n">
        <v>4</v>
      </c>
      <c r="F522">
        <f>HYPERLINK("https://www.reddit.com/r/COVID19positive/comments/g5vdkq/worried/")</f>
        <v/>
      </c>
      <c r="G522" t="inlineStr">
        <is>
          <t>2020-04-21 22:29:16</t>
        </is>
      </c>
      <c r="H522" t="inlineStr">
        <is>
          <t>Tested Positive - Me</t>
        </is>
      </c>
    </row>
    <row r="523">
      <c r="A523" t="inlineStr">
        <is>
          <t>g5vqtr</t>
        </is>
      </c>
      <c r="B523" t="inlineStr">
        <is>
          <t>When will the symptoms go away? Its been 5 and a half weeks.</t>
        </is>
      </c>
      <c r="C523" t="inlineStr">
        <is>
          <t>Hello, it has been 5 and a half weeks since I have started showing symptoms for COVID. I never got respiratory issues but I have bad body aches, fatigue, digestive problems, and lack of smell/taste. After 2 weeks the fatigue, attitude, and fever got better. However to this day, I am still having body aches and a lack of smell/taste. When will these symptoms go away? 5 and a half weeks seems like a long time.
My smell and taste and still gone and my lymph nodes hurt around the body. The body aches are the most prominent symptoms. I am better than I was a few weeks ago, but I am getting tired of not much change per day.
People who are in my family who had the virus have recovered within 3 weeks. Why am I taking so long? Is this permanent?</t>
        </is>
      </c>
      <c r="D523" t="n">
        <v>1</v>
      </c>
      <c r="E523" t="n">
        <v>10</v>
      </c>
      <c r="F523">
        <f>HYPERLINK("https://www.reddit.com/r/COVID19positive/comments/g5vqtr/when_will_the_symptoms_go_away_its_been_5_and_a/")</f>
        <v/>
      </c>
      <c r="G523" t="inlineStr">
        <is>
          <t>2020-04-21 23:01:09</t>
        </is>
      </c>
      <c r="H523" t="inlineStr">
        <is>
          <t>Tested Positive - Me</t>
        </is>
      </c>
    </row>
    <row r="524">
      <c r="A524" t="inlineStr">
        <is>
          <t>g5w09n</t>
        </is>
      </c>
      <c r="B524" t="inlineStr">
        <is>
          <t>Is anyone else having tooth pain?</t>
        </is>
      </c>
      <c r="C524" t="inlineStr">
        <is>
          <t>I’m (29F) positive with a very mild case of CV19 since April 4th. All of my symptoms, which made me get tested, went away within the first week, but my mouth has done nothing but hurt the entire time. Reading this thread there are so many different symptoms, I’m not sure if this is one or I just need to see a dentist. Has anyone else been experiencing mouth pain?</t>
        </is>
      </c>
      <c r="D524" t="n">
        <v>1</v>
      </c>
      <c r="E524" t="n">
        <v>14</v>
      </c>
      <c r="F524">
        <f>HYPERLINK("https://www.reddit.com/r/COVID19positive/comments/g5w09n/is_anyone_else_having_tooth_pain/")</f>
        <v/>
      </c>
      <c r="G524" t="inlineStr">
        <is>
          <t>2020-04-21 23:23:43</t>
        </is>
      </c>
      <c r="H524" t="inlineStr">
        <is>
          <t>Tested Positive - Me</t>
        </is>
      </c>
    </row>
    <row r="525">
      <c r="A525" t="inlineStr">
        <is>
          <t>g5wcdz</t>
        </is>
      </c>
      <c r="B525" t="inlineStr">
        <is>
          <t>Dad update</t>
        </is>
      </c>
      <c r="C525" t="inlineStr">
        <is>
          <t>We are still awaiting plasma for my father. Doctor notified me today what was going on with the delivery and it seems they had only just enrolled 5 people including my dad in the plasma trial. Even though they are awaiting it from UT Southwestern in Dallas, he said plasma gets sent out to other cities which could be why they haven’t received it yet. I hope my Dad fights til it gets here. Doctor was able to wake him up a bit from sedation, apparently its an attempt to see if he’s “there”. Seems to be and I’m glad, their next goal is to see how much they can attempt to wean him off. He still remains under though. A few days ago he had his lungs collapse, both of them. They aren’t too concerned because it can still be recovered from and they have tubes to help his lungs out. I love my dad so much and I can see/ sense him fighting. Doctor said he was amazed that he’s come this far with his organs (besides his lungs) still properly working and vitals being stable. I hope everyone can donate plasma if they have recovered, because they are really saving lives and i hope it saves my dad’s!!! I “talked” to my dad the other night too. The nurse is able to place me on speaker and I always tell him that I’m here and that the doctors and I are taking care of him. That he will be okay and I’m always thinking of him. This post was so badly put together, apologies! Thank you for everyone who is following.</t>
        </is>
      </c>
      <c r="D525" t="n">
        <v>1</v>
      </c>
      <c r="E525" t="n">
        <v>22</v>
      </c>
      <c r="F525">
        <f>HYPERLINK("https://www.reddit.com/r/COVID19positive/comments/g5wcdz/dad_update/")</f>
        <v/>
      </c>
      <c r="G525" t="inlineStr">
        <is>
          <t>2020-04-21 23:53:12</t>
        </is>
      </c>
      <c r="H525" t="inlineStr">
        <is>
          <t>Tested Positive - Family</t>
        </is>
      </c>
    </row>
    <row r="526">
      <c r="A526" t="inlineStr">
        <is>
          <t>g5xl4c</t>
        </is>
      </c>
      <c r="B526" t="inlineStr">
        <is>
          <t>Husband tested positive for antibodies and I didn’t, how is this possible?</t>
        </is>
      </c>
      <c r="C526" t="inlineStr">
        <is>
          <t>Are some people just naturally immune and won’t contract the disease despite direct exposure?
I was sure that my husband had a very mild case of COVID-19 starting about 5 or 6 weeks ago and still with lingering symptoms. He couldn’t get tested bc his symptoms weren’t textbook. He’s in a job where he has a lot of exposure to potentially infected people. It started with mild congestion that wouldn’t go away and then he completely lost his smell and taste. That symptom has been almost a month now and he’s starting a little to get it back. Today we both took the CoronaChek antibody test (I know there are efficacy concerns but I feel his was at least accurate based on above info) and he was positive for Igg antibodies and I was negative. We sleep together, are intimate, touch all the same surfaces, etc. How is it possible that I was negative if this virus is apparently incredibly contagious? Any ideas?</t>
        </is>
      </c>
      <c r="D526" t="n">
        <v>1</v>
      </c>
      <c r="E526" t="n">
        <v>26</v>
      </c>
      <c r="F526">
        <f>HYPERLINK("https://www.reddit.com/r/COVID19positive/comments/g5xl4c/husband_tested_positive_for_antibodies_and_i/")</f>
        <v/>
      </c>
      <c r="G526" t="inlineStr">
        <is>
          <t>2020-04-22 01:45:26</t>
        </is>
      </c>
      <c r="H526" t="inlineStr">
        <is>
          <t>Tested Positive - Family</t>
        </is>
      </c>
    </row>
    <row r="527">
      <c r="A527" t="inlineStr">
        <is>
          <t>g5zx1c</t>
        </is>
      </c>
      <c r="B527" t="inlineStr">
        <is>
          <t>Day 34 update.</t>
        </is>
      </c>
      <c r="C527" t="inlineStr">
        <is>
          <t>Thought I was actually over he hump yesterday.  Lungs felt clear and first day without lung breathing issues.  Also head cleared up.  Felt better.  Also stopped having blood pressure swings.
Then I developed what seem to be chest related breathing issues, yesterday afternoon. Feel fine standing, ok sitting, can’t breath at all laying down, have to prop up.  Also some weird pains in my body, legs stomach and maybe bladder.
Went to er again, said they checked my blood last week, so didn’t need to check again, X-ray lungs heart and had ekg.  Vitals normals,  said I was fine then I went home.  Hopefully it’s nothing serious and it’ll clear up, all my symptoms seem to change, I feel like I’m getting better, maybe this is one of the last ones?  Is weird starting new issues at 33 though have to say.</t>
        </is>
      </c>
      <c r="D527" t="n">
        <v>1</v>
      </c>
      <c r="E527" t="n">
        <v>11</v>
      </c>
      <c r="F527">
        <f>HYPERLINK("https://www.reddit.com/r/COVID19positive/comments/g5zx1c/day_34_update/")</f>
        <v/>
      </c>
      <c r="G527" t="inlineStr">
        <is>
          <t>2020-04-22 05:05:08</t>
        </is>
      </c>
      <c r="H527" t="inlineStr">
        <is>
          <t>Tested Positive</t>
        </is>
      </c>
    </row>
    <row r="528">
      <c r="A528" t="inlineStr">
        <is>
          <t>g603ge</t>
        </is>
      </c>
      <c r="B528" t="inlineStr">
        <is>
          <t>Donating plasma/low hemoglobin. How do I get my iron up by the next appt?</t>
        </is>
      </c>
      <c r="C528" t="inlineStr">
        <is>
          <t>I went to New York Blood Center on the 17th to donate convalescent plasma.  I was unable to do so because my hemoglobin was low.  I'm a woman, so its supposed to be 12.5 in order to donate.  It was 11, and then when they repeated the test 10.5, so they sent me home.  I was really bummed. Im in NYC and have seen so many people die that I'm really desperate to help.  
However, I have been a vegetarian for 35 years so being anemic isn't new to me.  It's never affected my life or anything I wanted to do until now.  
I have another appointment on the 27th and need to get my iron up fast.  Ive been taking an iron pill very day, eating a lot of spinach and dried apricots.  Using my cast iron pan more than usual (supposedly that helps).  
Any other ideas?</t>
        </is>
      </c>
      <c r="D528" t="n">
        <v>1</v>
      </c>
      <c r="E528" t="n">
        <v>21</v>
      </c>
      <c r="F528">
        <f>HYPERLINK("https://www.reddit.com/r/COVID19positive/comments/g603ge/donating_plasmalow_hemoglobin_how_do_i_get_my/")</f>
        <v/>
      </c>
      <c r="G528" t="inlineStr">
        <is>
          <t>2020-04-22 05:18:25</t>
        </is>
      </c>
      <c r="H528" t="inlineStr">
        <is>
          <t>Tested Positive - Me</t>
        </is>
      </c>
    </row>
    <row r="529">
      <c r="A529" t="inlineStr">
        <is>
          <t>g60l44</t>
        </is>
      </c>
      <c r="B529" t="inlineStr">
        <is>
          <t>does advil really aggravate the virus</t>
        </is>
      </c>
      <c r="C529" t="inlineStr">
        <is>
          <t>i drink one last week for my headache symptom and now i feel like shit. my sibling didnt take one and they don’t have the symptoms.</t>
        </is>
      </c>
      <c r="D529" t="n">
        <v>1</v>
      </c>
      <c r="E529" t="n">
        <v>4</v>
      </c>
      <c r="F529">
        <f>HYPERLINK("https://www.reddit.com/r/COVID19positive/comments/g60l44/does_advil_really_aggravate_the_virus/")</f>
        <v/>
      </c>
      <c r="G529" t="inlineStr">
        <is>
          <t>2020-04-22 05:54:31</t>
        </is>
      </c>
      <c r="H529" t="inlineStr">
        <is>
          <t>Tested Positive - Family</t>
        </is>
      </c>
    </row>
    <row r="530">
      <c r="A530" t="inlineStr">
        <is>
          <t>g6213r</t>
        </is>
      </c>
      <c r="B530" t="inlineStr">
        <is>
          <t>Just got diagnosed with pneumonia today, need words of encouragement</t>
        </is>
      </c>
      <c r="C530" t="inlineStr">
        <is>
          <t>Thought I was getting better, but the breathing is still difficult. Went to urgent care for some Xrays where they found pneumonia in both my lungs. I’m crying and I’m so scared. They’re not sending me to the hospital but said to keep watch of my O2 if it drops below 95 (it’s been close). I really need some words of encouragement. My fever has been down but when I heard of the pneumonia I just started breaking down in my brothers car. This is the toughest thing I’ve ever dealt with and I’m a typically healthy 29 year old male. 
Please, someone just share good news......</t>
        </is>
      </c>
      <c r="D530" t="n">
        <v>2</v>
      </c>
      <c r="E530" t="n">
        <v>61</v>
      </c>
      <c r="F530">
        <f>HYPERLINK("https://www.reddit.com/r/COVID19positive/comments/g6213r/just_got_diagnosed_with_pneumonia_today_need/")</f>
        <v/>
      </c>
      <c r="G530" t="inlineStr">
        <is>
          <t>2020-04-22 07:25:30</t>
        </is>
      </c>
      <c r="H530" t="inlineStr">
        <is>
          <t>Tested Positive - Me</t>
        </is>
      </c>
    </row>
    <row r="531">
      <c r="A531" t="inlineStr">
        <is>
          <t>g64486</t>
        </is>
      </c>
      <c r="B531" t="inlineStr">
        <is>
          <t>A post for people looking for more positive stories/reassurance</t>
        </is>
      </c>
      <c r="C531" t="inlineStr">
        <is>
          <t>Hello everyone,
I recently was positive for COVID. I am a 26 year old male and I was exposed on 3/29/20 and I haven't had symptoms for the last 15-ish days so I am pretty sure I am in the clear. Myself and my extended family got exposed. When I was researching on here, all I could find were doom and gloom stories about people on day 30 and day 40 etc. and it would spike my anxiety (I have bad anxiety). You guys can check my post history. I was a nervous wreck! 
Heres the thing: STOP RESEARCHING and looking on these subreddits. It is a small population of people that are getting the worst of the "mild" cases. I came back on here because I wanted to post and make people realize it isn't as bad as every story. People who usually are fine and recover do not post about their recoveries on reddit. They just go about their life. Each person is different.
My uncle is in his early 60s. His case was severe in the sense that he had to go to the hospital to get oxygen for 10 days. My aunt also was positive and she had a 100-102 fever and a slight cough for 4-5 days and thats it. My elder cousin who is 34 got it and he had GI symptoms and 101-102 temperature for 4-5 days. My other cousin who is 28 just lost his sense of smell/taste for 5 days. I had a low grade fever and extreme fatigue for 5 days and then it went away. NO cough or SOB. HOWEVER, if you see from my post history, my anxiety was fueling my "SOB". I have a history of anxiety and I have been taking medication for it. Therefore, I could tell the difference. I am NOT trying to minimize what others are going through. All I am trying to do is to post more positive, reassuring stories for the people on this sub that are struggling or are on that day 40 and need to see something that is optimistic. My uncle has diabetes and my aunt has hypertension and now they are fine. We're all fine (my anxiety has sky-rocketed but thats a different story)
The moral of the story is stop researching on any sub-reddit. Get off the news/social media. Delete the apps off your phone if it is really bothering you. Stress makes things worse. Try and surround yourself with positivity. Facetime family/friends, watch a funny show, meditate, etc. Whatever works for you. Your mental health is just as important. Your case may end up being very mild which was what happened to 4 of the 5 family members in my life. 
&amp;amp;#x200B;
Thank you guys. Again, this was not to attack anyone. I get it. I work in an ER. I know the severity of this thing, but I also know of many cases in which it is just very mild. I just wanted to shine some light during these trying times.</t>
        </is>
      </c>
      <c r="D531" t="n">
        <v>14</v>
      </c>
      <c r="E531" t="n">
        <v>110</v>
      </c>
      <c r="F531">
        <f>HYPERLINK("https://www.reddit.com/r/COVID19positive/comments/g64486/a_post_for_people_looking_for_more_positive/")</f>
        <v/>
      </c>
      <c r="G531" t="inlineStr">
        <is>
          <t>2020-04-22 09:20:04</t>
        </is>
      </c>
      <c r="H531" t="inlineStr">
        <is>
          <t>Tested Positive - Me</t>
        </is>
      </c>
    </row>
    <row r="532">
      <c r="A532" t="inlineStr">
        <is>
          <t>g64ew6</t>
        </is>
      </c>
      <c r="B532" t="inlineStr">
        <is>
          <t>Horrible body aches</t>
        </is>
      </c>
      <c r="C532" t="inlineStr">
        <is>
          <t>I am a week and a half  into my diagnosis (test was negative but hospital ignored the negative as a false negative and counted me as positive). For two days now I've had some horrible body aches with headaches. Drinking water thinking it was dehydration doesn't help, and Tylenol doesn't help. I don't have a fever and haven't had one in about a week. I would take a warm bath or shower but for some reason my body won't sweat and I continue to feel like I am heating up. 
What did you guys do to help get past these horrible aches? It feels like every single joint and muscle did an ultra-marathon.</t>
        </is>
      </c>
      <c r="D532" t="n">
        <v>2</v>
      </c>
      <c r="E532" t="n">
        <v>8</v>
      </c>
      <c r="F532">
        <f>HYPERLINK("https://www.reddit.com/r/COVID19positive/comments/g64ew6/horrible_body_aches/")</f>
        <v/>
      </c>
      <c r="G532" t="inlineStr">
        <is>
          <t>2020-04-22 09:36:27</t>
        </is>
      </c>
      <c r="H532" t="inlineStr">
        <is>
          <t>Tested Positive - Me</t>
        </is>
      </c>
    </row>
    <row r="533">
      <c r="A533" t="inlineStr">
        <is>
          <t>g66cal</t>
        </is>
      </c>
      <c r="B533" t="inlineStr">
        <is>
          <t>Do you have GI issues? Day 41, new problems</t>
        </is>
      </c>
      <c r="C533" t="inlineStr">
        <is>
          <t>I read the pinned tweet by Brennan Spiegel, Prof of Medicine and Ed in Chief of Am J of Gastroenterology, re Covid and the gut and folks stool is testing as positive after other symptoms passed (and some only exhibiting digestive issues related to covid). https://twitter.com/BrennanSpiegel/status/1246583348400500737?s=19
I've been having severe gastro issues going on 2 weeks after most other symptoms have passed (other than fatigue and vocal issues) and wondering if others are experiencing the same. Food passes right through me, almost immediately after eating. I have always thought I had mild IBS and thought I triggered something but reading some medical tweets have me thinking it could be covid related. He is a good follow if you're interested in learning more about this. This tweet is pinned with a video explaining digestive symptoms patients are experiencing.</t>
        </is>
      </c>
      <c r="D533" t="n">
        <v>2</v>
      </c>
      <c r="E533" t="n">
        <v>11</v>
      </c>
      <c r="F533">
        <f>HYPERLINK("https://www.reddit.com/r/COVID19positive/comments/g66cal/do_you_have_gi_issues_day_41_new_problems/")</f>
        <v/>
      </c>
      <c r="G533" t="inlineStr">
        <is>
          <t>2020-04-22 11:19:53</t>
        </is>
      </c>
      <c r="H533" t="inlineStr">
        <is>
          <t>Tested Positive - Me</t>
        </is>
      </c>
    </row>
    <row r="534">
      <c r="A534" t="inlineStr">
        <is>
          <t>g66l0c</t>
        </is>
      </c>
      <c r="B534" t="inlineStr">
        <is>
          <t>Question for those of us who are confirmed positive and experiencing symptoms 30+ days out. Are you still testing positive?</t>
        </is>
      </c>
      <c r="C534" t="inlineStr">
        <is>
          <t>I’m hoping to understand for those of us with lingering symptoms if the virus is still detectable in a test or if symptoms linger after we’ve “recovered”
[View Poll](https://www.reddit.com/poll/g66l0c)</t>
        </is>
      </c>
      <c r="D534" t="n">
        <v>2</v>
      </c>
      <c r="E534" t="n">
        <v>5</v>
      </c>
      <c r="F534">
        <f>HYPERLINK("https://www.reddit.com/r/COVID19positive/comments/g66l0c/question_for_those_of_us_who_are_confirmed/")</f>
        <v/>
      </c>
      <c r="G534" t="inlineStr">
        <is>
          <t>2020-04-22 11:32:31</t>
        </is>
      </c>
      <c r="H534" t="inlineStr">
        <is>
          <t>Tested Positive - Me</t>
        </is>
      </c>
    </row>
    <row r="535">
      <c r="A535" t="inlineStr">
        <is>
          <t>g6716b</t>
        </is>
      </c>
      <c r="B535" t="inlineStr">
        <is>
          <t>is ear ache one of symptoms of covid19?</t>
        </is>
      </c>
      <c r="C535" t="inlineStr">
        <is>
          <t>I have a friend who is most likely infected .On  saturday when i met him to help him with his studies, he only had headache and he thought it is because he studied between 9am to 4pm. and i met him around 5:30pm.  and after that he started coughing and had fever. he didndt have fever today but only felt kinda low in energy and no smell. and since yesterday i am having pain in my ears and pressure too. and it is both my ears. today only left ear is having more ache and feels like warm too. I am wondering if it is first symptoms of corona? I don't have fever but have tickling trachea and it gets better by either coughing or clearing throat. thanks in advance</t>
        </is>
      </c>
      <c r="D535" t="n">
        <v>2</v>
      </c>
      <c r="E535" t="n">
        <v>17</v>
      </c>
      <c r="F535">
        <f>HYPERLINK("https://www.reddit.com/r/COVID19positive/comments/g6716b/is_ear_ache_one_of_symptoms_of_covid19/")</f>
        <v/>
      </c>
      <c r="G535" t="inlineStr">
        <is>
          <t>2020-04-22 11:56:45</t>
        </is>
      </c>
      <c r="H535" t="inlineStr">
        <is>
          <t>Tested Positive - Friends</t>
        </is>
      </c>
    </row>
    <row r="536">
      <c r="A536" t="inlineStr">
        <is>
          <t>g67kyp</t>
        </is>
      </c>
      <c r="B536" t="inlineStr">
        <is>
          <t>Symptoms Started 24/03, M, 27</t>
        </is>
      </c>
      <c r="C536" t="inlineStr">
        <is>
          <t>I wasn’t going to post on this subreddit until I had recovered but have decided to do it now to hopefully help others in similar situation and for any advice people can provide.
Some details about me I’m 27 Male, Normal BMI with no known underlying conditions, blood type O+ and presumed positive from GP and hospital. I have been off work the entire time resting and trying to recover. I will list my symptoms by week but just to say that a lot of these symptoms have been on and off as most people have experienced. I also want to say I do believe my symptoms have been on the mild end (apart from somethings which I will explain) and I haven’t had a prolonged stay in hospital.
Week 1: Symptoms started 24th March with an ‘off’ feeling most of the day and then a fever kicked in by the evening. Cough was very light at this point and only happening few times a day. I was shivering at points and also some SoB but not too significant. I also had a deep burning sensation in lungs felt like a furnace in there. Light nosebleed noticed as well which cleared week 2.
Towards end of week I also developed loss of appetite for about 4-5 days but can’t remember losing taste/smell. On the third/fourth day I seemed to take turn for the worst, initially lying in bed trying to sleep I got an intense tingling through hands and eventually face, breathing became very laboured and intense tight chest, almost fainted. This was obviously me hyperventilating but was very scary at the time as I have never suffered from anxiety/panic attacks before. An ambulance arrived on this day and apart from tachycardia everything ok. Unfortunately next morning at 5am woke again felt bad and another episode of hyperventilating and was asked to attend hospital. After a couple hours I mostly recovered, x ray, ECG fine and bloods all ok expect slightly high calcium. 
Week 2: Into week 2 I continued to have fever, loss of appetite and slight SoB. At this point I started to feel ok at very brief intervals but still felt generally unwell, was also having very vivid dreams and dry mouth waking up. Towards end of week shakes came back and gained aches in neck and around body along with weakness and fatigue. I also had one weird symptom with vision called an ocular migraine with no pain, very odd. Gained appetite by end of week too.
Week 3: Fever seemed to break this week. Had similar symptoms to week 2 but had larger periods of feeling better in between worse symptoms but still not great. This week however I gained diarrhoea for a few days with about a week of gurgling in abdomen beforehand so I expected this was coming. Cough weirdly became a bit worse but not significantly, it felt the cough was vibrating my chest more. I noticed this week more intermittent aches in chest and that my heart rate would increase very easily and would take a while to settle. This week I also had some worsening dizziness but would subside by end of day. 
Week 4: Felt some improvement start of the week but dipped towards end, one day I had very painful neck and back but lasted just a day at that intensity. My intermittent cough was still chesty and I started to notice my extremities, particularly my hands, getting easily cold and red finger tips. Heart palpitations are continuing as well. I also woke up early in morning this week with abdomen pains in left side but this lasted just two nights. My GP this week requested I get another set of bloods and observations done, these came back fine again, just a test called MCHC was slightly high (anemia? Not sure). I also noticed this week I was having slight muscle twitching, and light trembling in body and right arm but these symptoms do not last long or not noticeable most of the time. 
My worst day since week 1 happened Monday towards the end of this week. I had felt probably the best I’ve felt in the morning and coming inside from the garden in the evening I suddenly got very cold, several minutes later I felt just very ‘unwell’ then my heart rate shot up to about 130bpm and was struggling, after about 15 minutes I’d say I started hyperventilating again! This time I felt more in control, but still going tingly and tight/crushing chest. My girlfriend decided to call 111 again and we waited for a callback from a doctor. In this time I become very hot and then this dropped off and I felt cool, I was shaking more then I have before and was very scared but trying to stay calm. The doctor called back after an hour and still no improvement in heart rate, so I was sent back to the hospital. Xray and ECG done again with just tachycardia picked up on. My heart rate stayed +100bpm for probably over 3 hours. I had bloods done again and was told something that indicates my body was fighting something was marginally high but no concern. They also said lactate was high and was given IV fluids (still concerned about this). Very late at this point so I didn’t get much information from doctor but was eventually discharged with no explanation so I believe they put it down to anxiety/panic attack but I’m not sure at this point. 
Week 5: The next morning felt pretty bad and lost appetite again but only for breakfast. I feel worse last couple days then most of the last week and maybe even week before. Breathing feels more laboured then I’ve felt also. I have tried to increase my movements this week by going for some short walks as I don’t think it’s doing me any good sitting and lying down for past 4 weeks. 
I’ve bound to have missed some symptoms but thats were I am today, thought I was over this but things keep coming back but I do feel on a slightly upward trend I guess. My heart rate and cold extremities are probably concerning me the most and the big step back I took on Monday, can definitely feel more aches and pain in chest/ribs and abdomen now also, very disheartening :(
Sorry for the lengthy post but appreciate it if you have read it. I have felt better each week but just sometimes comes with big setbacks. Another few points, I got an oximeter around week 3 which has helped keep an eye on things, oxygen seems to fluctuate but never went below 97, I’d recommend getting one if you can. I’m also very aware that some of my symptoms could be caused by anxiety and I hope some of these symptoms are but as I have never suffered with it before its hard to believe its causing what I’m experiencing. 
I really don’t know if I’m still having covid symptoms or have I gained something new but I’m hoping I can keep improving and will update to hopefully be another recovered story soon. Thank to all for your updates on this subreddit and your support to everyone.</t>
        </is>
      </c>
      <c r="D536" t="n">
        <v>4</v>
      </c>
      <c r="E536" t="n">
        <v>20</v>
      </c>
      <c r="F536">
        <f>HYPERLINK("https://www.reddit.com/r/COVID19positive/comments/g67kyp/symptoms_started_2403_m_27/")</f>
        <v/>
      </c>
      <c r="G536" t="inlineStr">
        <is>
          <t>2020-04-22 12:26:20</t>
        </is>
      </c>
      <c r="H536" t="inlineStr">
        <is>
          <t>Tested Positive - Me</t>
        </is>
      </c>
    </row>
    <row r="537">
      <c r="A537" t="inlineStr">
        <is>
          <t>g67oi2</t>
        </is>
      </c>
      <c r="B537" t="inlineStr">
        <is>
          <t>Don't know what to think anymore. Tested negative then positive. Symptoms free</t>
        </is>
      </c>
      <c r="C537" t="inlineStr">
        <is>
          <t>My story is that I'm a 29M italian guy:
09/03 -&amp;gt; dry cough;
10/03 -&amp;gt; fever;
13/03 -&amp;gt; diarrhoea;
18/03 -&amp;gt; hospitalized because of high fever;
19/03 -&amp;gt; tested positive  at the hospital;
20/03 -&amp;gt; sent back home because mild symptoms;
21/03 -&amp;gt; fever went away;
27/03 -&amp;gt; dry cough went away;
08/04 -&amp;gt; diarrhoea gets better;
09/04 -&amp;gt; tested negative (my hope rises so high);
17/04 -&amp;gt; tested positive WTF!!!!
I will have another test next week and now I'm pretty much symptoms free but how can this happen first negative then positive.
How can I be positive if I feel back to normal ?
Will this ever go away?</t>
        </is>
      </c>
      <c r="D537" t="n">
        <v>2</v>
      </c>
      <c r="E537" t="n">
        <v>20</v>
      </c>
      <c r="F537">
        <f>HYPERLINK("https://www.reddit.com/r/COVID19positive/comments/g67oi2/dont_know_what_to_think_anymore_tested_negative/")</f>
        <v/>
      </c>
      <c r="G537" t="inlineStr">
        <is>
          <t>2020-04-22 12:31:39</t>
        </is>
      </c>
      <c r="H537" t="inlineStr">
        <is>
          <t>Tested Positive - Me</t>
        </is>
      </c>
    </row>
    <row r="538">
      <c r="A538" t="inlineStr">
        <is>
          <t>g67w9n</t>
        </is>
      </c>
      <c r="B538" t="inlineStr">
        <is>
          <t>Day 37 and it feels never ending</t>
        </is>
      </c>
      <c r="C538" t="inlineStr">
        <is>
          <t>After weeks of on and off symptoms (lately mostly a persistent low grade fever and sweats and chills), I’ve completely relapsed. Symptoms began on March 17 and couldn’t get a test until April 8th. As I sit here feverishly sweating, my body shaking and more. It feels like I’m at day 1 again. I am finally getting a chest X-ray and another test done tomorrow but I don’t wish this on anyone. The longevity of it has been one of the worst for my mental health. While I’m glad I’m not hospital bound, very few people are aware of the many who are battling this over for over a month. This virus is a beast. Don’t let anyone else make you think otherwise.</t>
        </is>
      </c>
      <c r="D538" t="n">
        <v>4</v>
      </c>
      <c r="E538" t="n">
        <v>25</v>
      </c>
      <c r="F538">
        <f>HYPERLINK("https://www.reddit.com/r/COVID19positive/comments/g67w9n/day_37_and_it_feels_never_ending/")</f>
        <v/>
      </c>
      <c r="G538" t="inlineStr">
        <is>
          <t>2020-04-22 12:43:14</t>
        </is>
      </c>
      <c r="H538" t="inlineStr">
        <is>
          <t>Tested Positive - Me</t>
        </is>
      </c>
    </row>
    <row r="539">
      <c r="A539" t="inlineStr">
        <is>
          <t>g684ve</t>
        </is>
      </c>
      <c r="B539" t="inlineStr">
        <is>
          <t>Damn Rash</t>
        </is>
      </c>
      <c r="C539" t="inlineStr">
        <is>
          <t>When I first got sick I got a rash on the back of my hands, tiny tiny clear blisters. Now that I am recovering I have the damn rash on my face and side of my neck and up behind my ears. What the hell?!</t>
        </is>
      </c>
      <c r="D539" t="n">
        <v>1</v>
      </c>
      <c r="E539" t="n">
        <v>13</v>
      </c>
      <c r="F539">
        <f>HYPERLINK("https://www.reddit.com/r/COVID19positive/comments/g684ve/damn_rash/")</f>
        <v/>
      </c>
      <c r="G539" t="inlineStr">
        <is>
          <t>2020-04-22 12:56:14</t>
        </is>
      </c>
      <c r="H539" t="inlineStr">
        <is>
          <t>Tested Positive - Me</t>
        </is>
      </c>
    </row>
    <row r="540">
      <c r="A540" t="inlineStr">
        <is>
          <t>g68fnn</t>
        </is>
      </c>
      <c r="B540" t="inlineStr">
        <is>
          <t>Does Zinc really help? Please answer if you have benefitted or have seen no difference!</t>
        </is>
      </c>
      <c r="C540" t="inlineStr">
        <is>
          <t>Hello, I am positive as of last week. Day 1 of fever, and NO symptoms until now except for loss of taste and smell (Day 10). I am 20 years old and was not in good health but doctors say I have an extremely mild case, and that I am expected to recover in the next week or so when my senses come back. 
MY PARENTS 
Mom - 53 year old diabetic, showing mild symptoms such as cough and fever, felt sick as of last week (felt more sick that I did), says she is feeling better today, non smoker or drinker
Dad - 67 year old with no underlying health issues, mild dry cough but doesn't feel sick, no fever yet, non smoker or drinker 
I will presume them positive because I am and we live in the same house. Right now I am not the least bit worried about myself but rather my parents. I felt better after reading recovery stories and my mom today said she actually felt better (takes tylenol and vit.C and D).
 I got a call from my friend who's uncle had been in the hospital for two weeks from the coronavirus and passed away today. He had trouble breathing from the get go and then was tested positive at the hospital (showed signs of recovery but heart just stopped responding). I am freaking out that my parents will suffer a severe case regardless if they don't feel too sick and lost all good hope. 
So now I am doing what I can to help boost their immune system. The only thing we lack in this household is Zinc (which my friend will be delivering to my door soon if he finds any). I've read anecdotal experiences from this sub that it actually works - but no real research on the internet about it and some actually debunk the vitamins. Last week I ordered a pulse oxi for my parents and I will do anything it takes to help them in this crisis. I want my mom to recover as she says she's feeling better and for my dad to be prepared once more symptoms hit him. IF it does work, has anyone had luck finding a brand that's not out of stock currently in stores? I'm ready to hit expedited shipping if not.</t>
        </is>
      </c>
      <c r="D540" t="n">
        <v>1</v>
      </c>
      <c r="E540" t="n">
        <v>5</v>
      </c>
      <c r="F540">
        <f>HYPERLINK("https://www.reddit.com/r/COVID19positive/comments/g68fnn/does_zinc_really_help_please_answer_if_you_have/")</f>
        <v/>
      </c>
      <c r="G540" t="inlineStr">
        <is>
          <t>2020-04-22 13:12:21</t>
        </is>
      </c>
      <c r="H540" t="inlineStr">
        <is>
          <t>Tested Positive - Family</t>
        </is>
      </c>
    </row>
    <row r="541">
      <c r="A541" t="inlineStr">
        <is>
          <t>g68qk7</t>
        </is>
      </c>
      <c r="B541" t="inlineStr">
        <is>
          <t>Day 30... Fever relapse advice</t>
        </is>
      </c>
      <c r="C541" t="inlineStr">
        <is>
          <t>I’ll keep it as short as possible. Healthy 40F normal BMI. I had super mild symptoms the first week. It started with diarrhea one night (march 22) and then low grade fever that came on one day then I’d be completely fine the next day.... literally it pogoed like that back and forth. However, nine days later I had a fever spike with shaking. Then I had more low grade fever days mixed with some good days again and around day 16 had a week or so of feeling really good with better energy and thinking this must be over. Then I had a night where i shot up in bed from sleeping with a weird feeling in my chest and I just couldn’t sleep the rest of the night and felt off and shaky. Then a couple days later another night like that with little to no sleep and bam I have a low grade fever again around day 26. Now I’m having this low grade fever daily, a new symptom of headaches and my fatigue is through the roof. I can’t move around without getting exhausted which was not the case the first few weeks. My doc wants me to do an X-ray, maybe secondary infection? I’m not thrilled to go to the hospital though and my pulse ox is good at 97-99. Anyone else have worse symptoms with fever returning this late in the game? I have no cough fyi, but chest tightness that changes in severity with activity. I’m ok with fatigue but the fever returning freaks me out. Thanks you guys, this community has been so helpful.</t>
        </is>
      </c>
      <c r="D541" t="n">
        <v>2</v>
      </c>
      <c r="E541" t="n">
        <v>10</v>
      </c>
      <c r="F541">
        <f>HYPERLINK("https://www.reddit.com/r/COVID19positive/comments/g68qk7/day_30_fever_relapse_advice/")</f>
        <v/>
      </c>
      <c r="G541" t="inlineStr">
        <is>
          <t>2020-04-22 13:28:46</t>
        </is>
      </c>
      <c r="H541" t="inlineStr">
        <is>
          <t>Tested Positive - Me</t>
        </is>
      </c>
    </row>
    <row r="542">
      <c r="A542" t="inlineStr">
        <is>
          <t>g68y24</t>
        </is>
      </c>
      <c r="B542" t="inlineStr">
        <is>
          <t>Terrified</t>
        </is>
      </c>
      <c r="C542" t="inlineStr">
        <is>
          <t>I feel very panicked right now. I’m on day 22 of symptoms 
They include a productive phlegmy cough in the mornings 
GI issues 
Low grade fevers
Weakness 
Extreme fatigue.
So far I have never experienced shortness of breath (knock on wood) 
I thought my GI issues were going away on week 3 but I started to make multiple trips to the bathroom this morning (almost as bad as the first week) 
I’m so confused about worsening or bettering of symptoms 
Am I going to die? 
I feel alone and scared 
My doctor said people normally deteriorate within the first 2 weeks
So far I’ve lived past the first 2 weeks 
I’m so scared this is going to get worse 
I’m 33 and female 
No underlying issues</t>
        </is>
      </c>
      <c r="D542" t="n">
        <v>2</v>
      </c>
      <c r="E542" t="n">
        <v>24</v>
      </c>
      <c r="F542">
        <f>HYPERLINK("https://www.reddit.com/r/COVID19positive/comments/g68y24/terrified/")</f>
        <v/>
      </c>
      <c r="G542" t="inlineStr">
        <is>
          <t>2020-04-22 13:40:00</t>
        </is>
      </c>
      <c r="H542" t="inlineStr">
        <is>
          <t>Tested Positive</t>
        </is>
      </c>
    </row>
    <row r="543">
      <c r="A543" t="inlineStr">
        <is>
          <t>g69u8a</t>
        </is>
      </c>
      <c r="B543" t="inlineStr">
        <is>
          <t>Tested positive / now in recovery Day 23</t>
        </is>
      </c>
      <c r="C543" t="inlineStr">
        <is>
          <t>I’m 48M, 155#. Blood type A+, normal BMI
Week 1 (March 31): body aches (severe), fatigue, earaches, headaches, low grade fever
Week 2: symptoms got way worse: fevers went up to 103F, chills, sweats, labored breathing, cough got so bad I had to sleep sitting up on the sofa. 
Week 3: started out this week in the ER due to difficulty breathing. At ER, my temp was 103F, pulse was 130, BP was low at 170/60.  My oxygen level was 88. They admitted me for 48 hours for oxygen. Oxygen levels rose to 91 and I was discharged with pulse oximeter to monitor levels. Tested positive at hospital and learned my lungs were “full of pneumonia.” Sense of smell and taste are shot - find it difficult to eat anything. 
Also week 3: severe diarrhea for 48 hours along with high fevers. Was taking max dosage of Tylenol. 
Fever finally broke later in the week (Thursday 4/17). Now 5 days without fevers. Oxygen levels up to 98%. I still have annoying cough. Doctor says my lungs need to heal, but appetite is back. 
Today: fatigue, difficulty sleeping due to cough, and trying to heal as much as possible. Still staying indoors and resting but moving around my apt.</t>
        </is>
      </c>
      <c r="D543" t="n">
        <v>3</v>
      </c>
      <c r="E543" t="n">
        <v>10</v>
      </c>
      <c r="F543">
        <f>HYPERLINK("https://www.reddit.com/r/COVID19positive/comments/g69u8a/tested_positive_now_in_recovery_day_23/")</f>
        <v/>
      </c>
      <c r="G543" t="inlineStr">
        <is>
          <t>2020-04-22 14:28:29</t>
        </is>
      </c>
      <c r="H543" t="inlineStr">
        <is>
          <t>Tested Positive</t>
        </is>
      </c>
    </row>
    <row r="544">
      <c r="A544" t="inlineStr">
        <is>
          <t>g6alf2</t>
        </is>
      </c>
      <c r="B544" t="inlineStr">
        <is>
          <t>Blue feet when sitting?</t>
        </is>
      </c>
      <c r="C544" t="inlineStr">
        <is>
          <t>Anybody have this while sitting?  I'm pretty worried, but my o2 looks fine and doctor kind of ignored it and said it was probably from the cold.
Hands are also red and can turn blue but not sure what causes that.  Ironically, it seems like my breathing has actually gotten better lately, minus maybe when I'm laying down.
I can't believe I am developing new issues, still, on day 34.</t>
        </is>
      </c>
      <c r="D544" t="n">
        <v>0</v>
      </c>
      <c r="E544" t="n">
        <v>29</v>
      </c>
      <c r="F544">
        <f>HYPERLINK("https://www.reddit.com/r/COVID19positive/comments/g6alf2/blue_feet_when_sitting/")</f>
        <v/>
      </c>
      <c r="G544" t="inlineStr">
        <is>
          <t>2020-04-22 15:10:33</t>
        </is>
      </c>
      <c r="H544" t="inlineStr">
        <is>
          <t>Tested Positive</t>
        </is>
      </c>
    </row>
    <row r="545">
      <c r="A545" t="inlineStr">
        <is>
          <t>g6bc2g</t>
        </is>
      </c>
      <c r="B545" t="inlineStr">
        <is>
          <t>Day 32. How long did it take for you to be seen at the ER after having already been tested positive? Did they make it seem like you were wasting their time?</t>
        </is>
      </c>
      <c r="C545" t="inlineStr">
        <is>
          <t>Hi guys, long time lurker, first time poster. 
I’m on day 32. Was tested three times and they all came out positive. My chest Xray came out clean so now my doctor wants me to go in for an Electrocardiogram at the ER but I feel like that’s an exaggerated step just because I don’t feel like I am a severe case. I have chest pains that come and go. They appear if I raise my voice, lay down or take deep breaths. In addition, I have a sore throat, body chills and body aches. 
I really don’t want to anger anyone in the ER for something so trivial but I also want to get a clean bill of health apart from the covid19 diagnosis so I can stop worrying.</t>
        </is>
      </c>
      <c r="D545" t="n">
        <v>1</v>
      </c>
      <c r="E545" t="n">
        <v>11</v>
      </c>
      <c r="F545">
        <f>HYPERLINK("https://www.reddit.com/r/COVID19positive/comments/g6bc2g/day_32_how_long_did_it_take_for_you_to_be_seen_at/")</f>
        <v/>
      </c>
      <c r="G545" t="inlineStr">
        <is>
          <t>2020-04-22 15:54:15</t>
        </is>
      </c>
      <c r="H545" t="inlineStr">
        <is>
          <t>Tested Positive - Me</t>
        </is>
      </c>
    </row>
    <row r="546">
      <c r="A546" t="inlineStr">
        <is>
          <t>g6cquo</t>
        </is>
      </c>
      <c r="B546" t="inlineStr">
        <is>
          <t>Got my antibody test results back!</t>
        </is>
      </c>
      <c r="C546" t="inlineStr">
        <is>
          <t>Got my results back and I have 3 times the COVID antibody levels required for use in vaccine development. My good good heart juice is coming to a lab near you! I think this also means I am an Omega level mutant? Going to donate as often I can.</t>
        </is>
      </c>
      <c r="D546" t="n">
        <v>2</v>
      </c>
      <c r="E546" t="n">
        <v>272</v>
      </c>
      <c r="F546">
        <f>HYPERLINK("https://www.reddit.com/r/COVID19positive/comments/g6cquo/got_my_antibody_test_results_back/")</f>
        <v/>
      </c>
      <c r="G546" t="inlineStr">
        <is>
          <t>2020-04-22 17:20:34</t>
        </is>
      </c>
      <c r="H546" t="inlineStr">
        <is>
          <t>Tested Positive - Me</t>
        </is>
      </c>
    </row>
    <row r="547">
      <c r="A547" t="inlineStr">
        <is>
          <t>g6dodz</t>
        </is>
      </c>
      <c r="B547" t="inlineStr">
        <is>
          <t>Symptoms after 32 days</t>
        </is>
      </c>
      <c r="C547" t="inlineStr">
        <is>
          <t>Day 32: My wife, who had tested positive for COVID, has recovered from most symptoms, which were generally mild.  It's been a month now since her fever ended. (The fever had lasted only 4 days or so.) All that remains now is **a lingering cough, a runny nose, and a slightly higher than normal BP**. She wants to know the following: Was anyone else in a similar situation? When did it end for them? Also, would she still be shedding virus? (In case you are wondering, I too tested positive but I believe I am fully symptom-free and so she is not getting it from me. We are not able to get a re-test for "negative".)</t>
        </is>
      </c>
      <c r="D547" t="n">
        <v>1</v>
      </c>
      <c r="E547" t="n">
        <v>7</v>
      </c>
      <c r="F547">
        <f>HYPERLINK("https://www.reddit.com/r/COVID19positive/comments/g6dodz/symptoms_after_32_days/")</f>
        <v/>
      </c>
      <c r="G547" t="inlineStr">
        <is>
          <t>2020-04-22 18:21:44</t>
        </is>
      </c>
      <c r="H547" t="inlineStr">
        <is>
          <t>Tested Positive - Family</t>
        </is>
      </c>
    </row>
    <row r="548">
      <c r="A548" t="inlineStr">
        <is>
          <t>g6e69w</t>
        </is>
      </c>
      <c r="B548" t="inlineStr">
        <is>
          <t>Does productive cough ever turn into shortness of breath in covid illness</t>
        </is>
      </c>
      <c r="C548" t="inlineStr">
        <is>
          <t>Been wondering</t>
        </is>
      </c>
      <c r="D548" t="n">
        <v>1</v>
      </c>
      <c r="E548" t="n">
        <v>2</v>
      </c>
      <c r="F548">
        <f>HYPERLINK("https://www.reddit.com/r/COVID19positive/comments/g6e69w/does_productive_cough_ever_turn_into_shortness_of/")</f>
        <v/>
      </c>
      <c r="G548" t="inlineStr">
        <is>
          <t>2020-04-22 18:56:19</t>
        </is>
      </c>
      <c r="H548" t="inlineStr">
        <is>
          <t>Tested Positive - Me</t>
        </is>
      </c>
    </row>
    <row r="549">
      <c r="A549" t="inlineStr">
        <is>
          <t>g6eqyc</t>
        </is>
      </c>
      <c r="B549" t="inlineStr">
        <is>
          <t>Tested positive today, really scared</t>
        </is>
      </c>
      <c r="C549" t="inlineStr">
        <is>
          <t>I have felt healthy every day, and I was going to move in with my parents who are in their late 50’s. Went to get tested this morning to be sure I was negative before I saw them. Got my results from CVS and learned I was positive. I’m an asymptomatic cattier and feel 100% normal. Live with 2 people, one of which is immuno-compromised. Both my roommates have fevers and feel sick. I just need some words of encouragement right now. Feeling guilty that I’m healthy. And I can’t believe I almost didn’t get tested before seeing my parents.</t>
        </is>
      </c>
      <c r="D549" t="n">
        <v>1</v>
      </c>
      <c r="E549" t="n">
        <v>25</v>
      </c>
      <c r="F549">
        <f>HYPERLINK("https://www.reddit.com/r/COVID19positive/comments/g6eqyc/tested_positive_today_really_scared/")</f>
        <v/>
      </c>
      <c r="G549" t="inlineStr">
        <is>
          <t>2020-04-22 19:37:01</t>
        </is>
      </c>
      <c r="H549" t="inlineStr">
        <is>
          <t>Tested Positive - Me</t>
        </is>
      </c>
    </row>
    <row r="550">
      <c r="A550" t="inlineStr">
        <is>
          <t>g6in0h</t>
        </is>
      </c>
      <c r="B550" t="inlineStr">
        <is>
          <t>Let's vent in a new way - "vent", get it? 😉 After surviving covid, and fighting to recover even longer.. let's air the frustrations of being deathly ill, AND not being believed! Tell your tale of all the unsupportive, dismissive, know-it-all, uninformed #karens you dealt with</t>
        </is>
      </c>
      <c r="C550" t="inlineStr">
        <is>
          <t>FYI there are next to zero internet entries on how frustrating and maddening it is to be sick with covid (which for those of us infected we know is NOT what we told it was) -- and to have to deal with disbelief about how severe the illness is hitting us from non-infected people --
I believe you! 
And you should have been believed by others too!</t>
        </is>
      </c>
      <c r="D550" t="n">
        <v>1</v>
      </c>
      <c r="E550" t="n">
        <v>19</v>
      </c>
      <c r="F550">
        <f>HYPERLINK("https://www.reddit.com/r/COVID19positive/comments/g6in0h/lets_vent_in_a_new_way_vent_get_it_after/")</f>
        <v/>
      </c>
      <c r="G550" t="inlineStr">
        <is>
          <t>2020-04-23 00:56:55</t>
        </is>
      </c>
      <c r="H550" t="inlineStr">
        <is>
          <t>Tested Positive</t>
        </is>
      </c>
    </row>
    <row r="551">
      <c r="A551" t="inlineStr">
        <is>
          <t>g6j8oc</t>
        </is>
      </c>
      <c r="B551" t="inlineStr">
        <is>
          <t>F27 day 38 3rd wave</t>
        </is>
      </c>
      <c r="C551" t="inlineStr">
        <is>
          <t>I had this really bizarre episode? last night, just wondering if anyone else has experienced something similar. I woke up from a nap around  9pm feeling super out of it and more out of breath than usual. I did the breathing excercises which helped with the breathing. But my whole body felt so heavy like gravity was turned up or something. I could barely talk or sit up I just had to lie on my stomach. Even my eyes felt heavy, I don't know how to describe it....like slow to move. My boyfriend had to help me up the stairs to bed which has never happened.  I was able to fall back asleep for a few hours and now I feel fine at 3am. It just was terribly scary and I have no idea what it was or of it will happen again.</t>
        </is>
      </c>
      <c r="D551" t="n">
        <v>1</v>
      </c>
      <c r="E551" t="n">
        <v>9</v>
      </c>
      <c r="F551">
        <f>HYPERLINK("https://www.reddit.com/r/COVID19positive/comments/g6j8oc/f27_day_38_3rd_wave/")</f>
        <v/>
      </c>
      <c r="G551" t="inlineStr">
        <is>
          <t>2020-04-23 01:53:18</t>
        </is>
      </c>
      <c r="H551" t="inlineStr">
        <is>
          <t>Tested Positive</t>
        </is>
      </c>
    </row>
    <row r="552">
      <c r="A552" t="inlineStr">
        <is>
          <t>g6lmrm</t>
        </is>
      </c>
      <c r="B552" t="inlineStr">
        <is>
          <t>Update! Sharing my experience as a slightly fat, mildly asthmatic smoker</t>
        </is>
      </c>
      <c r="C552" t="inlineStr">
        <is>
          <t>Hi everyone,
This is an update to https://reddit.com/r/COVID19positive/comments/g06yiz/sharing_my_experience_as_a_slightly_fat_mildly/
Firstly thank you to everyone’s nice messages of support when I posted 10 days ago. 
Secondly just wanted to give you all a happy update. The last time I posted I still wasn’t feeling great but day by day it’s got better. 
My throat no longer hurts, I’m still more fatigued that usual but I’m free of the dreaded virus now. 
I hope everyone is doing ok and I just wanted to pass on a positive update that even if you’re not the most healthy person in the world you can overcome it, you will feel shit, you’ll worry, you’ll take a while to get over it but in most cases you will get there. Stay safe if you can.</t>
        </is>
      </c>
      <c r="D552" t="n">
        <v>1</v>
      </c>
      <c r="E552" t="n">
        <v>42</v>
      </c>
      <c r="F552">
        <f>HYPERLINK("https://www.reddit.com/r/COVID19positive/comments/g6lmrm/update_sharing_my_experience_as_a_slightly_fat/")</f>
        <v/>
      </c>
      <c r="G552" t="inlineStr">
        <is>
          <t>2020-04-23 05:20:18</t>
        </is>
      </c>
      <c r="H552" t="inlineStr">
        <is>
          <t>Tested Positive - Me</t>
        </is>
      </c>
    </row>
    <row r="553">
      <c r="A553" t="inlineStr">
        <is>
          <t>g6otjp</t>
        </is>
      </c>
      <c r="B553" t="inlineStr">
        <is>
          <t>After 8 weeks of symptoms finally tested!</t>
        </is>
      </c>
      <c r="C553" t="inlineStr">
        <is>
          <t>After 8 weeks of symptoms I was finally tested... and the results came back positive! They finally felt it was necessary to test me after another POSITIVE test. Pregnancy that is! Yes I’m pregnant with covid 19 HOLY MAC. I’m scared and excited at the same time. Anyone out there with any knowledge of this type of situation.</t>
        </is>
      </c>
      <c r="D553" t="n">
        <v>1</v>
      </c>
      <c r="E553" t="n">
        <v>42</v>
      </c>
      <c r="F553">
        <f>HYPERLINK("https://www.reddit.com/r/COVID19positive/comments/g6otjp/after_8_weeks_of_symptoms_finally_tested/")</f>
        <v/>
      </c>
      <c r="G553" t="inlineStr">
        <is>
          <t>2020-04-23 08:35:28</t>
        </is>
      </c>
      <c r="H553" t="inlineStr">
        <is>
          <t>Tested Positive - Me</t>
        </is>
      </c>
    </row>
    <row r="554">
      <c r="A554" t="inlineStr">
        <is>
          <t>g6rqds</t>
        </is>
      </c>
      <c r="B554" t="inlineStr">
        <is>
          <t>day 35, steadily getting worse for 15 days so far. Trigger warning, possibly.</t>
        </is>
      </c>
      <c r="C554" t="inlineStr">
        <is>
          <t>I've gotten worse everyday, slightly, for the last 15 days.  I kept thinking I would be able to beat this thing if I just kept holding out.  I hope that is the case, but I think my available days are lessening.  Everyday, my breathing gets a little worse.  Everyday, my other symptoms get slightly more severe.  I think my blood isn't oxygenating correctly, even though the pulse ox say 95 to 98.  I think I might have the symptoms of pulmonary venous hypertension, that started a couple days ago when I started coughing up blood.  Now, I can't lay on my back without nearly passing out.  blood pressure swings when I can't breath, dizzy, extreme fatigue like I'm going to faint, I can't think, I'm starting to lose control of my body(limbs, walking.)  I am so scared, and can't beleive I am still getting worse, 35 days into the illness.
I hope I make it, but I don't know how much longer I have before this thing might pull me under.  I read about people in the 40s and 50s, I just don't know if I can make it that long.
If I don't make it, I want to say thanks to everybody, this sub has been a tremendous help.  And if you are in recovery, hug your loved ones just a little bit harder today.  Life truly is short.</t>
        </is>
      </c>
      <c r="D554" t="n">
        <v>1</v>
      </c>
      <c r="E554" t="n">
        <v>175</v>
      </c>
      <c r="F554">
        <f>HYPERLINK("https://www.reddit.com/r/COVID19positive/comments/g6rqds/day_35_steadily_getting_worse_for_15_days_so_far/")</f>
        <v/>
      </c>
      <c r="G554" t="inlineStr">
        <is>
          <t>2020-04-23 11:14:31</t>
        </is>
      </c>
      <c r="H554" t="inlineStr">
        <is>
          <t>Tested Positive</t>
        </is>
      </c>
    </row>
    <row r="555">
      <c r="A555" t="inlineStr">
        <is>
          <t>g6trzm</t>
        </is>
      </c>
      <c r="B555" t="inlineStr">
        <is>
          <t>When to stop self isolation?</t>
        </is>
      </c>
      <c r="C555" t="inlineStr">
        <is>
          <t>My sister tested positive for covid19 14 days ago. Around that time she developed some mild symptoms: moderate muscle pain and some throat irritation. Four days ago she felt completely recovered and managed to get PCR-tested. Today the result arrived as negative for the virus. Is she considered clear for leaving isolation or should she wait more time? Getting another test could take a week or more and is a bit expensive where I live, so we aren't sure if she needs to wait for some more days or she can be considered already in the clear.</t>
        </is>
      </c>
      <c r="D555" t="n">
        <v>1</v>
      </c>
      <c r="E555" t="n">
        <v>3</v>
      </c>
      <c r="F555">
        <f>HYPERLINK("https://www.reddit.com/r/COVID19positive/comments/g6trzm/when_to_stop_self_isolation/")</f>
        <v/>
      </c>
      <c r="G555" t="inlineStr">
        <is>
          <t>2020-04-23 13:04:02</t>
        </is>
      </c>
      <c r="H555" t="inlineStr">
        <is>
          <t>Tested Positive - Family</t>
        </is>
      </c>
    </row>
    <row r="556">
      <c r="A556" t="inlineStr">
        <is>
          <t>g6ttzp</t>
        </is>
      </c>
      <c r="B556" t="inlineStr">
        <is>
          <t>How do I know that I’m not contagious and have fully recovered?</t>
        </is>
      </c>
      <c r="C556" t="inlineStr">
        <is>
          <t>Lately I’ve been reading studies that young adults are randomly getting strokes with mild cases or that people with little to no symptoms still have weird findings in CT scans...even if they don’t feel sick their body is damaged silently. 
I have a mild case and my only symptom is really losing taste and smell. I’m on day 11 and my senses have came back briefly but still really masked. Docs say it’s a good sign of recovery, but I can’t get over the anxiety that it’s highly suspicious I have such a mild case. I feel like I need a scan now to be safe so I won’t get surprises later. 
I feel like now I won’t ever literally recover even if I think I am because this virus is so sneaky, I think I’m never safe anymore. Is an antibody the only way to tell if I’m not contagious? I’m not allowed to get retested but I work with patients and need to know if I’m gonna still be a harm even with no symptoms and “recovered” status.</t>
        </is>
      </c>
      <c r="D556" t="n">
        <v>1</v>
      </c>
      <c r="E556" t="n">
        <v>3</v>
      </c>
      <c r="F556">
        <f>HYPERLINK("https://www.reddit.com/r/COVID19positive/comments/g6ttzp/how_do_i_know_that_im_not_contagious_and_have/")</f>
        <v/>
      </c>
      <c r="G556" t="inlineStr">
        <is>
          <t>2020-04-23 13:06:57</t>
        </is>
      </c>
      <c r="H556" t="inlineStr">
        <is>
          <t>Tested Positive - Me</t>
        </is>
      </c>
    </row>
    <row r="557">
      <c r="A557" t="inlineStr">
        <is>
          <t>g6u3oc</t>
        </is>
      </c>
      <c r="B557" t="inlineStr">
        <is>
          <t>Anyone experienced dry thorat after symptoms disappear?</t>
        </is>
      </c>
      <c r="C557" t="inlineStr">
        <is>
          <t>I'm mostly recovered but in the past days I'm experiencing this dry thorat sensation especially in the evening and in the morning when I wake up.
Has anyone experienced this ?</t>
        </is>
      </c>
      <c r="D557" t="n">
        <v>1</v>
      </c>
      <c r="E557" t="n">
        <v>2</v>
      </c>
      <c r="F557">
        <f>HYPERLINK("https://www.reddit.com/r/COVID19positive/comments/g6u3oc/anyone_experienced_dry_thorat_after_symptoms/")</f>
        <v/>
      </c>
      <c r="G557" t="inlineStr">
        <is>
          <t>2020-04-23 13:21:01</t>
        </is>
      </c>
      <c r="H557" t="inlineStr">
        <is>
          <t>Tested Positive - Me</t>
        </is>
      </c>
    </row>
    <row r="558">
      <c r="A558" t="inlineStr">
        <is>
          <t>g6u3v0</t>
        </is>
      </c>
      <c r="B558" t="inlineStr">
        <is>
          <t>Anyone experienced dry thorat after symptoms disappear?</t>
        </is>
      </c>
      <c r="C558" t="inlineStr">
        <is>
          <t>I'm mostly recovered but in the past days I'm experiencing this dry thorat sensation especially in the evening and in the morning when I wake up.
Has anyone experienced this ?</t>
        </is>
      </c>
      <c r="D558" t="n">
        <v>1</v>
      </c>
      <c r="E558" t="n">
        <v>4</v>
      </c>
      <c r="F558">
        <f>HYPERLINK("https://www.reddit.com/r/COVID19positive/comments/g6u3v0/anyone_experienced_dry_thorat_after_symptoms/")</f>
        <v/>
      </c>
      <c r="G558" t="inlineStr">
        <is>
          <t>2020-04-23 13:21:19</t>
        </is>
      </c>
      <c r="H558" t="inlineStr">
        <is>
          <t>Tested Positive - Me</t>
        </is>
      </c>
    </row>
    <row r="559">
      <c r="A559" t="inlineStr">
        <is>
          <t>g6w6z8</t>
        </is>
      </c>
      <c r="B559" t="inlineStr">
        <is>
          <t>To my fellow recovered peeps- does your cough ever come back randomly and intensely?</t>
        </is>
      </c>
      <c r="C559" t="inlineStr">
        <is>
          <t>Its weird. It’s not like the type of lingering cough that you’ll have consistently for weeks after recovering from a sinus infection. 
Its like- maybe once a week, and seemingly triggered by nothing in particular, ill have a coughing fit just flare up again that will last hours because practically nothing can soothe it. Eventually I fall asleep and its just gone the next morning. Comes back 5-7 days later for a few hours and then disappears again. 
I’m wondering if the virus left some lingering lung damage or something? Its a dry cough, but I also feel a bit like I am drowning as if there is a large build up of fluid in my lungs. 
Medical background: 
I am not a smoker, but I do have mild asthma. 
Female, 25 y.o, healthy BMI.</t>
        </is>
      </c>
      <c r="D559" t="n">
        <v>1</v>
      </c>
      <c r="E559" t="n">
        <v>16</v>
      </c>
      <c r="F559">
        <f>HYPERLINK("https://www.reddit.com/r/COVID19positive/comments/g6w6z8/to_my_fellow_recovered_peeps_does_your_cough_ever/")</f>
        <v/>
      </c>
      <c r="G559" t="inlineStr">
        <is>
          <t>2020-04-23 15:15:19</t>
        </is>
      </c>
      <c r="H559" t="inlineStr">
        <is>
          <t>Tested Positive - Me</t>
        </is>
      </c>
    </row>
    <row r="560">
      <c r="A560" t="inlineStr">
        <is>
          <t>g6wchx</t>
        </is>
      </c>
      <c r="B560" t="inlineStr">
        <is>
          <t>My Parents</t>
        </is>
      </c>
      <c r="C560" t="inlineStr">
        <is>
          <t>Hey I hope this makes everyone feel better, both my parents (in their 50s)tested positive in late march and both have medical issues. My mom had used to have kidney cancer in one kidney(they only had to remove half of one) and had thyroid cancer which they took out her whole thyroid, both happened in the past 4 years. Then my dad had a heart attack and a quadruple bypass around 10 years ago and still has high blood pressure. He is also still overweight which I heard isn’t positive for fighting off corona. Now I think my moms on day 30 since her positive result and my dad is on like day 26 and both of them are feeling a ton better. I was SO worried when the first tested positive because they weren’t asymptomatic at all, my mom was really sick (she wrote letters to me and my sister😔)for a week or two and my dad wasn’t as bad but still noticeably sick.  One thing my mom did when her breathing got bad was using a spirometer 10 times on every hour which she said kept her from having to go to the hospital. For those who don’t know it’s a medical device that you breath through and it tells you how much air you’ve breathed in. Once you take a full breath pushing the indicator to the very top you just hold your breath for three seconds then breath out. Instead breathing exercises without a spirometer could help you if your breathing gets a little sketchy. Then last wednesday I started feeling sick and had a 99.8 fever but surprisingly tested negative on Monday(got the results back today). It could be a false negative or I might have been freaking myself out but I feel a lot better today(still a little sick but I’m not too worried). Were all still on lockdown for a while because my parents retested positive and we will all have to test negative before we can go back to work. So what I’m trying to say is just do your best not to worry and I know you guys can get through this thing✌️✌️.</t>
        </is>
      </c>
      <c r="D560" t="n">
        <v>1</v>
      </c>
      <c r="E560" t="n">
        <v>10</v>
      </c>
      <c r="F560">
        <f>HYPERLINK("https://www.reddit.com/r/COVID19positive/comments/g6wchx/my_parents/")</f>
        <v/>
      </c>
      <c r="G560" t="inlineStr">
        <is>
          <t>2020-04-23 15:24:02</t>
        </is>
      </c>
      <c r="H560" t="inlineStr">
        <is>
          <t>Tested Positive - Family</t>
        </is>
      </c>
    </row>
    <row r="561">
      <c r="A561" t="inlineStr">
        <is>
          <t>g6xjmc</t>
        </is>
      </c>
      <c r="B561" t="inlineStr">
        <is>
          <t>Sweating hard from feet and hands???</t>
        </is>
      </c>
      <c r="C561" t="inlineStr">
        <is>
          <t>(28F)
Why lord have you done this?
Symptoms started late Feb, after attending an event with friends from NYC
First symptoms 
Chills, these horrible nasty chills that happen no matter where my temperature is. I am always shocked when I take my temperature and it’s low, how can O feel this bad with a normal temp? No cough, some mucus. Heart beating wildly.  Bed for a day, better the next, oh no that was a mistake, go back to bed. Fine one hour. Fuck the mornings. I thought you were supposed to sleep non stop when sick but I can’t get any rest. No energy, my Fitbit gave up trying to motivate me. Auditory hallucinations one night, I heard the neighbors chanting my name? That was weird, guess I’m also losing brain function because I can’t follow conversations very well. Obviously can’t write coherently either. Haven’t had an appetite this whole time, eating a French fry is torture. Two kids, one dad, they’re thankfully all fine, lord knows how as it isn’t feasible for me to 100% self isolate from them in our house.
Then I was better for a solid week. I still had chills here and there but was feeling so good! Boogidie woogidie! We’re done!
JK I wake up one morning needing to be carried down the stairs cause I physically can’t do it without passing out, after rehydration and some candy to get my blood sugar up that afternoon I was fine. That night I sweat through my PJs. 
Now here comes the sticky part. In the morning, all of my sweat has been concentrated and I’m profusely sweating from my feet and hands. What the actual fuck. I can leave wet handprints on things, my socks get drenched. It’s so nasty. Chills are back full swing and I’m buckling myself back in. I’m so annoyed and defeated and just ready for this shit to be over. 
Did y’all get sweaty feet before you got those purple toes? Is that coming next? Fuck. This. Shit.</t>
        </is>
      </c>
      <c r="D561" t="n">
        <v>1</v>
      </c>
      <c r="E561" t="n">
        <v>3</v>
      </c>
      <c r="F561">
        <f>HYPERLINK("https://www.reddit.com/r/COVID19positive/comments/g6xjmc/sweating_hard_from_feet_and_hands/")</f>
        <v/>
      </c>
      <c r="G561" t="inlineStr">
        <is>
          <t>2020-04-23 16:34:54</t>
        </is>
      </c>
      <c r="H561" t="inlineStr">
        <is>
          <t>Tested Positive</t>
        </is>
      </c>
    </row>
    <row r="562">
      <c r="A562" t="inlineStr">
        <is>
          <t>g6z6gg</t>
        </is>
      </c>
      <c r="B562" t="inlineStr">
        <is>
          <t>Update on my covid experience</t>
        </is>
      </c>
      <c r="C562" t="inlineStr">
        <is>
          <t xml:space="preserve">Here is the log I kept for the past 12 days. I will post another update on a few days. Please feel free to dm me with any questions.
Day 1, 4/13
Woke up in the middle of the night with quick onset of fever chills myalgia and headache. Test at 11am.
Day 2, 4/14
Fever up to 101.6. Positive results at 930am. Body aches, fatigue, headache, runny nose. Some sneezing.
Day 3, 4/15
Feeling okay. Just tired. Around 5pm started to get chilly and fevers. Fatigue. Severe muscle aches in my legs have me up all night. Feeling much worse by night.
Day 4, 4/16
Achy, fatigued. Fever 100.2. Weak. Slight nausea. Started vit C and zinc.
Day 5, 4/17
Was up most of the night with aches in calves and feet. Chills. Insomnia. Fever. Food tastes strange.
Day 6, 4/18
Slept a little better last night. Cough has started this morning. Very tired and weak. Occasional cough. One fever 100.3 with chills. Back aches.
Day 7, 4/19
Severe body aches. Fevers overnight. Insomnia. Cough. Lungs feel like they are burning if I take a deep breath. Fever in afternoon. Worst day yet.
Day 8, 4/20
Worse. Nausea, vomiting, diarrhea. Very miserable.
Day 9, 4/21
Even worse. Doctor sent me to the ER. Antiemetics ineffective. Vomiting all day. Fever 101. Can't rest, or lay down due to cough. (Later found out that I had a reaction to the Reglan called akathisia... This was hell. Severe panic attacks.)
Day 10, 4/22
10% better than my worst day. Was able to eat one piece of toast. Drank some tea.  Still very sick.
Day 11, 4/23
Feeling queasy and tired, but able to move around the house a little. Ate a bagel. Diarrhea 15-20 times today. Dr said to try Imodium. Says to be out of work for one more week. Still feeling very weak and unable to eat much. No fever. No vomiting. My period came 6 days early, presumably due to the stress on my body. </t>
        </is>
      </c>
      <c r="D562" t="n">
        <v>1</v>
      </c>
      <c r="E562" t="n">
        <v>22</v>
      </c>
      <c r="F562">
        <f>HYPERLINK("https://www.reddit.com/r/COVID19positive/comments/g6z6gg/update_on_my_covid_experience/")</f>
        <v/>
      </c>
      <c r="G562" t="inlineStr">
        <is>
          <t>2020-04-23 18:16:08</t>
        </is>
      </c>
      <c r="H562" t="inlineStr">
        <is>
          <t>Tested Positive - Me</t>
        </is>
      </c>
    </row>
    <row r="563">
      <c r="A563" t="inlineStr">
        <is>
          <t>g71166</t>
        </is>
      </c>
      <c r="B563" t="inlineStr">
        <is>
          <t>Ongoing Headache day 45</t>
        </is>
      </c>
      <c r="C563" t="inlineStr">
        <is>
          <t>I’m on day 45 or so and recently getting headaches like I’ve never got before. Blood pressure is up and down, heart rate spikes randomly. Anyone experience this? Has it passed?</t>
        </is>
      </c>
      <c r="D563" t="n">
        <v>1</v>
      </c>
      <c r="E563" t="n">
        <v>24</v>
      </c>
      <c r="F563">
        <f>HYPERLINK("https://www.reddit.com/r/COVID19positive/comments/g71166/ongoing_headache_day_45/")</f>
        <v/>
      </c>
      <c r="G563" t="inlineStr">
        <is>
          <t>2020-04-23 20:24:59</t>
        </is>
      </c>
      <c r="H563" t="inlineStr">
        <is>
          <t>Tested Positive - Me</t>
        </is>
      </c>
    </row>
    <row r="564">
      <c r="A564" t="inlineStr">
        <is>
          <t>g73s0r</t>
        </is>
      </c>
      <c r="B564" t="inlineStr">
        <is>
          <t>Am I really lucky or is this just the beginning?</t>
        </is>
      </c>
      <c r="C564" t="inlineStr">
        <is>
          <t>I am a 16 year old diabetic male and I was wondering how come people are posting about having symptoms work weeks on end or getting really bad after day like 35 or something like that. I am on day 5 of feeling sick. I tested positive on day 2 after I had a incredibly bad fever on day 1. Hence, the beginning. Even tho I have diabetes, my fevers started going away on day 3 ish, when I got the phone call from my doctor telling me to self isolate. I just get small headaches and i feel a tightness around my chest when I take deep breaths. I do them regularly to see how I’m doing since i’m in self isolation in my room. Unfortunately, my brother who tested negative during his first test isn’t as lucky. He’s also diabetic, 24 years of age, He’s waiting on the results of his second test. But I know he has it, he has way worse symptoms than me, VERY BAD shortness of breath and fatigue. Constant chills as well. He’s already on day 7 though. So will I end up like that? Or did I end up having a less severe case?</t>
        </is>
      </c>
      <c r="D564" t="n">
        <v>1</v>
      </c>
      <c r="E564" t="n">
        <v>19</v>
      </c>
      <c r="F564">
        <f>HYPERLINK("https://www.reddit.com/r/COVID19positive/comments/g73s0r/am_i_really_lucky_or_is_this_just_the_beginning/")</f>
        <v/>
      </c>
      <c r="G564" t="inlineStr">
        <is>
          <t>2020-04-24 00:04:10</t>
        </is>
      </c>
      <c r="H564" t="inlineStr">
        <is>
          <t>Tested Positive - Me</t>
        </is>
      </c>
    </row>
    <row r="565">
      <c r="A565" t="inlineStr">
        <is>
          <t>g77uhj</t>
        </is>
      </c>
      <c r="B565" t="inlineStr">
        <is>
          <t>I'm pretty sure I got infected 49 days ago, I am living with 2 housemates who seem fine, I'm getting concerned for them.</t>
        </is>
      </c>
      <c r="C565" t="inlineStr">
        <is>
          <t>My symptoms are pretty mild, so my two housemates easily dismissed it for a psychosomatic reaction. And tbh, being oblivious helped me keeping hopes. But it's the third time the symptoms come back again. I have no doubts, I have it (they don't do much tests in France). But when I caught it, 49 days, we all got a running nose and some kind of soar throat for two weeks. So maybe, they already caught it but have way milder symptoms than I do. And, I don't know how contagious I am, I never coughed much and they say you're contagious mostly a the beginning.
I don't know what to do. I can't decide if I should isolate from them or not. There's too much unknown. Do you have anything to say that might help? Any information?</t>
        </is>
      </c>
      <c r="D565" t="n">
        <v>1</v>
      </c>
      <c r="E565" t="n">
        <v>77</v>
      </c>
      <c r="F565">
        <f>HYPERLINK("https://www.reddit.com/r/COVID19positive/comments/g77uhj/im_pretty_sure_i_got_infected_49_days_ago_i_am/")</f>
        <v/>
      </c>
      <c r="G565" t="inlineStr">
        <is>
          <t>2020-04-24 05:52:49</t>
        </is>
      </c>
      <c r="H565" t="inlineStr">
        <is>
          <t>Tested Positive - Friends</t>
        </is>
      </c>
    </row>
    <row r="566">
      <c r="A566" t="inlineStr">
        <is>
          <t>g7ahnn</t>
        </is>
      </c>
      <c r="B566" t="inlineStr">
        <is>
          <t>When can I return to normal life?</t>
        </is>
      </c>
      <c r="C566" t="inlineStr">
        <is>
          <t>I am in my twenties and my 16 year old brother, who I live with, tested positive for covid-19 on April 11th. He got it from my dad, who had a fever and respiratory symptoms for about two weeks starting March 21st. Shortly after my brother got tested, I started experiencing symptoms: chest tightness, persistent low grade fever, and mild cough. I tested negative for covid-19 twice a week apart from each other. However, my doctor says “if it looks like a duck and quacks like a duck, it’s a duck. I must have it.” I have a summer job as a nursing home aide, and my boss called me yesterday asking if I can return to work soon. She sounded actually relieved that I have covid-19 because many of the residents have it and she believes I will be immune from it in two weeks. I just worry—what if I am actually contagious still and spread the virus to the residents even more OR what if I am not immune and get it again?  At what point am I no longer possibly contagious—the end of May? And if this quarantine really does end in May (which I don’t think it will), would it be safe to see a friend if my symptoms resolve?</t>
        </is>
      </c>
      <c r="D566" t="n">
        <v>1</v>
      </c>
      <c r="E566" t="n">
        <v>30</v>
      </c>
      <c r="F566">
        <f>HYPERLINK("https://www.reddit.com/r/COVID19positive/comments/g7ahnn/when_can_i_return_to_normal_life/")</f>
        <v/>
      </c>
      <c r="G566" t="inlineStr">
        <is>
          <t>2020-04-24 08:35:02</t>
        </is>
      </c>
      <c r="H566" t="inlineStr">
        <is>
          <t>Tested Positive - Family</t>
        </is>
      </c>
    </row>
    <row r="567">
      <c r="A567" t="inlineStr">
        <is>
          <t>g7blt6</t>
        </is>
      </c>
      <c r="B567" t="inlineStr">
        <is>
          <t>GI issues indication of more severe covid?</t>
        </is>
      </c>
      <c r="C567" t="inlineStr">
        <is>
          <t>I’ve been reading reports that it takes longer for those with gi issues to clear the virus 
And prognostically GI and respiratory issues make the illness more severe landing people in the hospital</t>
        </is>
      </c>
      <c r="D567" t="n">
        <v>1</v>
      </c>
      <c r="E567" t="n">
        <v>16</v>
      </c>
      <c r="F567">
        <f>HYPERLINK("https://www.reddit.com/r/COVID19positive/comments/g7blt6/gi_issues_indication_of_more_severe_covid/")</f>
        <v/>
      </c>
      <c r="G567" t="inlineStr">
        <is>
          <t>2020-04-24 09:36:36</t>
        </is>
      </c>
      <c r="H567" t="inlineStr">
        <is>
          <t>Tested Positive - Me</t>
        </is>
      </c>
    </row>
    <row r="568">
      <c r="A568" t="inlineStr">
        <is>
          <t>g7dmsj</t>
        </is>
      </c>
      <c r="B568" t="inlineStr">
        <is>
          <t>Survivors Guilt</t>
        </is>
      </c>
      <c r="C568" t="inlineStr">
        <is>
          <t>I was just talking to a friend who asked how I was doing and I was babbling on about how I feel great and am so happy this is over. He then said his neighbor (60’s)  died two days ago from Covid and his wife (also in 60’s) is still in hospital. 
And then I felt awful. Like shame on me for feeling good when people are dying from what I easily recovered from awful. 
Anyone else?</t>
        </is>
      </c>
      <c r="D568" t="n">
        <v>1</v>
      </c>
      <c r="E568" t="n">
        <v>24</v>
      </c>
      <c r="F568">
        <f>HYPERLINK("https://www.reddit.com/r/COVID19positive/comments/g7dmsj/survivors_guilt/")</f>
        <v/>
      </c>
      <c r="G568" t="inlineStr">
        <is>
          <t>2020-04-24 11:23:41</t>
        </is>
      </c>
      <c r="H568" t="inlineStr">
        <is>
          <t>Tested Positive - Me</t>
        </is>
      </c>
    </row>
    <row r="569">
      <c r="A569" t="inlineStr">
        <is>
          <t>g7drea</t>
        </is>
      </c>
      <c r="B569" t="inlineStr">
        <is>
          <t>Weird nose pain? DAE?</t>
        </is>
      </c>
      <c r="C569" t="inlineStr">
        <is>
          <t>Tested positive 2 weeks ago. Was seeming to get better but as we all know it’s ups and downs. Last night I woke up coughing so hard that I almost had an asthma attack but luckily my inhaler helped. 
But today I have this really sharp pain behind my right nostril like a sneeze is trapped in there but it’s razor sharp. Has anyone else had this?</t>
        </is>
      </c>
      <c r="D569" t="n">
        <v>1</v>
      </c>
      <c r="E569" t="n">
        <v>2</v>
      </c>
      <c r="F569">
        <f>HYPERLINK("https://www.reddit.com/r/COVID19positive/comments/g7drea/weird_nose_pain_dae/")</f>
        <v/>
      </c>
      <c r="G569" t="inlineStr">
        <is>
          <t>2020-04-24 11:30:33</t>
        </is>
      </c>
      <c r="H569" t="inlineStr">
        <is>
          <t>Tested Positive - Me</t>
        </is>
      </c>
    </row>
    <row r="570">
      <c r="A570" t="inlineStr">
        <is>
          <t>g7e91z</t>
        </is>
      </c>
      <c r="B570" t="inlineStr">
        <is>
          <t>Does the bloating/reflux ever go away</t>
        </is>
      </c>
      <c r="C570" t="inlineStr">
        <is>
          <t>On the 3rd week out of 5 of these two nasty symptoms. Cannot stop belching. Omeprazole May have helped the reflux but I feel like it’s coming in waves. I’ve had a great diet but nothing is helping. Doc prescribed me Carafate to go along with the omeprazole and then activated charcoal for the bloating which I just started taking so idk if it will work. I’ve seen bloated people here just don’t know if it’s actually subsided for anyone. I have no fatigue whatsoever.</t>
        </is>
      </c>
      <c r="D570" t="n">
        <v>1</v>
      </c>
      <c r="E570" t="n">
        <v>17</v>
      </c>
      <c r="F570">
        <f>HYPERLINK("https://www.reddit.com/r/COVID19positive/comments/g7e91z/does_the_bloatingreflux_ever_go_away/")</f>
        <v/>
      </c>
      <c r="G570" t="inlineStr">
        <is>
          <t>2020-04-24 11:56:24</t>
        </is>
      </c>
      <c r="H570" t="inlineStr">
        <is>
          <t>Tested Positive - Me</t>
        </is>
      </c>
    </row>
    <row r="571">
      <c r="A571" t="inlineStr">
        <is>
          <t>g7fld0</t>
        </is>
      </c>
      <c r="B571" t="inlineStr">
        <is>
          <t>Finally got test results! Will see how long this lasts</t>
        </is>
      </c>
      <c r="C571" t="inlineStr">
        <is>
          <t>I’m mostly posting this for documentation, especially since I started off with extremely mild symptoms. Also just so there’s more info out there!
Symptoms started April 13/14, tested April 18 and today got positive results. 
Started as a dry cough, headaches,sore throat, and burning sensation in chest. Some trouble breathing but chalked it up to anxiety. Light heart palpitations.
Progressed to less coughing and less dry throat. Can still feel some discomfort when I inhale deeply, like a sore throat but in my chest. One day with low grade fever and occasionally getting night sweats. 
My biggest issue now is I’ve been extremely nauseous! For about 3 days now. I also can barely taste anything.
Overall very mild case. About my health: 25, asthmatic, non smoker, slightly overweight.
What I’ve been treating symptoms with: Smokers tea, ginger tea, Mucinex(suppressant), lots of vitamins and probiotics, humidifier, coconut water, aspirin for heart and pain.
I prepped really hard for this because of my asthma and because a relative ended up with covid related pneumonia, so that may have helped keep my symptoms mild?
Has anyone else had a similar experience? It’s been over a week and I’m just wondering if it’s gonna get way worse or if I’m one of the lucky ones.</t>
        </is>
      </c>
      <c r="D571" t="n">
        <v>1</v>
      </c>
      <c r="E571" t="n">
        <v>22</v>
      </c>
      <c r="F571">
        <f>HYPERLINK("https://www.reddit.com/r/COVID19positive/comments/g7fld0/finally_got_test_results_will_see_how_long_this/")</f>
        <v/>
      </c>
      <c r="G571" t="inlineStr">
        <is>
          <t>2020-04-24 13:08:49</t>
        </is>
      </c>
      <c r="H571" t="inlineStr">
        <is>
          <t>Tested Positive - Me</t>
        </is>
      </c>
    </row>
    <row r="572">
      <c r="A572" t="inlineStr">
        <is>
          <t>g7h0do</t>
        </is>
      </c>
      <c r="B572" t="inlineStr">
        <is>
          <t>Recovered my taste and smell!</t>
        </is>
      </c>
      <c r="C572" t="inlineStr">
        <is>
          <t>So far it’s my only true corona symptom. I felt tired day 1 and no tiredness what so ever after. 
Thank goodness for getting that senses lost, because I would’ve never gotten tested since I had no cough or shortness of breath. Day 12 and the senses have returned (still a little masked, not as strong, but better than before) I don’t exactly know when I will be “recovered” since those were my only symptoms. Please watch out for that symptom, it was a dead giveaway for me. Apparently it is linked to mild cases so not everyone pays attention to it, they don’t get tested and wait to heal, and then pretty much infect everyone in the meantime. 
I can’t get retested but just want to know if I am contagious 2-3 weeks from now. 
Health district gave me a call for contact tracing, I most likely got it from an asymptomatic patient. My mom is gonna have to get tested today because she has mild symptoms. Even though she most likely can be positive I hope it’s a mild case like mines.</t>
        </is>
      </c>
      <c r="D572" t="n">
        <v>1</v>
      </c>
      <c r="E572" t="n">
        <v>3</v>
      </c>
      <c r="F572">
        <f>HYPERLINK("https://www.reddit.com/r/COVID19positive/comments/g7h0do/recovered_my_taste_and_smell/")</f>
        <v/>
      </c>
      <c r="G572" t="inlineStr">
        <is>
          <t>2020-04-24 14:26:48</t>
        </is>
      </c>
      <c r="H572" t="inlineStr">
        <is>
          <t>Tested Positive - Me</t>
        </is>
      </c>
    </row>
    <row r="573">
      <c r="A573" t="inlineStr">
        <is>
          <t>g7i5yq</t>
        </is>
      </c>
      <c r="B573" t="inlineStr">
        <is>
          <t>Trouble breathing</t>
        </is>
      </c>
      <c r="C573" t="inlineStr">
        <is>
          <t>So i got my antibody test back today and me and my whole family tested positive, had symptoms a few weeks back but recovered within a few days. But 5 days ago i started having issues while breathing as if i couldnt get enough air, is this bad or???</t>
        </is>
      </c>
      <c r="D573" t="n">
        <v>1</v>
      </c>
      <c r="E573" t="n">
        <v>9</v>
      </c>
      <c r="F573">
        <f>HYPERLINK("https://www.reddit.com/r/COVID19positive/comments/g7i5yq/trouble_breathing/")</f>
        <v/>
      </c>
      <c r="G573" t="inlineStr">
        <is>
          <t>2020-04-24 15:33:27</t>
        </is>
      </c>
      <c r="H573" t="inlineStr">
        <is>
          <t>Tested Positive - Family</t>
        </is>
      </c>
    </row>
    <row r="574">
      <c r="A574" t="inlineStr">
        <is>
          <t>g7j95a</t>
        </is>
      </c>
      <c r="B574" t="inlineStr">
        <is>
          <t>Antibodies test - Covid-19</t>
        </is>
      </c>
      <c r="C574" t="inlineStr">
        <is>
          <t>Anyone order this test online? Does it tell you if you’re currently infected or just if you have built up antibodies? I’ve seen some online medical stores selling them.</t>
        </is>
      </c>
      <c r="D574" t="n">
        <v>1</v>
      </c>
      <c r="E574" t="n">
        <v>6</v>
      </c>
      <c r="F574">
        <f>HYPERLINK("https://www.reddit.com/r/COVID19positive/comments/g7j95a/antibodies_test_covid19/")</f>
        <v/>
      </c>
      <c r="G574" t="inlineStr">
        <is>
          <t>2020-04-24 16:39:05</t>
        </is>
      </c>
      <c r="H574" t="inlineStr">
        <is>
          <t>Tested Positive</t>
        </is>
      </c>
    </row>
    <row r="575">
      <c r="A575" t="inlineStr">
        <is>
          <t>g7jgme</t>
        </is>
      </c>
      <c r="B575" t="inlineStr">
        <is>
          <t>Workers Comp?</t>
        </is>
      </c>
      <c r="C575" t="inlineStr">
        <is>
          <t>Has anyone successfully applied for/received workers comp after contracting Covid from work? My husband is a healthcare worker who works at a facility where there were mutliple patients with Covid, he had symptoms 1st then I did. We both tested positive. I'm a stay at home mom who only went out for groceries 1x/wk and he only went to work for the 2 weeks prior to symptoms. It seems impossible to definitively trace it to his job, perhaps I brought it from the store... but it's more than likely from his work.</t>
        </is>
      </c>
      <c r="D575" t="n">
        <v>1</v>
      </c>
      <c r="E575" t="n">
        <v>6</v>
      </c>
      <c r="F575">
        <f>HYPERLINK("https://www.reddit.com/r/COVID19positive/comments/g7jgme/workers_comp/")</f>
        <v/>
      </c>
      <c r="G575" t="inlineStr">
        <is>
          <t>2020-04-24 16:51:49</t>
        </is>
      </c>
      <c r="H575" t="inlineStr">
        <is>
          <t>Tested Positive - Me</t>
        </is>
      </c>
    </row>
    <row r="576">
      <c r="A576" t="inlineStr">
        <is>
          <t>g7k0ip</t>
        </is>
      </c>
      <c r="B576" t="inlineStr">
        <is>
          <t>Day 4- burning sternum</t>
        </is>
      </c>
      <c r="C576" t="inlineStr">
        <is>
          <t>F, 30s, w/lupus &amp;amp; RA. Got tested due to an outbreak at my work.  I felt my symptoms (headache and mild sore throat) were due to allergies but I was positive. Each day I've felt different and it seems like morning,  afternoon and evening are all different as well... there's just no consistency with this.
My initial biggest complaint was a horrible headache which has left.  Now I have this constant burning in my chest/sternum area.  It burns more when I talk or sit up. My chest feels kinda heavy and sore- like someone punched me and my diaphragm area also feels sore. All of that said, I have no real shortness of breath and my o2 is staying between 96-99 (got a pulse oximeter before all of this). Honestly minus my chest being on red hot fire and heavy,  I feel okay.  I've definitely felt worse in the past with the flu or pneumonia.  
 So what I'm wondering is if anyone else has experienced this burning chest and had it get better or did it continue to get worse? Is it an early symptom of something more concerning? Ultimately I know y'all aren't doctors and I'm awaiting mine to call me back but I thought it could be helpful to get some perspective from individuals who have gone through something similar.  Hope y'all get to feeling better soon and thanks!</t>
        </is>
      </c>
      <c r="D576" t="n">
        <v>1</v>
      </c>
      <c r="E576" t="n">
        <v>13</v>
      </c>
      <c r="F576">
        <f>HYPERLINK("https://www.reddit.com/r/COVID19positive/comments/g7k0ip/day_4_burning_sternum/")</f>
        <v/>
      </c>
      <c r="G576" t="inlineStr">
        <is>
          <t>2020-04-24 17:27:48</t>
        </is>
      </c>
      <c r="H576" t="inlineStr">
        <is>
          <t>Tested Positive - Me</t>
        </is>
      </c>
    </row>
    <row r="577">
      <c r="A577" t="inlineStr">
        <is>
          <t>g7kb4z</t>
        </is>
      </c>
      <c r="B577" t="inlineStr">
        <is>
          <t>Did anyone lose taste and smell multiple times? Feels like I’m loosing mine for the 3rd time. 8 week span of virus symptoms.</t>
        </is>
      </c>
      <c r="C577" t="inlineStr">
        <is>
          <t>Still having symptoms lingering 8 weeks later  ugh so frustrating</t>
        </is>
      </c>
      <c r="D577" t="n">
        <v>1</v>
      </c>
      <c r="E577" t="n">
        <v>12</v>
      </c>
      <c r="F577">
        <f>HYPERLINK("https://www.reddit.com/r/COVID19positive/comments/g7kb4z/did_anyone_lose_taste_and_smell_multiple_times/")</f>
        <v/>
      </c>
      <c r="G577" t="inlineStr">
        <is>
          <t>2020-04-24 17:46:47</t>
        </is>
      </c>
      <c r="H577" t="inlineStr">
        <is>
          <t>Tested Positive - Me</t>
        </is>
      </c>
    </row>
    <row r="578">
      <c r="A578" t="inlineStr">
        <is>
          <t>g7kzhj</t>
        </is>
      </c>
      <c r="B578" t="inlineStr">
        <is>
          <t>Question- please please answer</t>
        </is>
      </c>
      <c r="C578" t="inlineStr">
        <is>
          <t>Guys I really need help. I have a 4 month old at home.
A coworker came to me today and told me his roommate was in the hospital and just got tested today and was told today (the same day) that he has covid 19. 
A few things
1. He last saw the roommate on 4/20
2. Roommate wasn’t sympathetic with fever and cough until two days ago 4/22
3. My co worker has not seen him when symptomatic 
4. My coworker feels fine
5. THIS IS THE ONLY DAY I SAW HIM AND I ONLY SAW HIM FOR 10-15 MINUTES. 
I sent him home and I’m just freaking out at my chances. I swear ima still sleep in my car for two weeks because my child comes FIRST. I just need to know for my peace or not peace of mind. Please if you know statistical chances reply to me
I’m panicked, I’m anxious. Thank you</t>
        </is>
      </c>
      <c r="D578" t="n">
        <v>1</v>
      </c>
      <c r="E578" t="n">
        <v>7</v>
      </c>
      <c r="F578">
        <f>HYPERLINK("https://www.reddit.com/r/COVID19positive/comments/g7kzhj/question_please_please_answer/")</f>
        <v/>
      </c>
      <c r="G578" t="inlineStr">
        <is>
          <t>2020-04-24 18:31:58</t>
        </is>
      </c>
      <c r="H578" t="inlineStr">
        <is>
          <t>Tested Positive - Friends</t>
        </is>
      </c>
    </row>
    <row r="579">
      <c r="A579" t="inlineStr">
        <is>
          <t>g7new7</t>
        </is>
      </c>
      <c r="B579" t="inlineStr">
        <is>
          <t>Will smokers or casual former smokers all die and get complications from this disease?</t>
        </is>
      </c>
      <c r="C579" t="inlineStr">
        <is>
          <t>Do we know yet? Worried about someone who may have smoked in the past.</t>
        </is>
      </c>
      <c r="D579" t="n">
        <v>1</v>
      </c>
      <c r="E579" t="n">
        <v>17</v>
      </c>
      <c r="F579">
        <f>HYPERLINK("https://www.reddit.com/r/COVID19positive/comments/g7new7/will_smokers_or_casual_former_smokers_all_die_and/")</f>
        <v/>
      </c>
      <c r="G579" t="inlineStr">
        <is>
          <t>2020-04-24 21:25:05</t>
        </is>
      </c>
      <c r="H579" t="inlineStr">
        <is>
          <t>Tested Positive - Friends</t>
        </is>
      </c>
    </row>
    <row r="580">
      <c r="A580" t="inlineStr">
        <is>
          <t>g7ok1g</t>
        </is>
      </c>
      <c r="B580" t="inlineStr">
        <is>
          <t>Exercising after COVID-19</t>
        </is>
      </c>
      <c r="C580" t="inlineStr">
        <is>
          <t>I'm a 28 y/o M who tested positive on March 27, 2020. I had mild respiratory symptoms including shortness of breath, painful breathing, and slightly decreased O2 saturations. I also suffered GI symptoms, as well as ran a low grade fever for about 7 days after positive diagnosis. I'm still suffering from general fatigue and weakness at times, but have been able to return to work as a nurse. Prior to testing positive for COVID-19 I had began living a very active lifestyle exercising (cardio and weight training) 2-3 hours per day 6-7 days per week. I'm still considered obese and did have some weight gain during the illness due to not being able to exercise for a month (approximately 10 lbs.) Tonight, after a month, I decided to try to exercise again. It took everything in me to complete 10 minutes on the treadmill at 3 miles an hour. I became very short of breath, light headed, experienced tachycardia (172 bpm.) This is quite uncommon for me. I was wondered if anyone else recovering has experienced these symptoms when they began trying to get back into their normal routine, or if it is just deconditioning. I appreciate any input!</t>
        </is>
      </c>
      <c r="D580" t="n">
        <v>1</v>
      </c>
      <c r="E580" t="n">
        <v>11</v>
      </c>
      <c r="F580">
        <f>HYPERLINK("https://www.reddit.com/r/COVID19positive/comments/g7ok1g/exercising_after_covid19/")</f>
        <v/>
      </c>
      <c r="G580" t="inlineStr">
        <is>
          <t>2020-04-24 23:00:25</t>
        </is>
      </c>
      <c r="H580" t="inlineStr">
        <is>
          <t>Tested Positive - Me</t>
        </is>
      </c>
    </row>
    <row r="581">
      <c r="A581" t="inlineStr">
        <is>
          <t>g7pmkf</t>
        </is>
      </c>
      <c r="B581" t="inlineStr">
        <is>
          <t>Constant upper back pain and breathing issues *presumed positive*</t>
        </is>
      </c>
      <c r="C581" t="inlineStr">
        <is>
          <t>Been sick since 3/23.  Never had a cough, but had pretty bad breathing issues from wk 2 onward.   
 Fevers subsided about 2 wks ago, but have an almost constant shortness of breath ever since.  It used to go away during the day and be bad during nighttime, now its just always bad.  Had an x-ray done a few weeks ago when the pain was unbearable and it showed consolidation in my right lung, right where the stabbing pain was.  I had a few good days so I thought it was over, but the breathing stuff came back last week and has been constant ever since.
I have soreness in my upper back above my shoulder blades as well that I've never had before, with sparks of pain all over my chest when I move around a lot.
Been quarantined for over a month.  It feels like at some point my lungs are just going to give out and stop working.</t>
        </is>
      </c>
      <c r="D581" t="n">
        <v>1</v>
      </c>
      <c r="E581" t="n">
        <v>7</v>
      </c>
      <c r="F581">
        <f>HYPERLINK("https://www.reddit.com/r/COVID19positive/comments/g7pmkf/constant_upper_back_pain_and_breathing_issues/")</f>
        <v/>
      </c>
      <c r="G581" t="inlineStr">
        <is>
          <t>2020-04-25 00:38:36</t>
        </is>
      </c>
      <c r="H581" t="inlineStr">
        <is>
          <t>Tested Positive - Me</t>
        </is>
      </c>
    </row>
    <row r="582">
      <c r="A582" t="inlineStr">
        <is>
          <t>g7ufz5</t>
        </is>
      </c>
      <c r="B582" t="inlineStr">
        <is>
          <t>6 weeks in and still suffering vague symptoms (29M - A+)</t>
        </is>
      </c>
      <c r="C582" t="inlineStr">
        <is>
          <t>(Sorry in advance for rambling)
I first noticed something was off on the 17th March. Scratchy feeling at the back of my throat, uncomfortable post-nasal drip. I self-isolated after then. Had an intermittent cough. I feared I infected my 77 year old father too with no way to live in separate houses, so that made me feel anxious and depressed, presumably worsening my symptoms. (He is now into exactly 3 weeks of mild symptoms - eye pressure and phlegm still; fever, cough have subsided, so has loss of appetite which he had in his first week of overt symptoms)
I had a fever, a mild cough, a runny nose, and a throat that was sore only on one side but by far my worst symptoms were the horrid ammonia smell and dehydration, plus loss of appetite. I also feel some discomfort in my chest, especially when I lie down. Some aches and pains here and there, which come and go. Now, the symptoms seem milder, but I'm still congested with (mild) shortness of breath and mucus. Still keeping a vigil for my dad too; even though we're both well past the 5-10 days post-onset where people seem to most often deteriorate, I'm concerned about the possibility of sudden worsening symptoms and continued recurrence. Been dosing on vitamin c, d, zinc, and expectorant, but I know that can only go so far. 
Is there any reassurance that people don't usually get drastically worse after this long?</t>
        </is>
      </c>
      <c r="D582" t="n">
        <v>1</v>
      </c>
      <c r="E582" t="n">
        <v>15</v>
      </c>
      <c r="F582">
        <f>HYPERLINK("https://www.reddit.com/r/COVID19positive/comments/g7ufz5/6_weeks_in_and_still_suffering_vague_symptoms_29m/")</f>
        <v/>
      </c>
      <c r="G582" t="inlineStr">
        <is>
          <t>2020-04-25 07:32:40</t>
        </is>
      </c>
      <c r="H582" t="inlineStr">
        <is>
          <t>Tested Positive - Me</t>
        </is>
      </c>
    </row>
    <row r="583">
      <c r="A583" t="inlineStr">
        <is>
          <t>g7vgeq</t>
        </is>
      </c>
      <c r="B583" t="inlineStr">
        <is>
          <t>Day 10 of Testing Positive, havent slept properly in a week (INSOMNIA)</t>
        </is>
      </c>
      <c r="C583" t="inlineStr">
        <is>
          <t xml:space="preserve">
Hey everyone, im a 20 year old male, 280 pounds, 5'10 from Canada
I got tested positive for Covid-19 on April 16th after I lost my sense of taste and was having a hard time breathing. I thought it was just another sinus issue as ive had sinusitis for years now. I found out a week later when the results came in that im positive. So basically on April 23rd I found out. I had no symptoms other than my ears being blocked, harder to breathe, ocassional coughing
I am experiencing BAD insomnia. My mind isnt shutting off, I cannot sleep my body needs to be dead tired to even sleep for 1-2 hours a day. I suffer from sleep apnea as well. I keep overthinking and I cant sleep at all. I think ive only gotten about 7-8 hours of sleep this past week
Its been a week, my sense of taste and smell is back but its hard for me to breathe. I randomly get attacks of severe shortness of breath in the morning at the same time for the past 3 days. I drink alot of water, eat foods with Vitamin C and try to rest after. Ive also been experiencing bad insomnia and havent slept properly since ive gotten tested. My chest is tight and it feels like its burning, so do my ears (they're blocked along with bad nasal congestion) My eyes feel like they arent there at all. Has anyone else experienced this? I feel like my symptoms are getting worse and im scared my organs are gonna fail and die any second. I need some words to help me...</t>
        </is>
      </c>
      <c r="D583" t="n">
        <v>1</v>
      </c>
      <c r="E583" t="n">
        <v>5</v>
      </c>
      <c r="F583">
        <f>HYPERLINK("https://www.reddit.com/r/COVID19positive/comments/g7vgeq/day_10_of_testing_positive_havent_slept_properly/")</f>
        <v/>
      </c>
      <c r="G583" t="inlineStr">
        <is>
          <t>2020-04-25 08:37:06</t>
        </is>
      </c>
      <c r="H583" t="inlineStr">
        <is>
          <t>Tested Positive</t>
        </is>
      </c>
    </row>
    <row r="584">
      <c r="A584" t="inlineStr">
        <is>
          <t>g7vkef</t>
        </is>
      </c>
      <c r="B584" t="inlineStr">
        <is>
          <t>I'm awake and slowly (SLOWLY) improving after nine days on a ventilator</t>
        </is>
      </c>
      <c r="C584" t="inlineStr">
        <is>
          <t>25 year old trans woman who'd been on hormone replacement therapy for a couple months before I got sick.
I had posted here when I first went to the hospital about how I felt like death and I was just getting worse and worse with each passing second. They eventually put me on the vent and took me off nine days later. I came off about three days ago now. They moved me out of ICU back into a regular room and gave me my phone back so I could access the outside world.
I still feel pretty miserable overall honestly. My lungs are burning. I can't take deep breaths without coughing. I found out while here I'm a Type 2 diabetic and now might have kidney issues as well. I'm technically a survivor I guess but I certainly don't feel like a winner.</t>
        </is>
      </c>
      <c r="D584" t="n">
        <v>1</v>
      </c>
      <c r="E584" t="n">
        <v>54</v>
      </c>
      <c r="F584">
        <f>HYPERLINK("https://www.reddit.com/r/COVID19positive/comments/g7vkef/im_awake_and_slowly_slowly_improving_after_nine/")</f>
        <v/>
      </c>
      <c r="G584" t="inlineStr">
        <is>
          <t>2020-04-25 08:43:32</t>
        </is>
      </c>
      <c r="H584" t="inlineStr">
        <is>
          <t>Tested Positive - Me</t>
        </is>
      </c>
    </row>
    <row r="585">
      <c r="A585" t="inlineStr">
        <is>
          <t>g7vztw</t>
        </is>
      </c>
      <c r="B585" t="inlineStr">
        <is>
          <t>My dad is Covid positive</t>
        </is>
      </c>
      <c r="C585" t="inlineStr">
        <is>
          <t>My 58 year old dad has been tested Covid positive. 
He has been having fever and cough for a week now. Today his fever subsided but he has extreme fatigue with slight diarrhea. 
He has lost all sense of appetite and we are planning to admit him to the hospital today. 
The rest of us are extremely worried sick and would like to know if anyone has experienced similar symptoms. Does this look like a mild progression?</t>
        </is>
      </c>
      <c r="D585" t="n">
        <v>1</v>
      </c>
      <c r="E585" t="n">
        <v>8</v>
      </c>
      <c r="F585">
        <f>HYPERLINK("https://www.reddit.com/r/COVID19positive/comments/g7vztw/my_dad_is_covid_positive/")</f>
        <v/>
      </c>
      <c r="G585" t="inlineStr">
        <is>
          <t>2020-04-25 09:08:07</t>
        </is>
      </c>
      <c r="H585" t="inlineStr">
        <is>
          <t>Tested Positive - Family</t>
        </is>
      </c>
    </row>
    <row r="586">
      <c r="A586" t="inlineStr">
        <is>
          <t>g7xaz6</t>
        </is>
      </c>
      <c r="B586" t="inlineStr">
        <is>
          <t>Update on symptoms</t>
        </is>
      </c>
      <c r="C586" t="inlineStr">
        <is>
          <t>Week 1: extreme nausea, loss of appetite, Diahrrea, weird sandy throat, muscle pain 
Week 2: fatigue, loss of appetite, Diahrrea, heart palpitations, coughing up phlegm in the mornings, low grade fevers, muscle pain 
Week 3: Diahrrea is better but still soft stools which aren’t normal for me, still morning phlegm, higher fever 101 but it goes back down to low grade, sandy throat feels worse and notice little tiny dots in mouth. Extreme fatigue, random muscle pain bout 
I’m awaiting what week 4 brings 
Pretty scared I may develop shortness of breath or more worsening of symptoms 
I’m on day 26 since full blown symptoms March 31
Has anyone had shortness of breath this late in the game?</t>
        </is>
      </c>
      <c r="D586" t="n">
        <v>2</v>
      </c>
      <c r="E586" t="n">
        <v>4</v>
      </c>
      <c r="F586">
        <f>HYPERLINK("https://www.reddit.com/r/COVID19positive/comments/g7xaz6/update_on_symptoms/")</f>
        <v/>
      </c>
      <c r="G586" t="inlineStr">
        <is>
          <t>2020-04-25 10:20:19</t>
        </is>
      </c>
      <c r="H586" t="inlineStr">
        <is>
          <t>Tested Positive</t>
        </is>
      </c>
    </row>
    <row r="587">
      <c r="A587" t="inlineStr">
        <is>
          <t>g7zffu</t>
        </is>
      </c>
      <c r="B587" t="inlineStr">
        <is>
          <t>Feels Like I Got Hit By A Truck</t>
        </is>
      </c>
      <c r="C587" t="inlineStr">
        <is>
          <t>I’m 26,F , history of Ulcerative Colitis &amp;amp; obese but other than that healthy . March 24th , I lose my sense of smell &amp;amp; taste and was told to self isolate by my doctor. I got symptoms (SOB, chest pain , loss of appetite, the works) . March 30th , I get tested after a short trip to the ER , two days later find out I’m positive🤦🏻‍♀️ had viral pneumonia, which went away by my next x-ray a week later. My loss of appetite however hasn’t come back. Last week I couldn’t drink anything without throwing it up (according to doctors it could be I developed gastritis) and still had shortness of breath . I also feel pretty weak, barely getting out bed but do light walking in order to avoid clots 😩 I’m curious as to how much longer is this nightmare? I’m thankful in my numerous times to the ER I’ve never had to be admitted but the unknown is scary 
Medicine I was on : Tylenol (for pain, never got a fever) Mucinex (congestion) Netipot (nasal congestion) Pecide (for suspected gastritis) some anti nausea medicine , three times in ER for severe dehydration 
This week (week 4)according to my doctor, my lungs sound normal, heart rate was up but nothing to worry about In EKG , still feel fluttering around heart , heart rates slowing dropping , left lung feels weird though or it’s my upper back. Slowly drinking liquids and I feel like something is moving in the left side of my brain(which I was told I’m being paranoid at this point but also get ear ringing in that same side. Feel like it’s messing with my nervous system. And I can’t sleep now in fear something might happen (I also have both anxiety/depression which screws me up mentally) 
Please tell me I’m not the only one feeling like I got hit by an 18 wheeler &amp;amp; somehow survived.</t>
        </is>
      </c>
      <c r="D587" t="n">
        <v>2</v>
      </c>
      <c r="E587" t="n">
        <v>7</v>
      </c>
      <c r="F587">
        <f>HYPERLINK("https://www.reddit.com/r/COVID19positive/comments/g7zffu/feels_like_i_got_hit_by_a_truck/")</f>
        <v/>
      </c>
      <c r="G587" t="inlineStr">
        <is>
          <t>2020-04-25 12:15:18</t>
        </is>
      </c>
      <c r="H587" t="inlineStr">
        <is>
          <t>Tested Positive - Me</t>
        </is>
      </c>
    </row>
    <row r="588">
      <c r="A588" t="inlineStr">
        <is>
          <t>g7znx2</t>
        </is>
      </c>
      <c r="B588" t="inlineStr">
        <is>
          <t>Fever dont drop when taking fever reducing?</t>
        </is>
      </c>
      <c r="C588" t="inlineStr">
        <is>
          <t>I'm on day 35 in this ride, oxygen saturarion is good enough 96-99, fever/cough/fatigue. My fever is lowgrade 37.8-39 but it doesnt go down upon taking fever reducing meds. Does this happen to you?</t>
        </is>
      </c>
      <c r="D588" t="n">
        <v>1</v>
      </c>
      <c r="E588" t="n">
        <v>2</v>
      </c>
      <c r="F588">
        <f>HYPERLINK("https://www.reddit.com/r/COVID19positive/comments/g7znx2/fever_dont_drop_when_taking_fever_reducing/")</f>
        <v/>
      </c>
      <c r="G588" t="inlineStr">
        <is>
          <t>2020-04-25 12:28:01</t>
        </is>
      </c>
      <c r="H588" t="inlineStr">
        <is>
          <t>Tested Positive</t>
        </is>
      </c>
    </row>
    <row r="589">
      <c r="A589" t="inlineStr">
        <is>
          <t>g800nr</t>
        </is>
      </c>
      <c r="B589" t="inlineStr">
        <is>
          <t>How long to stay isolated after positive diagnosis?!</t>
        </is>
      </c>
      <c r="C589" t="inlineStr">
        <is>
          <t>I was exposed to COVID-19 on April 3d, two days later I started displaying the symptoms. As soon as I was exposed my spouse removed himself from our apartment and went to stay elsewhere. 5 days ago I tested again and was tested positive for the second time..thats 15 days since the beginning of the symptoms. Today, it's been 20 days...my spouse is wondering if its safe for him to return home. Seems like nurses that tested me don't know how to answer that question. I was told that I have to have two negative tests in order to be working with public. But how do I know when its safe for my spouse to return home?! I have no fever, I still cough but rarely. Something like 6 times a day in total. Tons of conflicting information online. Not sure what to do...</t>
        </is>
      </c>
      <c r="D589" t="n">
        <v>1</v>
      </c>
      <c r="E589" t="n">
        <v>4</v>
      </c>
      <c r="F589">
        <f>HYPERLINK("https://www.reddit.com/r/COVID19positive/comments/g800nr/how_long_to_stay_isolated_after_positive_diagnosis/")</f>
        <v/>
      </c>
      <c r="G589" t="inlineStr">
        <is>
          <t>2020-04-25 12:48:26</t>
        </is>
      </c>
      <c r="H589" t="inlineStr">
        <is>
          <t>Tested Positive - Me</t>
        </is>
      </c>
    </row>
    <row r="590">
      <c r="A590" t="inlineStr">
        <is>
          <t>g801ut</t>
        </is>
      </c>
      <c r="B590" t="inlineStr">
        <is>
          <t>My cousins just tested positive for the antibody test for an illness they had back in February.</t>
        </is>
      </c>
      <c r="C590" t="inlineStr">
        <is>
          <t>Absolutely crazy to me that we now have confirmation that this has been spreading a lot longer than we thought originally...
My cousin (30) and her daughter (11) both tested positive for the antibody test. They were both really sick back in early February and her daughter got hospitalized for dehydration. This happened in Denver, so who knows how long it has been spreading since before that.
If all these people were going around spreading this unknowingly for AT LEAST a month before we went on lockdown, shouldn’t we be somewhat closer to heard immunity? Also this would mean the mortality rate is a LOT lower than anticipated.</t>
        </is>
      </c>
      <c r="D590" t="n">
        <v>2</v>
      </c>
      <c r="E590" t="n">
        <v>32</v>
      </c>
      <c r="F590">
        <f>HYPERLINK("https://www.reddit.com/r/COVID19positive/comments/g801ut/my_cousins_just_tested_positive_for_the_antibody/")</f>
        <v/>
      </c>
      <c r="G590" t="inlineStr">
        <is>
          <t>2020-04-25 12:50:24</t>
        </is>
      </c>
      <c r="H590" t="inlineStr">
        <is>
          <t>Tested Positive - Family</t>
        </is>
      </c>
    </row>
    <row r="591">
      <c r="A591" t="inlineStr">
        <is>
          <t>g808az</t>
        </is>
      </c>
      <c r="B591" t="inlineStr">
        <is>
          <t>I have the most mild case and still feel like I won’t fully recover</t>
        </is>
      </c>
      <c r="C591" t="inlineStr">
        <is>
          <t>By mild, I mean almost asymptomatic. I lost my sense of smell day 2 (day 1 just had a fever) and recovered my senses around day 12. Doctors have told me they think I started recovering the moment my loss of senses came, and if I don’t have a cough by now I should just wait it out another 2 weeks to be safe.
Now there’s all these studies about how young people with little to no symptoms are getting random strokes. Or that people who have been positive will re test positive again. Luckily the health district has told me I can get a re test in order to work with some patients again (I don’t plan on doing this until at least a month without symptoms to be safe) 
I’m so anxious that I had a mild case but this virus is so sneaky, I’m gonna randomly fall severe. I feel like I’ve just been tainted and even though it’s mild I’m never gonna recover or that more symptoms are soon to come when I least expect it. Mainly everyone on this sub is at least day 25+ with SOME symptoms, or say they got better and then got worse out of nowhere.
Is there literally any flawless recoveries out there? That don’t have complications? I’m lucky to have a mild case but I just feel like as time goes on, more studies will find out that mild cases will get severe randomly...</t>
        </is>
      </c>
      <c r="D591" t="n">
        <v>2</v>
      </c>
      <c r="E591" t="n">
        <v>21</v>
      </c>
      <c r="F591">
        <f>HYPERLINK("https://www.reddit.com/r/COVID19positive/comments/g808az/i_have_the_most_mild_case_and_still_feel_like_i/")</f>
        <v/>
      </c>
      <c r="G591" t="inlineStr">
        <is>
          <t>2020-04-25 13:01:04</t>
        </is>
      </c>
      <c r="H591" t="inlineStr">
        <is>
          <t>Tested Positive - Me</t>
        </is>
      </c>
    </row>
    <row r="592">
      <c r="A592" t="inlineStr">
        <is>
          <t>g815iu</t>
        </is>
      </c>
      <c r="B592" t="inlineStr">
        <is>
          <t>Tested positive 04/09/2020. Feeling extremely lucky.</t>
        </is>
      </c>
      <c r="C592" t="inlineStr">
        <is>
          <t>I noticed the loss of taste and smell on the 8th, made an appointment for covid-19 test on the 9th. I had an annoying fever from 10th to the 12th. Monday the 13th, my senses of taste and smell came back. No symptoms since then. I just did two more covid-19 test, thursday and yesterday. Hopefully they come back negative.</t>
        </is>
      </c>
      <c r="D592" t="n">
        <v>3</v>
      </c>
      <c r="E592" t="n">
        <v>8</v>
      </c>
      <c r="F592">
        <f>HYPERLINK("https://www.reddit.com/r/COVID19positive/comments/g815iu/tested_positive_04092020_feeling_extremely_lucky/")</f>
        <v/>
      </c>
      <c r="G592" t="inlineStr">
        <is>
          <t>2020-04-25 13:55:03</t>
        </is>
      </c>
      <c r="H592" t="inlineStr">
        <is>
          <t>Tested Positive - Me</t>
        </is>
      </c>
    </row>
    <row r="593">
      <c r="A593" t="inlineStr">
        <is>
          <t>g83twu</t>
        </is>
      </c>
      <c r="B593" t="inlineStr">
        <is>
          <t>This might not all be bad</t>
        </is>
      </c>
      <c r="C593" t="inlineStr">
        <is>
          <t>You know....when Peter Parker got bit by a spider he got very sick and, while the movie didn’t go into it, it’s possible his residual symptoms went on for months and months (like this has for many of us).  And look how things ended up for him?  Okay...in all seriousness...we know so little about this virus...it is possible that in some ways it could have positive effects on us as well as all this sickness crap (e.g. immunity to something worse?).  I know this is a long shot...but it’s possible and...being positive helps healing so I’m going with it. ;) 
(hoping the possibility at least made you smile).</t>
        </is>
      </c>
      <c r="D593" t="n">
        <v>1</v>
      </c>
      <c r="E593" t="n">
        <v>16</v>
      </c>
      <c r="F593">
        <f>HYPERLINK("https://www.reddit.com/r/COVID19positive/comments/g83twu/this_might_not_all_be_bad/")</f>
        <v/>
      </c>
      <c r="G593" t="inlineStr">
        <is>
          <t>2020-04-25 16:36:46</t>
        </is>
      </c>
      <c r="H593" t="inlineStr">
        <is>
          <t>Tested Positive - Me</t>
        </is>
      </c>
    </row>
    <row r="594">
      <c r="A594" t="inlineStr">
        <is>
          <t>g83uz5</t>
        </is>
      </c>
      <c r="B594" t="inlineStr">
        <is>
          <t>day 10 feeling way better</t>
        </is>
      </c>
      <c r="C594" t="inlineStr">
        <is>
          <t>i’m hoping this is all i’m going to get. my fever has gone away, diarrhea is less, feel way more stronger than before,and cough is dying out. everybody else in the house is feeling way better  hopefully we will all be okay.</t>
        </is>
      </c>
      <c r="D594" t="n">
        <v>1</v>
      </c>
      <c r="E594" t="n">
        <v>2</v>
      </c>
      <c r="F594">
        <f>HYPERLINK("https://www.reddit.com/r/COVID19positive/comments/g83uz5/day_10_feeling_way_better/")</f>
        <v/>
      </c>
      <c r="G594" t="inlineStr">
        <is>
          <t>2020-04-25 16:38:37</t>
        </is>
      </c>
      <c r="H594" t="inlineStr">
        <is>
          <t>Tested Positive - Family</t>
        </is>
      </c>
    </row>
    <row r="595">
      <c r="A595" t="inlineStr">
        <is>
          <t>g84af7</t>
        </is>
      </c>
      <c r="B595" t="inlineStr">
        <is>
          <t>Day 36. Waiting for the antibody test</t>
        </is>
      </c>
      <c r="C595" t="inlineStr">
        <is>
          <t>I am 37 yr old female. I got sick March 20th.
My doctor first told me it's just a common cold and gave me a cough medicine.
But I started vomiting. My doctor wasn't available, so a different doctor gave me some pills for nausea.
Then a week later I got sicker. I looked terrible. Every joints in my body was hurting. I was coughing blood up.
My doctor gave me zpak. Nothing happened. I started hearing metal scratching noise from my windpipe every time I blow out a breath. My doctor didn't really believe that. I guess he's never experienced it so he probably didn't know you could hear it yourself.
Anyways, my doctor gave me oral steroids. And by now I had horrible shortness of breath already, so he also gave me an inhaler to use as needed. It didn't really help though.
I thought I was dying. Every inch of my body hurt. I wanted to go to a hospital, but I didn't want to a place full of covid-19. 
By the end of the second week, my doctor discussed with some other doctors at his practice, and decided to send me to get tested. I went the next day, it was positive. I was sent for an xray the day after. I had pneumonia.
I wanted to die. Everything was painful. And knowing that there's no cure made the pain worse. I started thinking about death in more detail. I contacted a local medical school which I had arranged to donate my body after I'm gone, and told them I have covid. They said they couldn't except my body anymore. That was very depressing. 
On the third week, my doctor said "you have pneumonia. What do you think? Do you want another rounds of antibiotics?" I sensed the uncertainty from his voice. But I had no other choice just like he didn't have any other option. So I said sure.
He gave me a different kind of antibiotics this time, and the oral steroids again. And he also gave me a steroid inhaler to use twice a day. By the end of the 3rd week, I didn't get better at all. And my doctor admitted he doesn't know what to do anymore. He called a pulmonologist onto my case.
This lung doctor didn't know shit either, obviously. But now they were discussing with more doctors and finally decided to give me hydroxychloroquine which he told me before that it was only for inpatients at the hospitals. My doc also gave me clonazepam to let me calm, but very low dose because apparently I could stop functioning.
The lung doctor told me to sleep with my head higher than the heart. And also on my stomach. 🙄 So....... I just ignored it.
Another week passed.
And now I have an oxygen concentrator a home the pulmonologist prescribed. I'm on it 24 hours. They also gave me the oxygen tanks to use when I go outside, but I'm like, outside? Hello I'm being quarantined.
My doctor told me they will test me for the antibody in 2-3 weeks. Then they will know if I still have either active coronavirus or the antibody. That's when he will tell me if I could step outside of the house or not.
This has been hard especially because my husband was still going to work when I was in the most pain, and I had to care for our baby. Then he also became positive. Although he was sick only for 2 weeks, it was a hell trying to look after the 11 month old baby while we both have a very contagious, possibly deadly virus.
Luckily the baby never got sick, and it's going to be his first birthday on 30th.
My husband is back to work so it will be me and the baby. We are not allowed invite anyone into this house. So yup. At least he's so young that he won't remember it, right? 
I still have some breathing difficulties and coughing from the pneumonia, but no more body aches, no more night sweat, no more chills. Well, headache still comes and goes. 
The pulmonologist thinks I will be on this oxygen machine for at least a month, and she predicted that it will take about 2-3 months until I completely recover like before I got sick. 
This became a longer post than I anticipated. If any of you actually read this far, sorry for not being organized. And be safe.</t>
        </is>
      </c>
      <c r="D595" t="n">
        <v>1</v>
      </c>
      <c r="E595" t="n">
        <v>28</v>
      </c>
      <c r="F595">
        <f>HYPERLINK("https://www.reddit.com/r/COVID19positive/comments/g84af7/day_36_waiting_for_the_antibody_test/")</f>
        <v/>
      </c>
      <c r="G595" t="inlineStr">
        <is>
          <t>2020-04-25 17:05:12</t>
        </is>
      </c>
      <c r="H595" t="inlineStr">
        <is>
          <t>Tested Positive - Me</t>
        </is>
      </c>
    </row>
    <row r="596">
      <c r="A596" t="inlineStr">
        <is>
          <t>g86ca4</t>
        </is>
      </c>
      <c r="B596" t="inlineStr">
        <is>
          <t>How do you deal with Coronavirus anxiety?</t>
        </is>
      </c>
      <c r="C596" t="inlineStr">
        <is>
          <t>My gf is a nurse and has for a couple of days been figting the virus, yesterday I lost my sense of taste and I just woke up with slight chest pains on the lower left and right side.
While the symptoms yet are mild and I should be able to go back to sleep, my brain has gone into override and it feels like anxiety is overtaking me. 
How do you guys deal with anxiety while having this disease?</t>
        </is>
      </c>
      <c r="D596" t="n">
        <v>1</v>
      </c>
      <c r="E596" t="n">
        <v>5</v>
      </c>
      <c r="F596">
        <f>HYPERLINK("https://www.reddit.com/r/COVID19positive/comments/g86ca4/how_do_you_deal_with_coronavirus_anxiety/")</f>
        <v/>
      </c>
      <c r="G596" t="inlineStr">
        <is>
          <t>2020-04-25 19:22:17</t>
        </is>
      </c>
      <c r="H596" t="inlineStr">
        <is>
          <t>Tested Positive - Family</t>
        </is>
      </c>
    </row>
    <row r="597">
      <c r="A597" t="inlineStr">
        <is>
          <t>g871ak</t>
        </is>
      </c>
      <c r="B597" t="inlineStr">
        <is>
          <t>Summary of COVID-19 instructions ( funny )</t>
        </is>
      </c>
      <c r="C597" t="inlineStr">
        <is>
          <t>https://youtu.be/Hspw7Y1Gc5s</t>
        </is>
      </c>
      <c r="D597" t="n">
        <v>1</v>
      </c>
      <c r="E597" t="n">
        <v>1</v>
      </c>
      <c r="F597">
        <f>HYPERLINK("https://www.reddit.com/r/COVID19positive/comments/g871ak/summary_of_covid19_instructions_funny/")</f>
        <v/>
      </c>
      <c r="G597" t="inlineStr">
        <is>
          <t>2020-04-25 20:12:06</t>
        </is>
      </c>
      <c r="H597" t="inlineStr">
        <is>
          <t>Tested Positive - Me</t>
        </is>
      </c>
    </row>
    <row r="598">
      <c r="A598" t="inlineStr">
        <is>
          <t>g872ev</t>
        </is>
      </c>
      <c r="B598" t="inlineStr">
        <is>
          <t>Anyone using inhalers? 30s M, presumed positive, sick for weeks.</t>
        </is>
      </c>
      <c r="C598" t="inlineStr">
        <is>
          <t>Day 30.. something.  I have been having bad breating problems for weeks.  I went to the doctor today and got an inhaler called Stiolto Respimat.  The doctor originally prescribed something else but said this one would be better.  Does anyone have any experience with this medicine, and did it help?</t>
        </is>
      </c>
      <c r="D598" t="n">
        <v>1</v>
      </c>
      <c r="E598" t="n">
        <v>4</v>
      </c>
      <c r="F598">
        <f>HYPERLINK("https://www.reddit.com/r/COVID19positive/comments/g872ev/anyone_using_inhalers_30s_m_presumed_positive/")</f>
        <v/>
      </c>
      <c r="G598" t="inlineStr">
        <is>
          <t>2020-04-25 20:14:23</t>
        </is>
      </c>
      <c r="H598" t="inlineStr">
        <is>
          <t>Tested Positive - Me</t>
        </is>
      </c>
    </row>
    <row r="599">
      <c r="A599" t="inlineStr">
        <is>
          <t>g8b5k8</t>
        </is>
      </c>
      <c r="B599" t="inlineStr">
        <is>
          <t>Daily-progression experience with intubated COVID patients?</t>
        </is>
      </c>
      <c r="C599" t="inlineStr">
        <is>
          <t>Does anyone have a daily-progression experience with intubated COVID patients? I am trying to calculate the odds of my father-in-law surviving this calamity. 65 year old with no underlying issues. Went to the hospital w/ some breathing difficulties. 2 days trying to breathe on his own before having to get ventilated. First two days, able to nod to videocall yes/no questions. Past two days sedated and does not respond to questions even though vitals are still the same.
Thanks for any info on the subject. Plentiful Thanks to the friendly redditor who referred me to this sub from general COVID.</t>
        </is>
      </c>
      <c r="D599" t="n">
        <v>1</v>
      </c>
      <c r="E599" t="n">
        <v>2</v>
      </c>
      <c r="F599">
        <f>HYPERLINK("https://www.reddit.com/r/COVID19positive/comments/g8b5k8/dailyprogression_experience_with_intubated_covid/")</f>
        <v/>
      </c>
      <c r="G599" t="inlineStr">
        <is>
          <t>2020-04-26 01:56:22</t>
        </is>
      </c>
      <c r="H599" t="inlineStr">
        <is>
          <t>Tested Positive - Family</t>
        </is>
      </c>
    </row>
    <row r="600">
      <c r="A600" t="inlineStr">
        <is>
          <t>g8d0za</t>
        </is>
      </c>
      <c r="B600" t="inlineStr">
        <is>
          <t>Update.</t>
        </is>
      </c>
      <c r="C600" t="inlineStr">
        <is>
          <t>Hey guys, thought I’d give an update since I had so much support from my last post and I had a couple people messaging me.
The good.  I seem to have improved from 35 a decent amount.  My lungs are doing a bit better, and my general feeling of sickness has gone down a bit.  I also have a bit more energy.  That is encouraging and I am thankful.
The not so good.  I was hesitant to share this, but I did have some symptom of stroke on Friday.  I was outside enjoying the weather, then all of a sudden it felt like the left side of my body had the gravity turn way up, I got really tired and started having a weird feeling.  It resolved after a short time.  I went back to the er to see what he thought, said everything looked ok and gave me some aspirin.  I’m not sure what this means.  He said my dimer was fine, and I think I’m starting to see circulation improvement, plus a steadying of my blood pressure.  I am very concerned about it, and am unsure what is happening.  If my blood was clotting, then I think they could see it.  Maybe I am having severe emotional problems that are manifesting these symptoms. Or maybe I am having clothing issues, It could be the 2nd clotting event with my lungs.
I was hesitant to update, esp considering I could be having some sort of emotional issue and I do not want to scare anyone.  But I wanted to update as everybody has been so nice and it means a lot to me.  I’m not going to lie, I am feeling more positive than I ever had, in large part to what y’all have given me.  While at the same time, do fear clotting and the reality of what having this virus even for another few weeks could mean if that is he case.
Cheers everybody, hoping I’m not spamming and take what I’m giving with a grain of salt I guess.  I hope you all are doing well.</t>
        </is>
      </c>
      <c r="D600" t="n">
        <v>1</v>
      </c>
      <c r="E600" t="n">
        <v>64</v>
      </c>
      <c r="F600">
        <f>HYPERLINK("https://www.reddit.com/r/COVID19positive/comments/g8d0za/update/")</f>
        <v/>
      </c>
      <c r="G600" t="inlineStr">
        <is>
          <t>2020-04-26 04:48:51</t>
        </is>
      </c>
      <c r="H600" t="inlineStr">
        <is>
          <t>Tested Positive</t>
        </is>
      </c>
    </row>
    <row r="601">
      <c r="A601" t="inlineStr">
        <is>
          <t>g8eivv</t>
        </is>
      </c>
      <c r="B601" t="inlineStr">
        <is>
          <t>GI SYMPTOMS, nerves system and sinuses</t>
        </is>
      </c>
      <c r="C601" t="inlineStr">
        <is>
          <t>March the 16th (my birthday) I woke up with the worst nausea/ abdominal pain, dizziness, chills and dhiarrrah. A week past of continuing pain but week 2 it ramped up with sinus pressure, full lost of smell and taste, headaches, more dizziness, terrible chills and full lost of appetite of me losing a stone. still bed bound. Weeks 3/4 came terrible aches and pains, severe GI issues having to attend the hospital for tests that came back good. I never had any respiratory issues. Only minor shortness of breath and shooting pains in abdominal and chest that has now cleared. Week 5 has brought minor twitching, sensitivity to light, constant headache, eye focus issues, constant dizziness but no GI symptoms. Maybe that’s passed but as we no this virus is a shape shifter and loves to disappear and come back with vengeance. Tried everything from medicine to vitamins but this is a long road to recovery and really deflating and mentally exhausting. I’m 25 year old athlete and i haven’t got the energy to even walk up the stairs atm. Constant sleeping. I just wanted to share this for those who ain’t witnessing respiratory issues and full focus on the GI, nerves system and sinuses. I pray for us all. I can’t remember what it’s like to be normal anymore. Is this the new norm? Also smell and taste is back but very very weak. Seems to come and go. Please when those do recover please share and give us hope as from what I’ve read we are all fed up. Thanks for reading and open to answer any questions you have</t>
        </is>
      </c>
      <c r="D601" t="n">
        <v>1</v>
      </c>
      <c r="E601" t="n">
        <v>8</v>
      </c>
      <c r="F601">
        <f>HYPERLINK("https://www.reddit.com/r/COVID19positive/comments/g8eivv/gi_symptoms_nerves_system_and_sinuses/")</f>
        <v/>
      </c>
      <c r="G601" t="inlineStr">
        <is>
          <t>2020-04-26 06:40:39</t>
        </is>
      </c>
      <c r="H601" t="inlineStr">
        <is>
          <t>Tested Positive - Family</t>
        </is>
      </c>
    </row>
    <row r="602">
      <c r="A602" t="inlineStr">
        <is>
          <t>g8g82c</t>
        </is>
      </c>
      <c r="B602" t="inlineStr">
        <is>
          <t>Worries about antibiotics prescribed whilst on relapse</t>
        </is>
      </c>
      <c r="C602" t="inlineStr">
        <is>
          <t>Hi gang, I’m 26M symptoms started 31 days ago for me. 
First week I had; chest tightness, SOB, fever, no cough, fatigue, gastro issues. Second week they remained but slowly digressed. Third week I started feeling better and getting my energy back. Just under a week ago (4th week) I relapsed and have been feeling nausea, loss of appetite, SOB &amp;amp; chest tightness (note haven’t had a fever since 1st week). 
I have been prescribed 2 courses of antibiotics by a doctor; Amoxicillin &amp;amp; Clarithromycin. Prescribed as the doctor believes I may have suffered a bacterial infection after getting over the covid19. I am worried about taking them due to their side effects - I already have elevated heart, nausea &amp;amp; fatigue so not sure what damage these may do further!
FYI I’m in the UK. Any other antibiotic takers out there?</t>
        </is>
      </c>
      <c r="D602" t="n">
        <v>1</v>
      </c>
      <c r="E602" t="n">
        <v>21</v>
      </c>
      <c r="F602">
        <f>HYPERLINK("https://www.reddit.com/r/COVID19positive/comments/g8g82c/worries_about_antibiotics_prescribed_whilst_on/")</f>
        <v/>
      </c>
      <c r="G602" t="inlineStr">
        <is>
          <t>2020-04-26 08:27:49</t>
        </is>
      </c>
      <c r="H602" t="inlineStr">
        <is>
          <t>Tested Positive</t>
        </is>
      </c>
    </row>
    <row r="603">
      <c r="A603" t="inlineStr">
        <is>
          <t>g8js4l</t>
        </is>
      </c>
      <c r="B603" t="inlineStr">
        <is>
          <t>Firsthand Experience w/ COVID19 - Mental Health</t>
        </is>
      </c>
      <c r="C603" t="inlineStr">
        <is>
          <t>Hi everyone, 
New here; its so nice to find a community that freely shares experiences -- good or bad -- related to this illness. 
I've mentioned in a few posts that my dad is positive and currently in the ICU (extubated now, but still has O2 support). He is an essential worker, who had to continue to work despite shelter-in-place. As with most of you here, esp those who are dealing w/ critical cases in the ICU, this illness is taking a toll on my family's mental health. We are seeking family counselors / therapists via trustworthy sources, but the day-to-day is still incredibly heartbreaking. And more recently, I am really concerned seeing news in the US about certain areas lifting shelter-in-place, not only for obvious public health reasons, but also because people are trying so hard to rush back to normal (and in my head it feels like they want to gloss over all the people / families who cannot just go flip a switch and go back to normal). 
I understand that this doesn't replace an actual mental health counseling service. But I was wondering if any of you have strategies to share to keep your / families' spirits up? What are some of the little things you do everyday to help you keep going day by day? For me, listening to music is helping a little bit :-)   
Thnx for reading</t>
        </is>
      </c>
      <c r="D603" t="n">
        <v>1</v>
      </c>
      <c r="E603" t="n">
        <v>4</v>
      </c>
      <c r="F603">
        <f>HYPERLINK("https://www.reddit.com/r/COVID19positive/comments/g8js4l/firsthand_experience_w_covid19_mental_health/")</f>
        <v/>
      </c>
      <c r="G603" t="inlineStr">
        <is>
          <t>2020-04-26 11:40:24</t>
        </is>
      </c>
      <c r="H603" t="inlineStr">
        <is>
          <t>Tested Positive - Family</t>
        </is>
      </c>
    </row>
    <row r="604">
      <c r="A604" t="inlineStr">
        <is>
          <t>g8l2a9</t>
        </is>
      </c>
      <c r="B604" t="inlineStr">
        <is>
          <t>Paranoid</t>
        </is>
      </c>
      <c r="C604" t="inlineStr">
        <is>
          <t>Is anyone else here still afraid of their symptoms even though it’s like day 40-ish +? shut down social media/ internet to calm my anxiety . I read the blood clots story and freaked out &amp;amp; maybe started moving more than I should have yesterday. I moved a bit my first few weeks while on my worst symptoms. I’ve lost a ton of weight since my first day, &amp;amp; that oddly freaked me out. Anyone else feel this way or have I lost it? Taking Xanax for the anxiety btw</t>
        </is>
      </c>
      <c r="D604" t="n">
        <v>1</v>
      </c>
      <c r="E604" t="n">
        <v>21</v>
      </c>
      <c r="F604">
        <f>HYPERLINK("https://www.reddit.com/r/COVID19positive/comments/g8l2a9/paranoid/")</f>
        <v/>
      </c>
      <c r="G604" t="inlineStr">
        <is>
          <t>2020-04-26 12:48:35</t>
        </is>
      </c>
      <c r="H604" t="inlineStr">
        <is>
          <t>Tested Positive - Me</t>
        </is>
      </c>
    </row>
    <row r="605">
      <c r="A605" t="inlineStr">
        <is>
          <t>g8lb2y</t>
        </is>
      </c>
      <c r="B605" t="inlineStr">
        <is>
          <t>I'm scared im having the worst breathing difficulty I've ever had please help</t>
        </is>
      </c>
      <c r="C605" t="inlineStr">
        <is>
          <t>I'm fucking shaking. I cant fucking breathe my throat is swelling up and my lungs are so tight and pressured. The paramedics came and told me that theres no point to take me to the hospital because theres no cure at all and id be sent home. That they cant do anything for me. I feel so faint and dizzy and my lungs and chest feel this anxiety sensation and it's unbearable. I feel like I actually might die and these mother fuckers advice was stay home there's nothing they can do. The driver was saying the virus only last 2 weeks and i yelled at this fucking retard. Ive HAD THE VIRUS SINCE FEB 26TH. how the FUCK is it only two weeks. No one on this sub is cleared after 50 days. Fucking fake lies from these morons. They want us all to die. The hospitals are not doing a god damn thing. This is a fucked up world.</t>
        </is>
      </c>
      <c r="D605" t="n">
        <v>1</v>
      </c>
      <c r="E605" t="n">
        <v>21</v>
      </c>
      <c r="F605">
        <f>HYPERLINK("https://www.reddit.com/r/COVID19positive/comments/g8lb2y/im_scared_im_having_the_worst_breathing/")</f>
        <v/>
      </c>
      <c r="G605" t="inlineStr">
        <is>
          <t>2020-04-26 13:02:00</t>
        </is>
      </c>
      <c r="H605" t="inlineStr">
        <is>
          <t>Tested Positive</t>
        </is>
      </c>
    </row>
    <row r="606">
      <c r="A606" t="inlineStr">
        <is>
          <t>g8lmaa</t>
        </is>
      </c>
      <c r="B606" t="inlineStr">
        <is>
          <t>I think my mom is getting worse and I don’t know how I can help her, since I am positive as well.</t>
        </is>
      </c>
      <c r="C606" t="inlineStr">
        <is>
          <t>We’re not a very close family and if she’s sick she likes to hide it. I tested positive last week but have since recovered, I was very mild. She started showing symptoms a few days after me and has a test tomorrow.
I know she’s positive and to be quite honest I know she sort of blames me for bringing it in the house. The first few days I kept asking if she needed to see the doctor because she’s around 53 and has diabetes so it could be hard for her. 
She kept saying she’s getting better and it seemed like she was. Yesterday she was laughing on the phone, today it sounded like her voice had lots of mucus in when she talks. I hear her dry cough occasionally but it’s not constant. Today, her face seemed redder as well but she says she can breathe okay still, just looks extremely tired. 
She must be on around day 10-12 or so, taking medication (mucinex) and zinc as well. She won’t really respond to me with a straight answer when I ask if she’s getting better or worse...because it’s on and off sometimes now. I don’t know if this is a mild or severe case still. My uncle’s friend tested positive at the hospital, spent his last 2 weeks in ICU and was gone that fast.
I’m holding onto some hope that if she was very severe we would’ve known by now. But realistically I can’t tell if her getting worse today will be downhill from here on out. I feel so incredibly guilty for bringing it home from a patient, even though she warned me to not go to work for a bit. It was too late by the time I asked off. 
My question is, how are you guys taking care of your family members now? What signs are you looking for? This virus happens so fast and some of our mutual have passed away within weeks at the hospital. I’m incredibly scared for her.</t>
        </is>
      </c>
      <c r="D606" t="n">
        <v>1</v>
      </c>
      <c r="E606" t="n">
        <v>12</v>
      </c>
      <c r="F606">
        <f>HYPERLINK("https://www.reddit.com/r/COVID19positive/comments/g8lmaa/i_think_my_mom_is_getting_worse_and_i_dont_know/")</f>
        <v/>
      </c>
      <c r="G606" t="inlineStr">
        <is>
          <t>2020-04-26 13:19:07</t>
        </is>
      </c>
      <c r="H606" t="inlineStr">
        <is>
          <t>Tested Positive - Family</t>
        </is>
      </c>
    </row>
    <row r="607">
      <c r="A607" t="inlineStr">
        <is>
          <t>g8lsph</t>
        </is>
      </c>
      <c r="B607" t="inlineStr">
        <is>
          <t>Day 35, TODAY I FELT HUNGRY!</t>
        </is>
      </c>
      <c r="C607" t="inlineStr">
        <is>
          <t>So since falling sick, I've lost 10-15 pounds, and me being skinny before now left me underweight, but today, I felt hunger!!!</t>
        </is>
      </c>
      <c r="D607" t="n">
        <v>1</v>
      </c>
      <c r="E607" t="n">
        <v>32</v>
      </c>
      <c r="F607">
        <f>HYPERLINK("https://www.reddit.com/r/COVID19positive/comments/g8lsph/day_35_today_i_felt_hungry/")</f>
        <v/>
      </c>
      <c r="G607" t="inlineStr">
        <is>
          <t>2020-04-26 13:29:07</t>
        </is>
      </c>
      <c r="H607" t="inlineStr">
        <is>
          <t>Tested Positive</t>
        </is>
      </c>
    </row>
    <row r="608">
      <c r="A608" t="inlineStr">
        <is>
          <t>g8mfdv</t>
        </is>
      </c>
      <c r="B608" t="inlineStr">
        <is>
          <t>This noise on exhalation</t>
        </is>
      </c>
      <c r="C608" t="inlineStr">
        <is>
          <t>Tested positive on the 10th 
About me- 26m, no pre existing conditions, healthy individual, pulse ox hasn’t dipped below 95 and currently at 97-99, heart rate hanging around 100 atm.
I noticed this sound as I was practicing a breathing exercise, I’ve tried to call clinics and urgent cares but as soon as they hear tested positive they say we don’t do that here you have to go to the ER. I can’t take a normal deep breath hold it for 5 seconds and exhale it without this sound but as you’ll see from the video when I quickly try to take several deep breathes in a row the problem presents itself.
The sound can be felt in my chest like when I cough. I don’t know you all I just don’t want to go back to the ER I have a terrible fear of that place. If anyone can help me or give me some guidance I would be so grateful.
[the breathing ](https://imgur.com/gallery/MFHZkCh)</t>
        </is>
      </c>
      <c r="D608" t="n">
        <v>1</v>
      </c>
      <c r="E608" t="n">
        <v>11</v>
      </c>
      <c r="F608">
        <f>HYPERLINK("https://www.reddit.com/r/COVID19positive/comments/g8mfdv/this_noise_on_exhalation/")</f>
        <v/>
      </c>
      <c r="G608" t="inlineStr">
        <is>
          <t>2020-04-26 14:03:53</t>
        </is>
      </c>
      <c r="H608" t="inlineStr">
        <is>
          <t>Tested Positive - Me</t>
        </is>
      </c>
    </row>
    <row r="609">
      <c r="A609" t="inlineStr">
        <is>
          <t>g8omj5</t>
        </is>
      </c>
      <c r="B609" t="inlineStr">
        <is>
          <t>Not getting better</t>
        </is>
      </c>
      <c r="C609" t="inlineStr">
        <is>
          <t>Day 28
My symptoms are up and down 
I don’t know if I’m getting worse or better 
My muscle ache has seemed to increase 
(Aches concentrating on my legs) 
And now my arms are cramping and aching all day 
I don’t know what to do at this point
I don’t think getting better is a possibility</t>
        </is>
      </c>
      <c r="D609" t="n">
        <v>1</v>
      </c>
      <c r="E609" t="n">
        <v>11</v>
      </c>
      <c r="F609">
        <f>HYPERLINK("https://www.reddit.com/r/COVID19positive/comments/g8omj5/not_getting_better/")</f>
        <v/>
      </c>
      <c r="G609" t="inlineStr">
        <is>
          <t>2020-04-26 16:06:33</t>
        </is>
      </c>
      <c r="H609" t="inlineStr">
        <is>
          <t>Tested Positive - Me</t>
        </is>
      </c>
    </row>
    <row r="610">
      <c r="A610" t="inlineStr">
        <is>
          <t>g8onez</t>
        </is>
      </c>
      <c r="B610" t="inlineStr">
        <is>
          <t>I’m so sorry</t>
        </is>
      </c>
      <c r="C610" t="inlineStr">
        <is>
          <t>I am five days into what is considered a mild case of COVID, and it is awful! I am so sorry for those dealing with more severe cases. Finishing day 5 with the fever and cough/SOB are beginning to subside. Energy is starting to return, I actually answered work emails today and ate two meals. 
For everybody who is still recovering, good luck! Stay hydrated.</t>
        </is>
      </c>
      <c r="D610" t="n">
        <v>1</v>
      </c>
      <c r="E610" t="n">
        <v>4</v>
      </c>
      <c r="F610">
        <f>HYPERLINK("https://www.reddit.com/r/COVID19positive/comments/g8onez/im_so_sorry/")</f>
        <v/>
      </c>
      <c r="G610" t="inlineStr">
        <is>
          <t>2020-04-26 16:07:55</t>
        </is>
      </c>
      <c r="H610" t="inlineStr">
        <is>
          <t>Tested Positive - Me</t>
        </is>
      </c>
    </row>
    <row r="611">
      <c r="A611" t="inlineStr">
        <is>
          <t>g8oz94</t>
        </is>
      </c>
      <c r="B611" t="inlineStr">
        <is>
          <t>Day 44- I was feeling a little better then I woke up from my nap feeling terrible</t>
        </is>
      </c>
      <c r="C611" t="inlineStr">
        <is>
          <t>Took a nap this afternoon after taking it very easy. After having this virus this long I know now not to get too excited when I start feeling a little better. 
I woke up boiling hot and drenched in sweat. My breathing is ok. But I feel exhausted and having a little trouble concentrating. Some GI symptoms too. I feel like I’ve been run over. 
I’m so tired of this virus. I really don’t know what to do anymore.</t>
        </is>
      </c>
      <c r="D611" t="n">
        <v>1</v>
      </c>
      <c r="E611" t="n">
        <v>9</v>
      </c>
      <c r="F611">
        <f>HYPERLINK("https://www.reddit.com/r/COVID19positive/comments/g8oz94/day_44_i_was_feeling_a_little_better_then_i_woke/")</f>
        <v/>
      </c>
      <c r="G611" t="inlineStr">
        <is>
          <t>2020-04-26 16:27:10</t>
        </is>
      </c>
      <c r="H611" t="inlineStr">
        <is>
          <t>Tested Positive - Me</t>
        </is>
      </c>
    </row>
    <row r="612">
      <c r="A612" t="inlineStr">
        <is>
          <t>g8q861</t>
        </is>
      </c>
      <c r="B612" t="inlineStr">
        <is>
          <t>Three 30-37 chonkers survive. Two of us are ex smokers.</t>
        </is>
      </c>
      <c r="C612" t="inlineStr">
        <is>
          <t>Just thought I'd share out experience since I know how worrying it is.
Female was smoker until early Feb. One male never smokes, one used to but it was like 10 years ago. 
All three of us are obese af, 2 males 1 female. In our Thirties. 
We work office jobs and don't exercise.  Occasionally we try to eat healthier but its 90% trash. 
It was a shitty couple of weeks. Oxygen was low, everyone was struggling to breathe, and then sick and tired of being sick and tired had us all grumpy.  One of the males finally went to the hospital and got tested (Positive) he was put on oxygen. We're doing alright now, other than still being fatties.  
Our symptoms were similar but different things seemed to happen at different times. 
Female had a runny nose, cough, struggled to breathe, yet oxygen stated over 90, muscle aches and exhaustion fever early on, loss of apatite for a week. 
Male 1 had headaches, slight cough, oxygen below 90, no runny nose, lost all taste fever for two weeks straight, loss of appetite for two weeks 
Male 2 had light cough, oxygen below 90, headaches. sporadic fever, never really lost taste, no loss of appetite 
Hope this helps.</t>
        </is>
      </c>
      <c r="D612" t="n">
        <v>1</v>
      </c>
      <c r="E612" t="n">
        <v>51</v>
      </c>
      <c r="F612">
        <f>HYPERLINK("https://www.reddit.com/r/COVID19positive/comments/g8q861/three_3037_chonkers_survive_two_of_us_are_ex/")</f>
        <v/>
      </c>
      <c r="G612" t="inlineStr">
        <is>
          <t>2020-04-26 17:40:32</t>
        </is>
      </c>
      <c r="H612" t="inlineStr">
        <is>
          <t>Tested Positive - Family</t>
        </is>
      </c>
    </row>
    <row r="613">
      <c r="A613" t="inlineStr">
        <is>
          <t>g8qq7h</t>
        </is>
      </c>
      <c r="B613" t="inlineStr">
        <is>
          <t>Blood clot strokes????</t>
        </is>
      </c>
      <c r="C613" t="inlineStr">
        <is>
          <t>Hello I posted the other day but here I am again. My (20f) 16 year old brother tested positive for coronavirus and now I am pretty sure I have it as well. Both mild cases. He is recovered and I am not. But now I am FREAKED out about this news of young people with mild covid-19 cases having strokes. I could not sleep at all last night because I was so worried about it. Is there anyway I can PREVENT this from happening??  I am already miserable with this chest burning and cough, now my anxiety on top of it!!</t>
        </is>
      </c>
      <c r="D613" t="n">
        <v>1</v>
      </c>
      <c r="E613" t="n">
        <v>10</v>
      </c>
      <c r="F613">
        <f>HYPERLINK("https://www.reddit.com/r/COVID19positive/comments/g8qq7h/blood_clot_strokes/")</f>
        <v/>
      </c>
      <c r="G613" t="inlineStr">
        <is>
          <t>2020-04-26 18:13:00</t>
        </is>
      </c>
      <c r="H613" t="inlineStr">
        <is>
          <t>Tested Positive - Family</t>
        </is>
      </c>
    </row>
    <row r="614">
      <c r="A614" t="inlineStr">
        <is>
          <t>g8snfp</t>
        </is>
      </c>
      <c r="B614" t="inlineStr">
        <is>
          <t>Positive Positive Story</t>
        </is>
      </c>
      <c r="C614" t="inlineStr">
        <is>
          <t>My uncle tested positive about two weeks ago.  He’s in his mid-60s and living in a nursing facility due to a massive heart attack and massive stroke he had in 2013.   He is obviously not in great health.  Overweight, various heart conditions, and some immune suppressing medications.
He started showing mild symptoms in mid-March and was tested the 3rd of April.  It came back positive and he was isolated in the nursing home (he was already fairly isolated as they’ve been putting anyone with any signs of illness away from others).  The bad a cough, low grade fever, chills and diarrhea but never escalated.  He said he has felt worse many times before, and has mostly been angry he’s stuck by himself.   He had been symptom free for a week or so and they retested him last weekend and it is now negative so one more week and he can go back to his normal routine.
His case was mild and never required any medical intervention aside from Tylenol.  When we first heard he tested positive we were sure he’d die.  Nope!  Didn’t seem to phase himself even though he’s so at risk.
Oddest thing is that they’ve been routinely testing other patients and nothing.  No other positives.  They tested some staff too and nothing.  He’s the only positive.  Not sure how he picked it up as he never leaves the nursing home.  He’s in an area of Texas with very few cases so they’ve been taking it very seriously at his nursing home.  Hopefully he’ll remain their only positive.</t>
        </is>
      </c>
      <c r="D614" t="n">
        <v>1</v>
      </c>
      <c r="E614" t="n">
        <v>7</v>
      </c>
      <c r="F614">
        <f>HYPERLINK("https://www.reddit.com/r/COVID19positive/comments/g8snfp/positive_positive_story/")</f>
        <v/>
      </c>
      <c r="G614" t="inlineStr">
        <is>
          <t>2020-04-26 20:21:27</t>
        </is>
      </c>
      <c r="H614" t="inlineStr">
        <is>
          <t>Tested Positive - Family</t>
        </is>
      </c>
    </row>
    <row r="615">
      <c r="A615" t="inlineStr">
        <is>
          <t>g8thkk</t>
        </is>
      </c>
      <c r="B615" t="inlineStr">
        <is>
          <t>Is fatigue considered a mild symptom?</t>
        </is>
      </c>
      <c r="C615" t="inlineStr">
        <is>
          <t>Taking my mom to get tested and she can’t drive herself. I think she’s already positive but since I tested positive first and since recovered, the health district wants her to get tested as well.
I’m 15 days in and already recovered. I don’t know what she’s going through since all my symptoms were loss of taste and smell. I regained them back. I had fatigue only for a day and she said she doesn’t have the energy to drive herself tomorrow. I’m so scared. She’s about 53. She said she started feeling sick a few days after me but she seems worse these past few days. 
I’m scared that I have to drive her cause at this point we know she probably has it, but being in the car with her still makes me scared since I’m for sure positive. She can still breathe and talk okay without shortness of breath. I wish she lost her senses because apparently it’s linked to mild cases. Has anyone who recovered experienced lots of fatigue and mucus? Is this considered more mild? 
I wish I had my own symptoms to compare to and wish I had her symptoms bc I am young. Im scared.</t>
        </is>
      </c>
      <c r="D615" t="n">
        <v>1</v>
      </c>
      <c r="E615" t="n">
        <v>3</v>
      </c>
      <c r="F615">
        <f>HYPERLINK("https://www.reddit.com/r/COVID19positive/comments/g8thkk/is_fatigue_considered_a_mild_symptom/")</f>
        <v/>
      </c>
      <c r="G615" t="inlineStr">
        <is>
          <t>2020-04-26 21:18:33</t>
        </is>
      </c>
      <c r="H615" t="inlineStr">
        <is>
          <t>Tested Positive - Family</t>
        </is>
      </c>
    </row>
    <row r="616">
      <c r="A616" t="inlineStr">
        <is>
          <t>g8w9mi</t>
        </is>
      </c>
      <c r="B616" t="inlineStr">
        <is>
          <t>Does Anybody Still Have Some Shortness of Breath 6 Weeks in?</t>
        </is>
      </c>
      <c r="C616" t="inlineStr">
        <is>
          <t>I went for a brief period of time at like week 4 where I had way fewer symptoms and then they hit me again out of nowhere at week 5. An x-ray showed I have less bronchitis than I had during week 1, but my cough got worse and my shortness of breath came back in a slightly milder form (sometimes I feel some pressure and my breaths only do 80% of what they normally do). My blood oxygen saturation has stayed in the 94-98 range this whole time and I don't think I have even gotten a fever once, but man I feel shitty.
My Dr has mentioned that at this point he believes I have beaten the virus and am now dealing with post virus inflammation, I hope he's right lol.</t>
        </is>
      </c>
      <c r="D616" t="n">
        <v>1</v>
      </c>
      <c r="E616" t="n">
        <v>32</v>
      </c>
      <c r="F616">
        <f>HYPERLINK("https://www.reddit.com/r/COVID19positive/comments/g8w9mi/does_anybody_still_have_some_shortness_of_breath/")</f>
        <v/>
      </c>
      <c r="G616" t="inlineStr">
        <is>
          <t>2020-04-27 00:50:33</t>
        </is>
      </c>
      <c r="H616" t="inlineStr">
        <is>
          <t>Tested Positive</t>
        </is>
      </c>
    </row>
    <row r="617">
      <c r="A617" t="inlineStr">
        <is>
          <t>g8zpf0</t>
        </is>
      </c>
      <c r="B617" t="inlineStr">
        <is>
          <t>Weird headaches/put of it sensation?</t>
        </is>
      </c>
      <c r="C617" t="inlineStr">
        <is>
          <t>I tested false negative back about a month ago (antibody test was positive) and recently I've had these split moments where I feel out of it. Almost like the low blood sugar sensation but only for a second and happening many times a day. Also comes with an odd sensation of pressure in the head. 
I've also had headaches that last days on end. 
Has anyone else had this and know what it is? Or is it not a covid thing?</t>
        </is>
      </c>
      <c r="D617" t="n">
        <v>1</v>
      </c>
      <c r="E617" t="n">
        <v>87</v>
      </c>
      <c r="F617">
        <f>HYPERLINK("https://www.reddit.com/r/COVID19positive/comments/g8zpf0/weird_headachesput_of_it_sensation/")</f>
        <v/>
      </c>
      <c r="G617" t="inlineStr">
        <is>
          <t>2020-04-27 05:24:01</t>
        </is>
      </c>
      <c r="H617" t="inlineStr">
        <is>
          <t>Tested Positive - Me</t>
        </is>
      </c>
    </row>
    <row r="618">
      <c r="A618" t="inlineStr">
        <is>
          <t>g90wiz</t>
        </is>
      </c>
      <c r="B618" t="inlineStr">
        <is>
          <t>Day 3</t>
        </is>
      </c>
      <c r="C618" t="inlineStr">
        <is>
          <t>Body temperature fluctuating from normal to 100.9 past 2 days. First day with real symptoms (what I’m using as my day 1) was the only day with any real fever (102.8). So far only diarrhea in the mornings and kind of just plateau at feeling irritated for the rest of the day. Night time my mood picks up and appetite perks up a little bit too. Kind of hard to sleep as well. Anyone else have similar timeline of symptoms? Curious as to how the rest of this plays out.</t>
        </is>
      </c>
      <c r="D618" t="n">
        <v>1</v>
      </c>
      <c r="E618" t="n">
        <v>4</v>
      </c>
      <c r="F618">
        <f>HYPERLINK("https://www.reddit.com/r/COVID19positive/comments/g90wiz/day_3/")</f>
        <v/>
      </c>
      <c r="G618" t="inlineStr">
        <is>
          <t>2020-04-27 06:42:17</t>
        </is>
      </c>
      <c r="H618" t="inlineStr">
        <is>
          <t>Tested Positive - Me</t>
        </is>
      </c>
    </row>
    <row r="619">
      <c r="A619" t="inlineStr">
        <is>
          <t>g91z4o</t>
        </is>
      </c>
      <c r="B619" t="inlineStr">
        <is>
          <t>Sheltering in someone else's home</t>
        </is>
      </c>
      <c r="C619" t="inlineStr">
        <is>
          <t>I really hope I'm doing this right because I don't actually post on Reddit very often. 
When shelter in place began for my state (mid to late March), I was staying with my (22 F) girlfriend's (25 F) family in a neighboring state. We've been staying here ever since to avoid unknowingly spreading illness across state lines. 
One family member in the house tested positive last week, and I'd had mild symptoms that I had discounted as bad asthma flares and allergies- I never left the house. I haven't left this house in a month except to go sit in the yard. Doctors won't test me specifically because 1) I'm not a state resident so I don't qualify for drive-up testing, so I was told. (Not sure that would be wise anyway.) And 2) I was told that they are reserving tests for households that don't already have a positive test (I actually agree here- please don't waste a test on me.) 
I'm far away from home, helping care for family members that I'm honestly not the closest with yet, and I'm feeling really isolated. Is anyone else in a similar boat?</t>
        </is>
      </c>
      <c r="D619" t="n">
        <v>2</v>
      </c>
      <c r="E619" t="n">
        <v>7</v>
      </c>
      <c r="F619">
        <f>HYPERLINK("https://www.reddit.com/r/COVID19positive/comments/g91z4o/sheltering_in_someone_elses_home/")</f>
        <v/>
      </c>
      <c r="G619" t="inlineStr">
        <is>
          <t>2020-04-27 07:43:26</t>
        </is>
      </c>
      <c r="H619" t="inlineStr">
        <is>
          <t>Tested Positive - Family</t>
        </is>
      </c>
    </row>
    <row r="620">
      <c r="A620" t="inlineStr">
        <is>
          <t>g92odx</t>
        </is>
      </c>
      <c r="B620" t="inlineStr">
        <is>
          <t>These rings can help you heal much faster if you got Coronavirus.</t>
        </is>
      </c>
      <c r="C620" t="inlineStr">
        <is>
          <t>[http://alexchiu.com](http://alexchiu.com)</t>
        </is>
      </c>
      <c r="D620" t="n">
        <v>0</v>
      </c>
      <c r="E620" t="n">
        <v>4</v>
      </c>
      <c r="F620">
        <f>HYPERLINK("https://www.reddit.com/r/COVID19positive/comments/g92odx/these_rings_can_help_you_heal_much_faster_if_you/")</f>
        <v/>
      </c>
      <c r="G620" t="inlineStr">
        <is>
          <t>2020-04-27 08:21:02</t>
        </is>
      </c>
      <c r="H620" t="inlineStr">
        <is>
          <t>Tested Positive</t>
        </is>
      </c>
    </row>
    <row r="621">
      <c r="A621" t="inlineStr">
        <is>
          <t>g934lm</t>
        </is>
      </c>
      <c r="B621" t="inlineStr">
        <is>
          <t>Depression and anxiety caused by the virus and its strained effect on relationships</t>
        </is>
      </c>
      <c r="C621" t="inlineStr">
        <is>
          <t xml:space="preserve">
I’m on week 6, and I realized around week 2-3 when it was the worst for me that my anxiety spiked and caused triggering thoughts. It caused me severe depression when in isolation. Because of the illness, it caused me to be bossy, mean, and unstable which caused a huge strain on my relationship. I called him horrible names and had terrible mood swings for weeks. After a big fight, I moved in with my sister two weeks ago. This caused me to have a panic attack and impulsively bombard his phone with calls and texts which pushed him away even more. Now as of a week ago, my boyfriend isn’t talking to me. This has been so stressful for all of us and I feel I’ve ruined my relationship. My family is worried not only for my physical health, but mostly the mental effects this has caused. I’ve started virtual therapy and have my second session tomorrow. I’m feeling much better physically and mentally, although I’m still on the mend. Even though I’m seeking help and out of the darkness, I feel it’s caused permanent repercussions in my life. I’m left struggling to see what happened and how my mental health declined so quickly. 
How has this affected your mental health and your personal relationships?
Does anyone have links to articles and research regarding the psychology impact this is having on those who have contracted the virus?</t>
        </is>
      </c>
      <c r="D621" t="n">
        <v>2</v>
      </c>
      <c r="E621" t="n">
        <v>18</v>
      </c>
      <c r="F621">
        <f>HYPERLINK("https://www.reddit.com/r/COVID19positive/comments/g934lm/depression_and_anxiety_caused_by_the_virus_and/")</f>
        <v/>
      </c>
      <c r="G621" t="inlineStr">
        <is>
          <t>2020-04-27 08:44:31</t>
        </is>
      </c>
      <c r="H621" t="inlineStr">
        <is>
          <t>Tested Positive - Me</t>
        </is>
      </c>
    </row>
    <row r="622">
      <c r="A622" t="inlineStr">
        <is>
          <t>g93kxk</t>
        </is>
      </c>
      <c r="B622" t="inlineStr">
        <is>
          <t>Did we get lucky?</t>
        </is>
      </c>
      <c r="C622" t="inlineStr">
        <is>
          <t>I am 26 years old. My mom who is 50 years of age and got diagnosed with Covid-19 after having a fever for 3 days. She had bronchitis for a few days, she is now slowly recovery. We are a family of 6. Mom and dad, 2 daughters in their 20's and 2 boy teenagers. My mom was the only one tested. 
We don't drink, we don't smoke and we try to eat healthy and stay active. My mom is the only one with some health issues. Arthritis, sometimes low blood pressure and mild depression. 
She is a stay at home mom so she had hardly gone outside. Turns out my sister brought it home from work. My sister works at a shelter for women that have been through domestic violence. My sister only had allergy-like symptoms. 
2 days into my mom's fever we didn't have a thermometer so we tried to keep her temperature controlled by home remedies and acetaminophen. I tried my best to check her temperature by touching her face and neck. She got tested on her 3rd day of fever. 3 days later she got a positive diagnosis. 
5 days later (my mom's 7th day with symptoms) I started to loose my sense of smell and taste.
 At this point my mom was having a bit of a hard time breathing and had a dry cough. The doctor prescribed my mom some medicine for the symptoms. The whole family always tries to eat healthy but we began to focus on anti-inflammatory and antioxidant foods. My mom only took medicine as needed instead of as prescribed. When the symptoms were a little too much for confort she would take medicine. 
My personal experience:
I slowly lost my sense of smell for 2 days and for another 2 days I couldn't taste or smell anything, after that I slowly got my smell and taste back. I did not have any other symptoms, I was not even congested I felt grate to be honest. Maybe I slept like 2 more hours each day. Only one day I had a mildly runny nose. Within 7 days I was completely healthy.
The rest of the family also had mild cold symptoms and lost of taste and smell. 
 We as a population, are not failing each other. Our government is failing us. If we had mandatory testing, things would be slightly better. Don't even get me started.....</t>
        </is>
      </c>
      <c r="D622" t="n">
        <v>2</v>
      </c>
      <c r="E622" t="n">
        <v>17</v>
      </c>
      <c r="F622">
        <f>HYPERLINK("https://www.reddit.com/r/COVID19positive/comments/g93kxk/did_we_get_lucky/")</f>
        <v/>
      </c>
      <c r="G622" t="inlineStr">
        <is>
          <t>2020-04-27 09:07:31</t>
        </is>
      </c>
      <c r="H622" t="inlineStr">
        <is>
          <t>Tested Positive - Family</t>
        </is>
      </c>
    </row>
    <row r="623">
      <c r="A623" t="inlineStr">
        <is>
          <t>g952cl</t>
        </is>
      </c>
      <c r="B623" t="inlineStr">
        <is>
          <t>Anyone here caught covid again after recovering?</t>
        </is>
      </c>
      <c r="C623" t="inlineStr">
        <is>
          <t>I still haven't fully recovered yet, it's been on and off but for the most part pretty mild compared to a couple weeks ago. Scary how unpredictable this virus is though, heard a lot of stories about it coming back in full swing. Also lots of cases of people catching it again. To be fair though it's usually unclear whether they were fully recovered or just still infected from the first time, faulty tests, etc.
I really need to find work after my own case of the hell-plague clears up, whenever that may be. Hopefully soon.
Just looking for a little reassurance that with any luck I'll never have to relive this miserable experience when I'm allowed back in public. Being an extreme introvert I never though I'd say this, but damn. I miss going outside. Lol.</t>
        </is>
      </c>
      <c r="D623" t="n">
        <v>0</v>
      </c>
      <c r="E623" t="n">
        <v>6</v>
      </c>
      <c r="F623">
        <f>HYPERLINK("https://www.reddit.com/r/COVID19positive/comments/g952cl/anyone_here_caught_covid_again_after_recovering/")</f>
        <v/>
      </c>
      <c r="G623" t="inlineStr">
        <is>
          <t>2020-04-27 10:22:42</t>
        </is>
      </c>
      <c r="H623" t="inlineStr">
        <is>
          <t>Tested Positive - Family</t>
        </is>
      </c>
    </row>
    <row r="624">
      <c r="A624" t="inlineStr">
        <is>
          <t>g9657k</t>
        </is>
      </c>
      <c r="B624" t="inlineStr">
        <is>
          <t>Has anyone ever died late into this virus!</t>
        </is>
      </c>
      <c r="C624" t="inlineStr">
        <is>
          <t>I’m talking like week 4 and so forth 
And not ventilated 
I’m on week 4 and the muscle pain and cramping on my legs and arms is ramped up wow</t>
        </is>
      </c>
      <c r="D624" t="n">
        <v>5</v>
      </c>
      <c r="E624" t="n">
        <v>33</v>
      </c>
      <c r="F624">
        <f>HYPERLINK("https://www.reddit.com/r/COVID19positive/comments/g9657k/has_anyone_ever_died_late_into_this_virus/")</f>
        <v/>
      </c>
      <c r="G624" t="inlineStr">
        <is>
          <t>2020-04-27 11:17:29</t>
        </is>
      </c>
      <c r="H624" t="inlineStr">
        <is>
          <t>Tested Positive</t>
        </is>
      </c>
    </row>
    <row r="625">
      <c r="A625" t="inlineStr">
        <is>
          <t>g97i2t</t>
        </is>
      </c>
      <c r="B625" t="inlineStr">
        <is>
          <t>I just had my second Antibody test 47 days out from my original symptoms.</t>
        </is>
      </c>
      <c r="C625" t="inlineStr">
        <is>
          <t>This virus sure has been a ride of stress and insanity. I had what could be called a "mild" case.  The worst was two days of all over body aches and a low-grade fever and a terrible headache for two weeks. I had had the following symptoms: a sore throat, burning sinuses, a runny nose, body aches, a weird pain in my neck, fluttering heart, and extreme fatigue. I have felt almost human minus the fatigue for the last 3 weeks, and feeling grateful. 
Two weeks ago I had an antibody test done at an independent lab, it was basically just a yes/no IgG/IgM test. I tested negative for the antibodies, and positive for the IgM which is basically the result you would get at the beginning of an illness and certainly not a month out. I followed up with my doctor to see what she though, she said that she couldn't rule out that I was still contagious a month later since I had IgM showing up, but it's hard to tell because the test that I took was very yes/no and they have a higher fail rate. 
Today I took another Antibody test through my doctor, this was a full blood draw that is being sent to the lab and it will show actual levels not just yes/no. I scared and excited to know. I realize antibodies do not mean immune especially since so much is unknown about the virus, but I'm going to feel a lot better if I have them since I will consider myself recovered by that point, at the bare minimum I don't want to have IgM showing up again, that thought that a person can be infectious 1 month out is scary. 
Thanks for listening, I just needed to vent a little, this whole ordeal has been stressful to say the least.</t>
        </is>
      </c>
      <c r="D625" t="n">
        <v>5</v>
      </c>
      <c r="E625" t="n">
        <v>33</v>
      </c>
      <c r="F625">
        <f>HYPERLINK("https://www.reddit.com/r/COVID19positive/comments/g97i2t/i_just_had_my_second_antibody_test_47_days_out/")</f>
        <v/>
      </c>
      <c r="G625" t="inlineStr">
        <is>
          <t>2020-04-27 12:26:22</t>
        </is>
      </c>
      <c r="H625" t="inlineStr">
        <is>
          <t>Tested Positive - Me</t>
        </is>
      </c>
    </row>
    <row r="626">
      <c r="A626" t="inlineStr">
        <is>
          <t>g99tz8</t>
        </is>
      </c>
      <c r="B626" t="inlineStr">
        <is>
          <t>My experience with COVID-19</t>
        </is>
      </c>
      <c r="C626" t="inlineStr">
        <is>
          <t>My story/symptoms/timeline:
So the week before all this started, I had one day of mild diarrhea - it came and went. On Sunday night 4/19 I was feeling just extra fatigued. 
Monday 4/20, at work, I would have these moments of severe exhaustion that would come and go throughout the day. 
Tuesday 4/21, I still had those weird exhausting periods that came and went. I felt almost like I took a bunch of Xanax or something - like severely tired for a minute and then back to normal. Then about midday that day, I developed body aches and 99.5 temp and was sent home from work. 
Weds and Thurs - same symptoms plus a slight scratchy throat and was send for testing on Thursday 4/23. 
Friday 4/24 - called with positive results. Still had body aches but actually felt a little better on this day.
Saturday 4/25 - Current - body aches and temp are back every day. Now I have resp congestion so I started taking robitussin DM based on what my doc told me to do if I develop cough and/or congestion. Yesterday, I started with the lack of taste and smell. I feel like every two days or so, it’s something new. This isn’t terrible but it’s not great. The mornings are the worst. I wake up feeling like crap, take my meds and I’m ok for the day. I’m doing deep breathing exercises to keep my lungs open and as clear as possible. I just feel like this is lingering forever and I’m scared of it getting worse than this.</t>
        </is>
      </c>
      <c r="D626" t="n">
        <v>1</v>
      </c>
      <c r="E626" t="n">
        <v>7</v>
      </c>
      <c r="F626">
        <f>HYPERLINK("https://www.reddit.com/r/COVID19positive/comments/g99tz8/my_experience_with_covid19/")</f>
        <v/>
      </c>
      <c r="G626" t="inlineStr">
        <is>
          <t>2020-04-27 14:26:24</t>
        </is>
      </c>
      <c r="H626" t="inlineStr">
        <is>
          <t>Tested Positive - Me</t>
        </is>
      </c>
    </row>
    <row r="627">
      <c r="A627" t="inlineStr">
        <is>
          <t>g9ao75</t>
        </is>
      </c>
      <c r="B627" t="inlineStr">
        <is>
          <t>Living with my mother[62] and younger sister[18] - I'm the only one Confirmed for Covid-19, twice now. Their test(s) came up negative.</t>
        </is>
      </c>
      <c r="C627" t="inlineStr">
        <is>
          <t>Posting from a /r/NYC thread:
&amp;gt;March 15th: "I got a cold" feeling kicked in.
&amp;gt;March 18th: "Okay this doesn't seem like a typical cold"
&amp;gt;March 20th: Started feeling ill.
&amp;gt;March 23rd: Headache, Nausea, Productive cough with brown specks, sore throat, burning nasal passages, Eyes felt sore in the back.
&amp;gt;March 28th: Headaches at the base of neck and frontal lobe, sinus pain (dryness feeling), chest tightness (but I didn't have trouble breathing), loss of taste and smell.
&amp;gt;March 30th: Called hotline to setup appointment, after having a coughing fit and felt and heard an audible "pop" from my left chest.
&amp;gt;April 3rd: Went to the ER for them to take my vitals and the attending nurse tells me "Why are you even here, just go home. All that "just wanting to find out shit doesn't apply here". &amp;lt;Went home&amp;gt;
&amp;gt;April 5th: Went back to ER when I spit up some blood, X-rays showed no bad signs in lungs, they didn't check for anything else I mentioned and put me down as Upper respiratory issues, marked me as possible Covid-19 but didn't test.
&amp;gt;April 8th: Finally get tested at one of the drive thru centers. STILL felling malaise. Headaches slowed down, Appetite slowly returning. Digestive issues start to appear. Constipation, constantly dull gurgling from all quadrants of abdominal area. Found multiple blood bubbles in my mouth, two of which just popped when i saw them, and touched with tongue to see what it was.
&amp;gt;April 11th: Positive results for test, still feeling sick. Abdominal pain alternates dull/sharp in lower abdomen.
&amp;gt;April 15th: Pain radiates to lower back on the flanks, lower back pain that I've had kicks into overdrive. Upper back feels sore like strained muscles. Headaches back with vengeance, feeling tired/sleepy more. Drink prune juice to clear constipation.
&amp;gt;April 18th: Retested for Covid-19, Back to ER as chest got way tighter then before and i was worried. Diagnosed with gastrointestinal problems. Told to take peptide to stop diarrhea. (Mixed messages here from medical personnel)
&amp;gt;April 22: Results now say presumed positive. Stomach still cramping up when i sit, lay, walk. Eating pastas before wakes me up with a headache, coffee helps alleviate it when i wake up.
Since my last hospital visit, when I was told of my Blood Pressure being high (158/111), I cut back on high salts foods and gluten based foods and dont eat 3 hours before bedtime. Thankfully by doing this I no longer wake up with a splitting headaches.
The aliments currently plaguing me after all the standard Covid-19 symptoms is inflammation and abdominal pains and mild lower-back pains (from left side flank to right side flank). Urinating much more than often and insomnia. 
Back to the inflammation, my elbows, knees, center of my chest and upper-back all feel inflamed. (Tylenol does nothing for this) the pulsing down my left/right arm and left shoulder and both legs. 
My main concern in the pulsating throbbing feeling in my legs and arms which I have also felt on my lower shoulder where the axillary artery, but only this one when I was gaming and my heart started beating faster. is I'm 213LB - Starter the isolation at 235LB. 
Thanks for your time.</t>
        </is>
      </c>
      <c r="D627" t="n">
        <v>2</v>
      </c>
      <c r="E627" t="n">
        <v>3</v>
      </c>
      <c r="F627">
        <f>HYPERLINK("https://www.reddit.com/r/COVID19positive/comments/g9ao75/living_with_my_mother62_and_younger_sister18_im/")</f>
        <v/>
      </c>
      <c r="G627" t="inlineStr">
        <is>
          <t>2020-04-27 15:11:33</t>
        </is>
      </c>
      <c r="H627" t="inlineStr">
        <is>
          <t>Tested Positive - Me</t>
        </is>
      </c>
    </row>
    <row r="628">
      <c r="A628" t="inlineStr">
        <is>
          <t>g9ap05</t>
        </is>
      </c>
      <c r="B628" t="inlineStr">
        <is>
          <t>Partner's dad has had a severe case - is still testing positive 50 days later. And they're sending him home.</t>
        </is>
      </c>
      <c r="C628" t="inlineStr">
        <is>
          <t>My partners dad tested positive for COVID early March - after he flew from UK to Greece to try and escape the situation, they swabbed him at the Athens airport, and told him he was positive a couple of days later. Over the next few days he got sicker and sicker, and ended up on a ventilator. He stayed on the ventilator for two weeks before getting off and has been recovering in hospital since then.
A couple of days ago he finally seemed well enough to return home, so they tested him again. Still positive. For whatever reason, they are still sending him home today, back to live with his wife, who is also 70+. I really hope he isn't still contagious. Will be interesting to see.</t>
        </is>
      </c>
      <c r="D628" t="n">
        <v>4</v>
      </c>
      <c r="E628" t="n">
        <v>12</v>
      </c>
      <c r="F628">
        <f>HYPERLINK("https://www.reddit.com/r/COVID19positive/comments/g9ap05/partners_dad_has_had_a_severe_case_is_still/")</f>
        <v/>
      </c>
      <c r="G628" t="inlineStr">
        <is>
          <t>2020-04-27 15:12:48</t>
        </is>
      </c>
      <c r="H628" t="inlineStr">
        <is>
          <t>Tested Positive - Friends</t>
        </is>
      </c>
    </row>
    <row r="629">
      <c r="A629" t="inlineStr">
        <is>
          <t>g9bhhm</t>
        </is>
      </c>
      <c r="B629" t="inlineStr">
        <is>
          <t>Was diagnosed today.</t>
        </is>
      </c>
      <c r="C629" t="inlineStr">
        <is>
          <t>Thursday I started to feel tired at work and a bit off.  Friday I started to get the chills at work.  Saturday I felt fine and did a lot of physical activity.  Last night I couldn't sleep and had a pounding headache and a slight cough.  I went to the testing site by my house and they said I'm positive.  I don't feel too bad.  I was actually able to walk on my treadmill.  The 99.2 fever bothers me and the slight cough.  Hopefully it doesn't get worse.  What Im trying to figure out is the lady at the clinic said I can return to work 14 days after my symptoms began.  I was panicking so I wasn't able to ask questions.  The thing is is that 14 days from lastThursday or fourteen days from today?  I hope I am ok.  Im overweight in my 30s. I plan on getting to test that say negative for when I return to work if all goes well.</t>
        </is>
      </c>
      <c r="D629" t="n">
        <v>1</v>
      </c>
      <c r="E629" t="n">
        <v>8</v>
      </c>
      <c r="F629">
        <f>HYPERLINK("https://www.reddit.com/r/COVID19positive/comments/g9bhhm/was_diagnosed_today/")</f>
        <v/>
      </c>
      <c r="G629" t="inlineStr">
        <is>
          <t>2020-04-27 15:58:53</t>
        </is>
      </c>
      <c r="H629" t="inlineStr">
        <is>
          <t>Tested Positive</t>
        </is>
      </c>
    </row>
    <row r="630">
      <c r="A630" t="inlineStr">
        <is>
          <t>g9c3lx</t>
        </is>
      </c>
      <c r="B630" t="inlineStr">
        <is>
          <t>My Covid experience so far (and returning symptoms).</t>
        </is>
      </c>
      <c r="C630" t="inlineStr">
        <is>
          <t>**Wow this turned out to be way longer than I thought. TDLR at the bottom.**
A little about me: 26 year old female, BMI of 17.4 (underweight). Possible risk factors include: low body weight (thanks, Rona), congenital long QT syndrome, inappropriate sinus tachycardia, and low blood pressure. Tested positive for COVID on April 3rd.
So I'm not exactly sure when I contracted COVID. I'm either 61 or 45 days into this, as you'll see below.
On February 26th I went to my doctor with complaints of a low grade fever and scratchy throat. At that time there were zero confirmed cases of the virus in my city, but I was concerned due to the nature of my job. (I work face-to-face with visitors at my city's largest library. The library itself is one of the most popular tourist attractions in town, so I spend a lot of time with international travelers.) My doctor wanted to test me, but due to strict CDC guidelines, it couldn't happen.
From February 26th to March 8th, my symptoms stayed the same, but my low grade fever was inching up (99.7F). My doctor reached out to me and told me I should try to get tested for COVID now. So I set up an after hours appointment with a different doctor who would screen me before administering the test. Except... she didn't think I had it because I hadn't left the country, so no test for me.
I should say that I stopped going to work February 26th due to my anxiety about COVID. From February 26th to March 13th the only times I left the house were to get groceries (wore mask + glasses), visit my family, and see my cardiologist. I say this because if I really was sick with COVID during this time, it would be really strange for none of my family members to show symptoms (some have health risks). To this day, my family members haven't shown any symptoms. Also, I live with my boyfriend and he hasn't shown any symptoms either.
On March 13th I had an appointment with my cardiologist. This is where I think I might have picked up COVID if I didn't already have it. I wore a mask and glasses inside the clinic and stayed away from other patients. Some were coughing (probably heart failure), and I didn't want any part of that. A tech ran an EKG on me, and my cardiologist ordered an echocardiogram to be administered that same day since my last one was outdated. This made me anxious because 1) of how intimate ultrasounds can be and 2) the lack of masks being worn by staff members. No one was wearing a mask! I told them I would be waiting outside in the fresh air while they got things ready for my echocardiogram. When I was getting the echo done, I kept my mask and glasses on. The tech and I were talking about COVID and how no one is really taking it seriously, and at one point she coughs into her elbow. I must have looked like I saw a ghost because she then told me "Oh no, I don't have it." *Hmm...* Anyway, after my cardiologist appointment I went home. 
My boyfriend and I have not left our apartment since March 13th (45 days now). I've only left to go to the ER and hospital.
From March 13th to April 2nd, my symptoms started to get worse. My low grade fevers were now approaching 100.0F every evening, my throat was super scratchy, my nose was congested, and I was having bouts of diarrhea. I contacted my doctor again on April 2nd, and she requested I get a COVID test. The next day I received the test at a drive-thru test site attached to my doctor's clinic. On April 5th, I found out I was positive. That was also the day my temperature finally reached 100.4F.
On April 8th I went to the ER because my heart rate was ~160bpm walking to the bathroom, my pulse ox was low that morning, and I was having some burning chest pains. They didn't even take me inside the hospital; instead, they did an EKG and X-ray in the ambulance bay. When both of those came back clear, they told me to go home and work on my anxiety.
On April 13th I went back to the same ER due to chest pain and shortness of breath. This time they actually took me to a room and did an EKG, X-ray, and some bloodwork. The EKG and bloodwork came back okay, but the X-ray showed possible pneumonia in my lower right lung. They didn't prescribe me anything for the pneumonia, so I called my doctor who prescribed me doxycycline. I finished my prescription on April 25th.
On April 16th I had an appointment to get more bloodwork done at my doctor's clinic, but my doctor ended up sending me to the hospital afterwards. She was concerned about my heart possibly being infected. I was admitted to the hospital overnight so they could observe me and administer antibiotics in case I did have a secondary infection. My vitals were normal except for some tachycardia (~130bpm). They ran a bunch of tests on my heart including a few EKGs and an echocardiogram. Those came back normal. They also took another X-ray which also came back normal despite the nurse hearing some wheezing in my right lung. All of my bloodwork came back normal, but I was concerned about some of the WBC counts. Apparently I was the only one worried, so they discharged me the evening of April 17th.
So I've been back at home since April 17th. There were a few days last week when I didn't have a low grade fever, and it was awesome. I thought I was finally over all this! Except that didn't last for long, and my temperature has been elevated again (99.7-100F). I've also noticed some skin conditions popping up this week: [red fingertips](https://imgur.com/a/igNRXyg) and a [red livedo reticularis-like discoloration](https://imgur.com/a/vautYtU) on my forearms. Low blood pressure on April 25th and 26th (~92/65). My pulse ox has been 96-99% when resting, but I do notice some mild SOB while talking. Tachycardia is also back as of this morning. 
I'm really concerned about the possibility this could get worse. I feel lucky that I didn't have the coughing and breathing issues at the beginning of my illness, but now I'm concerned it might happen. Also reading that COVID can cause blood clots is just so scary. I know that I'm pretty far into this by now, but I can't help but worry it will get worse.
**TLDR: I've had Covid for either 61 days or 45 days. New symptoms are popping up, and old symptoms are returning. I'm worried it will get worse despite being past the two week mark.**
**Anyone else have their fever and other symptoms return late in the game?**</t>
        </is>
      </c>
      <c r="D630" t="n">
        <v>4</v>
      </c>
      <c r="E630" t="n">
        <v>25</v>
      </c>
      <c r="F630">
        <f>HYPERLINK("https://www.reddit.com/r/COVID19positive/comments/g9c3lx/my_covid_experience_so_far_and_returning_symptoms/")</f>
        <v/>
      </c>
      <c r="G630" t="inlineStr">
        <is>
          <t>2020-04-27 16:35:43</t>
        </is>
      </c>
      <c r="H630" t="inlineStr">
        <is>
          <t>Tested Positive - Me</t>
        </is>
      </c>
    </row>
    <row r="631">
      <c r="A631" t="inlineStr">
        <is>
          <t>g9cjg3</t>
        </is>
      </c>
      <c r="B631" t="inlineStr">
        <is>
          <t>My boyfriend tester positive for antibodies. They said he had it but doesn’t anymore. He’s a first responder in nyc but was in training and not in the field during this time. Symptoms below:</t>
        </is>
      </c>
      <c r="C631" t="inlineStr">
        <is>
          <t>Age 38.  Horrible headache for 3 days.  Severe body aches including one leg in bad pain.  Didn’t have a thermometer but he didn’t feel hot.  Light sniffles.
I’ve been with him every day and had a very very light cough for a month and I attributed this to allergies.  One day I had bad body aches a week after he was ill and felt nauseous for a few hours.  A week after that (no symptoms) I had a sinus headache and achy neck glands.  All of my stuff was extremely minor.</t>
        </is>
      </c>
      <c r="D631" t="n">
        <v>1</v>
      </c>
      <c r="E631" t="n">
        <v>12</v>
      </c>
      <c r="F631">
        <f>HYPERLINK("https://www.reddit.com/r/COVID19positive/comments/g9cjg3/my_boyfriend_tester_positive_for_antibodies_they/")</f>
        <v/>
      </c>
      <c r="G631" t="inlineStr">
        <is>
          <t>2020-04-27 17:02:02</t>
        </is>
      </c>
      <c r="H631" t="inlineStr">
        <is>
          <t>Tested Positive - Friends</t>
        </is>
      </c>
    </row>
    <row r="632">
      <c r="A632" t="inlineStr">
        <is>
          <t>g9clfc</t>
        </is>
      </c>
      <c r="B632" t="inlineStr">
        <is>
          <t>Recovering from a TBI, 30, in a nursing home and tested positive.</t>
        </is>
      </c>
      <c r="C632" t="inlineStr">
        <is>
          <t>We have nearly 100 cases and 9 deaths, I just tested positive. Very aware of false positives, had extremely sleepiness 3 weeks ago, prior to testing, some fevers and then they went away for about a week &amp;amp; half now. They tested everyone a few days ago and today and I was positive. Odd to survive being hit by a car go to a nursing home, and get covid. 
Will my auto-immune disorders (both Crohn's and Colitis since I was 13) provide help in surving this? I did shred my right lung when hit, filled with blood, severed aaorta and always breathy. As a smoker I am still hitting 92-96% oxygen. How am I lookin? Oh my sister had it while working in Washington, flew back to CO, tested positive and beat it. Will family genes help?</t>
        </is>
      </c>
      <c r="D632" t="n">
        <v>1</v>
      </c>
      <c r="E632" t="n">
        <v>7</v>
      </c>
      <c r="F632">
        <f>HYPERLINK("https://www.reddit.com/r/COVID19positive/comments/g9clfc/recovering_from_a_tbi_30_in_a_nursing_home_and/")</f>
        <v/>
      </c>
      <c r="G632" t="inlineStr">
        <is>
          <t>2020-04-27 17:05:19</t>
        </is>
      </c>
      <c r="H632" t="inlineStr">
        <is>
          <t>Tested Positive</t>
        </is>
      </c>
    </row>
    <row r="633">
      <c r="A633" t="inlineStr">
        <is>
          <t>g9cntj</t>
        </is>
      </c>
      <c r="B633" t="inlineStr">
        <is>
          <t>Did you have an upward trend of symptoms or were there days you felt perfectly fine? Do you consider yourself a mild/moderate/severe case?</t>
        </is>
      </c>
      <c r="C633" t="inlineStr">
        <is>
          <t>Asking for my mom who just got a test today. I am positive and she said she’s been feeling sick a few days right after me.
I’m recovered; I’m young and only lost my senses which came back. However, she is diabetic in her 50s. I noticed she seemed like she had a cold the first few days, generally tired and had a mild dry cough. Perhaps day 4-5 she had some nasal congestion. At this time she was still pretty much doing normal things, talking and laughing on the phone etc.
She said her worst was maybe 4 days ago (so perhaps day 10-11) with muscle aches and fatigue. Her face was red and she just looked tired. She didn’t have shortness of breath and could still talk to me fine, but she felt like she had a fever. 
So today close to 2 weeks into symptoms, we got her a test since I was positive and most likely she is. I asked her if she needed to see the online doctor and she said she feels way better. Barely any cough, she said even if she saw the online doctor there’s truly no ongoing symptoms *AT THE MOMENT* she could give him. If anything, she just still feels slightly tired but the muscle aches are not intense. I even bought a pulse oximeter but she is still breathing normally and says it hasn’t been an issue yet. 
I’m being optimistic but still anticipating the worst because I’m not truly sure if it’s gonna get worse even after she feels better today. The test will probably still be positive.
I can’t tell if she’s on the way to recovery since I had the most mild symptoms I’m not too sure how to compare my recovery to hers. Doctor kept telling me if it was VERY severe we’d know by now, since it’s over a week into the illness. I’m just crazy scared tomorrow or the next day things will be different or bad symptoms will return. I never had fatigue but she did so I’m not sure if it’s still considered mild. 
Has anyone genuinely felt like they got very better and then got way worse? What days did you experience the worst symptoms? We’ve been told usually around day 10 you’d know if it was very bad. But my mom is bad at keeping track of her symptoms, and I can’t do plenty to help her bc I’m isolating as well. Only person who doesn’t seem like they have symptoms is my dad which I’m monitoring. I gave it to them, and I only lost my taste and smell. I didn’t have respiratory problems, not even a cough, but I assume it’s bc I’m young and my system battled it off faster. She still has her senses. 
TLDR; Annoying the fuck out of my mom because I’m scared she will need help but she says she feels fine. She felt very fatigue just 3 days ago, face red, etc. Today we got her a test (prob positive) but she says she feels way better and fine. No shortness of breath, constant cough, or major respiratory symptoms seen. Should I be anticipating other major symptoms to come back after “good” days with mild symptoms? We are all taking zinc</t>
        </is>
      </c>
      <c r="D633" t="n">
        <v>1</v>
      </c>
      <c r="E633" t="n">
        <v>11</v>
      </c>
      <c r="F633">
        <f>HYPERLINK("https://www.reddit.com/r/COVID19positive/comments/g9cntj/did_you_have_an_upward_trend_of_symptoms_or_were/")</f>
        <v/>
      </c>
      <c r="G633" t="inlineStr">
        <is>
          <t>2020-04-27 17:09:40</t>
        </is>
      </c>
      <c r="H633" t="inlineStr">
        <is>
          <t>Tested Positive - Family</t>
        </is>
      </c>
    </row>
    <row r="634">
      <c r="A634" t="inlineStr">
        <is>
          <t>g9d8gz</t>
        </is>
      </c>
      <c r="B634" t="inlineStr">
        <is>
          <t>Presumed Positive Awaiting Test Results</t>
        </is>
      </c>
      <c r="C634" t="inlineStr">
        <is>
          <t>Hello, all. Just giving my experience so that anyone else going through it has a larger pool of experiences to look through and compare to. 
I am a 27 year old male in good shape, don’t smoke, I do drink a lot. I had childhood asthma but no other medical conditions. I’ll just list below how my experience has been. I believe at this point I am about a week and a half in. 
Friday/Saturday 17-18 April
This is when I first began to feel sick. It started with a sore throat and diarrhea that lasted throughout that weekend. No other symptoms presented at this point.
Monday-Friday 20-24 April
Started Monday with all over body aches, diarrhea, headache, fatigue, sore throat, stuffy nose, eyes hurt to move to look around, I was light headed, no appetite what so ever and a fever. The fever was just a cycle of chills and sweats. All of these symptoms persisted from Monday-Friday. Didn’t have any break in fever the whole time. My temperature mostly hovered in the 101-102 Fahrenheit range. I was taking maximum strength DayQuil during the week, as often as allowed and it definitely helped with the pains at least. 
Saturday-Sunday 25-26 April
Mostly felt pretty good during this time. My throat pain still lingered, the fever had gone which was a huge relief, and the body aches became very manageable. At this point I mostly felt normal other than still feeling quite fatigued. During this time I started to develop a small cough, just happening very occasionally, sometimes with phlegm, usually without. 
Sunday night things became weird. I had felt fine and was sitting on the couch when I very quickly felt my face become hot. Went to look in the mirror and had a rash covering my whole face and neck. At this point, not having any Benadryl I decided that I would be seen. Went to the hospital where I was admitted for labs. Was told that I probably have Covid but due to limited testing I still probably wouldn’t be tested. I got chest X-rays that revealed I have viral pneumonia on the left side of my lungs and at that point a Covid test was ordered. I was discharged and told to just rest, continue taking care of myself like I had been and to return to the hospital if breathing becomes difficult. 
Monday 27 April 
Today has been my first day post hospital, overall I feel quite well. I have slept almost all day long but had enough energy to clean the house for the first time in ages. I am dis gnoses with anxiety and take Prozac so I have caught myself starting to panic occasionally knowing that I’m laying in my house with pneumonia that they can’t treat while I await my test results. No new symptoms today to report though.</t>
        </is>
      </c>
      <c r="D634" t="n">
        <v>2</v>
      </c>
      <c r="E634" t="n">
        <v>6</v>
      </c>
      <c r="F634">
        <f>HYPERLINK("https://www.reddit.com/r/COVID19positive/comments/g9d8gz/presumed_positive_awaiting_test_results/")</f>
        <v/>
      </c>
      <c r="G634" t="inlineStr">
        <is>
          <t>2020-04-27 17:44:49</t>
        </is>
      </c>
      <c r="H634" t="inlineStr">
        <is>
          <t>Tested Positive</t>
        </is>
      </c>
    </row>
    <row r="635">
      <c r="A635" t="inlineStr">
        <is>
          <t>g9d8x3</t>
        </is>
      </c>
      <c r="B635" t="inlineStr">
        <is>
          <t>38 day covid19 symptom timeline with ER visit</t>
        </is>
      </c>
      <c r="C635" t="inlineStr">
        <is>
          <t xml:space="preserve">Hi I would like to share my symptom timeline, it’s different than many media symptom reports. More like a classic SARS1 white paper symptom timeline. 
I probably got covid19 it on a buisness trip in NYC probably but I didn’t experience symptoms until I flew back to my home state
Mid March, day 1: sore throat and runny nose
day 2: low grade fever 99.9 and sore throat runny nose
day 3: low grade fever 99.9 and sore throat and runny nose
day 4: fever gone. shortness of breath/dyspnea and costochronditis hit me like a train. I immediately knew this was covid. Called a teledoc doctor and he said since I was in NYC early March it’s definitely covid19
day 5: dyspnea gets worse. I feel like I am always running. Not hungry at all. Lost all appetite until day 20ish. I always cough after eating from this day forward. I rarely cough otherwise. I sneeze now everyday from from here on out at least once. 
day 6: shortness of breath keeps getting worse. I feel like I am always swimming in the ocean. I want a break but I have to keep swimming. I cannot talk for long without being out of breath while I have dyspnea 
day 7: I get a pulse oximeter ordered from amazon. 96% and pulse 100+. still dyspnea and chest pain 
day 8: I go into urgent care with dyspnea and a n95 mask. I felt like I was suffocating with that mask. Xray EKG and O2 and pulse measured. Clear chest xray. Doc thinks I dont have covid19 but anxiety. He only gives it to me because of NYC travel. I go home. Doc says if spO2 goes below 94% go to ER
day 9-13: dyspnea. I feel like I am suffocating. I found I have to sleep upright sitting or on my stomach to be able to sleep and breath. I continue to do this even today to relieve chest pain
day 14: I am an active runner that enjoys being out of breath but not like this. I have run marathons but this feels like 4 marathons in a row every day with no breaks. My spO2 is 95-96%. Test comes back positive for sars-cov-2/covid19. 
day 15:still dyspnea and chest pain. I did not think I was going to survive this. A lot of physical and emotional suffering 
day 16: Teledoc doc recommendeds I go to ER for blood work and checkup for myocarditis and rule out bacterial lung infection or other idiopathic infections. I decide to go to ER. It was the first time I saw the light of day after many days of quarantine. I get ct scan of heart lungs and bloodwork. Only have covid19 infection. I have a mild problem with my heart. Clear chest ct scan. Test positive for covid19 again. They give me the option to be in patient and be monitored. I decide to be discharged from hospital to prevent a potential nosocomial infection  
day 17-20: dyspnea/shortness of breath is the worst it has ever been. SpO2% still above 95%
day 21: dyspnea fades quickly and I can talk again. Pulse goes from 100ish to 70ish. Costochrondritis is still present with headaches. It feels like someone hit me in the chest with a baseball bat. It feels like real trauma. 
day 21-day 30 Costochrondritis is painful and unrelenting. I sleep 10-15 hours a day. I look forward to sleeping to null pain. I do not take any anti inflammatory for fear of side affects.
day 30-35 current: Costochrondritis is slowly getting better. Pulse is 50-60. I have headaches still everyday. I ordered a neck collar off amazon that helps with my neck position when I sleep upright and helps take off some headache pain
day 36: I decide to go for a run because I am worried I have PAH or POVD. I can run which is a good sign. I get shortness of breath when I get back to my car and rest.
Day 37: all the symptoms come back probably due to running. Runny nose ,sore throat, etc Decide to take it easy today
Day 38: I feel like pre running days. Chest pain and headaches. I have lost around 25 pounds since day 1
 I called a doctor and he has ordered blood work. I have a referral to see a cardiologist for a electrocardiograph to see if I have PAH or PVOD. Doctor also ordered another covid test to see if I am still positive. He suspects I might still be fighting the virus due to my symptom flare up. I would also like to test negative before seeing cardiologist in person for tests. He will order antibodies test in the future 
I am not a doctor. This is not medical advice and seek a health professional. These tips are my opinion only and not to be taken as facts:
Tips for others
 1 Get a spO2 monitor and temperature. 
2 Always check your o2 and temperature everyday. 
3 Sleep upright in a sitting position with a neck cast or collar, or sleep on your stomach. Do not sleep on your back or side
4 have heard sleep apnea devices can help get you more oxygen without a ventilator and can monitor your o2 levels while you sleep. I wish I had one. I would wake up choking out of breath at night and I think I was lucky to keep above 95% o2 without checking myself while I slept
5 multivitamin with vitamin D everyday
6 Sleep without an alarm clock. Take time off from work if you need to
7 Get blood work done if you can after being cleared from quarantine to check for d dimer blood clotting, BNP, metabolic panel, c reactive protien, etc. 
I am grateful others post here because I feel I am not alone that others experience symptoms for so long. I had the flu a few years ago and I was over it in 4 days. SARS-COV-2 has taken me almost 10 times as long and I am still not recovered </t>
        </is>
      </c>
      <c r="D635" t="n">
        <v>1</v>
      </c>
      <c r="E635" t="n">
        <v>26</v>
      </c>
      <c r="F635">
        <f>HYPERLINK("https://www.reddit.com/r/COVID19positive/comments/g9d8x3/38_day_covid19_symptom_timeline_with_er_visit/")</f>
        <v/>
      </c>
      <c r="G635" t="inlineStr">
        <is>
          <t>2020-04-27 17:45:40</t>
        </is>
      </c>
      <c r="H635" t="inlineStr">
        <is>
          <t>Tested Positive - Me</t>
        </is>
      </c>
    </row>
    <row r="636">
      <c r="A636" t="inlineStr">
        <is>
          <t>g9edck</t>
        </is>
      </c>
      <c r="B636" t="inlineStr">
        <is>
          <t>Day 36: no symptoms, still positive</t>
        </is>
      </c>
      <c r="C636" t="inlineStr">
        <is>
          <t>Hello! As the title says, I’m on day 36 in the hospital and I am still testing positive despite being symptom free for the last 3 weeks. I had a very mild for of covid19 to begin with (fever for a day, mild cough and loss of sense of smell and taste, all of which disappeared within 1-2 weeks). In my country, we cannot discharge until we test negative TWICE in 2 consecutive days. Also in my country, seems to be more younger people (I’m 25), still testing positive after 30 days. At this point, the Doctors don’t even know when we can discharge because we are still shedding the virus. I have not heard of similar stories overseas, so I’m wondering, is there any research currently being done on younger patients who have “recovered” but still test positive?
At this point, the isolation alone in the hospital ward and the not knowing whether we will ever test negative, is a really frustrating one.</t>
        </is>
      </c>
      <c r="D636" t="n">
        <v>1</v>
      </c>
      <c r="E636" t="n">
        <v>25</v>
      </c>
      <c r="F636">
        <f>HYPERLINK("https://www.reddit.com/r/COVID19positive/comments/g9edck/day_36_no_symptoms_still_positive/")</f>
        <v/>
      </c>
      <c r="G636" t="inlineStr">
        <is>
          <t>2020-04-27 18:58:20</t>
        </is>
      </c>
      <c r="H636" t="inlineStr">
        <is>
          <t>Tested Positive - Me</t>
        </is>
      </c>
    </row>
    <row r="637">
      <c r="A637" t="inlineStr">
        <is>
          <t>g9g3jg</t>
        </is>
      </c>
      <c r="B637" t="inlineStr">
        <is>
          <t>Normal X-rays and EKG?</t>
        </is>
      </c>
      <c r="C637" t="inlineStr">
        <is>
          <t>Hey everyone, first off, a little background. 27M, moderately healthy, played sports for years prior to this but was sedentary for the half a year prior. Smoked cigs, swap to juul a year ago and straight up drop everything on 3/25.
So I was tested on 3/25, went into urgent care with a shortness of breath and chest tightness. Positive result came back 4/4.
The whole time, I had shortness of breath, chest tightness, fatigue, aches all over and weird heart rate problem. 
I’m currently in week 5, with shortness of breath and sharp chest pain that comes and goes. Frequency is a lot shorter than the first few weeks for sure. It last for hours daily instead of just being constant now. 
In between that 5 weeks, I’ve went into urgent care 4 times(?).With two x rays, one at week 1 and one at the end of week 4, and did 2 EKG and everything came back normal. No pneumonia, nothing. The pain and aches in my chest were pretty painful though, as well as the shortness of breath. There were quite a lot of nights where I really didn’t sleep well tbh in fear of just not breathing.
I’m just wondering if anyone else have the same thing as me, and if so, what did your doctor said or suspect is going on in your chest? The doctors never said anything except that it’s inflammation and it’s healing.
Side note, I have lower Blood pressure and heart rate  as well throughout this whole thing, diastolic always within low 60s and at times 58-59. Anyone else?</t>
        </is>
      </c>
      <c r="D637" t="n">
        <v>1</v>
      </c>
      <c r="E637" t="n">
        <v>44</v>
      </c>
      <c r="F637">
        <f>HYPERLINK("https://www.reddit.com/r/COVID19positive/comments/g9g3jg/normal_xrays_and_ekg/")</f>
        <v/>
      </c>
      <c r="G637" t="inlineStr">
        <is>
          <t>2020-04-27 20:55:39</t>
        </is>
      </c>
      <c r="H637" t="inlineStr">
        <is>
          <t>Tested Positive - Me</t>
        </is>
      </c>
    </row>
    <row r="638">
      <c r="A638" t="inlineStr">
        <is>
          <t>g9gn6k</t>
        </is>
      </c>
      <c r="B638" t="inlineStr">
        <is>
          <t>How I'm feeling</t>
        </is>
      </c>
      <c r="C638" t="inlineStr">
        <is>
          <t>Hi, I hope everyone is doing well. I just wanted to write a post that I can update about my status with the virus. This is a way for me to vent and hopefully make me feel better, but to also document how it goes for me if anyone is interested to read. 
Preface:
I'm a "healthy" 19 year old male. I put healthy in quotes because overall my health is good, but in no way do I have a healthy eating style.
Day 1 - April 27th, 2020
Ordinary day until about noon where I found out a person who I had close contact, has a family member who they live with test positive for COVID-19. Them being the great person they are, told me immediately. Now I dont have any symptoms no fever, no cough, no diarrhea, no aching nothing, but my anxiety levels have increased and I'm generally more nervous. I immediately cleaned and disinfected everything I came in contact with in my household and contacted my mother (who I live with) and told her. We agreed that I would isolate myself in my room and take all my belongings inside my room. I talked to a physician and they recommended me to contact my county's health department to see if I can get tested for the virus and antibodies. Right now I'm just anxious and nervous. I don't know what's to come and I don't know what to do. I still have school and work to attend but I'm sure those will get impacted because of this. I know I could be getting all worked up, but I'm just assuming the worse and want to take necessary steps to make this easier. I hope it all goes well. Stay safe.</t>
        </is>
      </c>
      <c r="D638" t="n">
        <v>1</v>
      </c>
      <c r="E638" t="n">
        <v>4</v>
      </c>
      <c r="F638">
        <f>HYPERLINK("https://www.reddit.com/r/COVID19positive/comments/g9gn6k/how_im_feeling/")</f>
        <v/>
      </c>
      <c r="G638" t="inlineStr">
        <is>
          <t>2020-04-27 21:36:19</t>
        </is>
      </c>
      <c r="H638" t="inlineStr">
        <is>
          <t>Tested Positive - Friends</t>
        </is>
      </c>
    </row>
    <row r="639">
      <c r="A639" t="inlineStr">
        <is>
          <t>g9gnb8</t>
        </is>
      </c>
      <c r="B639" t="inlineStr">
        <is>
          <t>Bowel changes post-infection</t>
        </is>
      </c>
      <c r="C639" t="inlineStr">
        <is>
          <t>Ok, hate to ask, but gotta know.
Anyone else have constipation lingering after most everything else has passed? I am about 6 days symptoms free, and am not sure if this is veen related to the virus, I just know I never had this issue previously - and now it's a thing.</t>
        </is>
      </c>
      <c r="D639" t="n">
        <v>1</v>
      </c>
      <c r="E639" t="n">
        <v>6</v>
      </c>
      <c r="F639">
        <f>HYPERLINK("https://www.reddit.com/r/COVID19positive/comments/g9gnb8/bowel_changes_postinfection/")</f>
        <v/>
      </c>
      <c r="G639" t="inlineStr">
        <is>
          <t>2020-04-27 21:36:38</t>
        </is>
      </c>
      <c r="H639" t="inlineStr">
        <is>
          <t>Tested Positive</t>
        </is>
      </c>
    </row>
    <row r="640">
      <c r="A640" t="inlineStr">
        <is>
          <t>g9gwby</t>
        </is>
      </c>
      <c r="B640" t="inlineStr">
        <is>
          <t>I think I got my mom sick</t>
        </is>
      </c>
      <c r="C640" t="inlineStr">
        <is>
          <t>Hey, lurker here (new account). I got sick and was hospitalized twice with what the doctors say was covid back in the middle of march. Two weeks now I’ve been recovered. But I’ve noticed my mom is showing symptoms, and she’s having a really hard time breathing. 
I first saw her checking her temperature about a week ago. I walked in on her doing it a second time a couple days ago. She looked worried. I’ve noticed she’s been really achey, and she’s had migraines for a week straight (that’s always been a problem- she’s blaming it on her sleep schedule though). I’ve noticed she’s coughing dry, heavy, bellowing coughs every few hours too everyday. I just walked downstairs to her leaning over, trying to catch her breath. She said she’s fine, but she’s very much not. She has a nebulizer by her bed, but I don’t know what to think. 
Is it possible I’ve gotten her infected with it too? I’m not sure what to do about it. We’re very close. I love her a lot.</t>
        </is>
      </c>
      <c r="D640" t="n">
        <v>1</v>
      </c>
      <c r="E640" t="n">
        <v>8</v>
      </c>
      <c r="F640">
        <f>HYPERLINK("https://www.reddit.com/r/COVID19positive/comments/g9gwby/i_think_i_got_my_mom_sick/")</f>
        <v/>
      </c>
      <c r="G640" t="inlineStr">
        <is>
          <t>2020-04-27 21:56:20</t>
        </is>
      </c>
      <c r="H640" t="inlineStr">
        <is>
          <t>Presumed Positive - From Doctor</t>
        </is>
      </c>
    </row>
    <row r="641">
      <c r="A641" t="inlineStr">
        <is>
          <t>g9hyzd</t>
        </is>
      </c>
      <c r="B641" t="inlineStr">
        <is>
          <t>Specific symptoms, but negative test</t>
        </is>
      </c>
      <c r="C641" t="inlineStr">
        <is>
          <t>We took a PCR and an antibody test. Both negative. Our doctor still presumes, we had Covid 19 because of the specific symptoms and the timing of the tests.
Mar 12  
Heavy Diarrhea
Mar 14  
Dry cough
Mar 21  
Short of breath, feeling of pressure on the chest, upper back pain, head ache, fatigue
Mar 23  
Complete loss of smell, near loss of taste (Tried on our spice rack. e.g. Staranise had no odor at all)  
First call to our doctor. She can't test us, because of lack of protective gear. Advises to call the central hotline for testing. Can't get through and don't fall under testing criteria in Germany (Contact to positive persons or travel to high risk areas)
Mar 26  
Testing criteria changed and we get a PCR test.
Mar 31  
Symptom free
Apr 1  
Public health office calls with negative test results. But advises further quarantine, as the test could be faulty. The doctor only collected samples through the mouth and did not reach very far into the throat.  We were also not advised to cough up before the test as is advised in the second week. Also as this was the end of week 2 of symptoms, the reliability of the test is limited.
Apr 14  
Did antibody test. Comes back negative.
Our doctor still thinks, we had it:  
\- PCR test was too late and faulty  
\- Antibody test was too early and tests are still being evaluated  
\- We were vaccinated against influenza and influenza season was already over  
\- She can't think of any other condition with these symptoms especially loss of smell
She advised us to take another antibody test in a few weeks time.</t>
        </is>
      </c>
      <c r="D641" t="n">
        <v>1</v>
      </c>
      <c r="E641" t="n">
        <v>9</v>
      </c>
      <c r="F641">
        <f>HYPERLINK("https://www.reddit.com/r/COVID19positive/comments/g9hyzd/specific_symptoms_but_negative_test/")</f>
        <v/>
      </c>
      <c r="G641" t="inlineStr">
        <is>
          <t>2020-04-27 23:25:24</t>
        </is>
      </c>
      <c r="H641" t="inlineStr">
        <is>
          <t>Presumed Positive - From Doctor</t>
        </is>
      </c>
    </row>
    <row r="642">
      <c r="A642" t="inlineStr">
        <is>
          <t>g9ifc9</t>
        </is>
      </c>
      <c r="B642" t="inlineStr">
        <is>
          <t>Those with diabetes (or know someone who is positive with diabetes), can you describe your case and complications?</t>
        </is>
      </c>
      <c r="C642" t="inlineStr">
        <is>
          <t>My aunt is at high risk due to having diabetes and she’s in her 50s. Generally eats healthy, she refrains from eating red meat or anything high cholesterol. She had muscle aches the past few days and said she feels fine and better today. She’s likely on like day 10ish not sure. Mild cough, no shortness of breathe, can still breathe well. She did have some congestion the past few days. 
Is there anything special to take medication wise if you suffer from diabetes? She’s on Mucinex, Tylenol, zinc and vitamin C/D. I’m scared it might get complicated because of her diabetes even if she says she feels okay right now. She got a test today and is most likely positive because someone in her household is also positive.</t>
        </is>
      </c>
      <c r="D642" t="n">
        <v>1</v>
      </c>
      <c r="E642" t="n">
        <v>5</v>
      </c>
      <c r="F642">
        <f>HYPERLINK("https://www.reddit.com/r/COVID19positive/comments/g9ifc9/those_with_diabetes_or_know_someone_who_is/")</f>
        <v/>
      </c>
      <c r="G642" t="inlineStr">
        <is>
          <t>2020-04-28 00:04:45</t>
        </is>
      </c>
      <c r="H642" t="inlineStr">
        <is>
          <t>Tested Positive - Family</t>
        </is>
      </c>
    </row>
    <row r="643">
      <c r="A643" t="inlineStr">
        <is>
          <t>g9jvuo</t>
        </is>
      </c>
      <c r="B643" t="inlineStr">
        <is>
          <t>Have Been Sick for 2 Months M22</t>
        </is>
      </c>
      <c r="C643" t="inlineStr">
        <is>
          <t>A little background about myself to preface this. I am 22 years old, and workout, and play basketball. I eat relatively healthy, and don't get sick very often, before this, it was 2-3 times in the past 4 years that I got sick, and it was something that only lasted a couple days. I will say that I take a few hits every week of a spliff (mix of weed and tobacco) when I'm hanging out with one of my friends. And take a hit or two of weed regularly, I'd say everyother day on average.
It started out Tuesday Feb 25th, and the week prior I had just bought a JUUL, after quitting many times, but I've only cumulatively used it for 4-5 months of my life. I've been teaching myself to code, and living with my parents, who were set to leave that weekend. That timeframe leading up to the Tuesday had been perfect, playing my newly bought xbox, making progress in my lessons, and getting out every now and then to play basketball. No ill effects of the Juul had began to take place yet, i.e. horrible withdrawals.
That Tuesday I went out to play basketball at a local park. The night before my throat had been a little scratchy, which I attributed to the Juul. I played hard with 3 others that I met there for a couple hours, and shared water with one of them, since I hadn't brought my own and the fountains were closed due to it being winter. I decided when I got home that I'd quit my Juul, since I felt that it was making my throat feel dry and scratchy. My whole body was aching when I got home, which I thought was from playing basketball. The Thursday that my parents leave they wake me up to tell me that they're leaving, after I spent a whole night lying awake with an excruciating headache (likely from quitting nicotine) and what was surely a fever (didn't know where the thermometer was at the time to verify, but I had a really warm forehead).
They leave, and suddenly cases are popping up everywhere along the westcoast for the Coronavirus/Covid19. This is the end of Feb/beginning of March. I was spitting up white, foamy phlegm constantly and felt generally weak and lethargic. My nose was also runny. This continued for the first 3-4 days, then my parents got home from visiting my sister who lives in California, me living in Oregon.
When they got back was around the time that I started getting bouts of bad chest tightness and shortness of breath. It even got to the point that at one point I was trying to breathe but my lungs weren't opening all the way, leaving me gasping. Eventually this subsided, and I went to the doctor who told me that my symptoms and timeline match that of Covid, but I was getting better and could go out and run and exercise again. I never really had a cough and I still don't, but I was running a temp of 99.7 3 nights ago, two months later after all of this. My throat still looks red and irritated when I look at it with a camera or flashlight. And I'm still producing mucus and have postnasal drip. I have no idea what to make of this, and don't know where to go from here. I just want to be better already. And I've never had allergies before, but I'm not ruling out that that's what this could be at this point.</t>
        </is>
      </c>
      <c r="D643" t="n">
        <v>1</v>
      </c>
      <c r="E643" t="n">
        <v>17</v>
      </c>
      <c r="F643">
        <f>HYPERLINK("https://www.reddit.com/r/COVID19positive/comments/g9jvuo/have_been_sick_for_2_months_m22/")</f>
        <v/>
      </c>
      <c r="G643" t="inlineStr">
        <is>
          <t>2020-04-28 02:08:01</t>
        </is>
      </c>
      <c r="H643" t="inlineStr">
        <is>
          <t>Presumed Positive - From Doctor</t>
        </is>
      </c>
    </row>
    <row r="644">
      <c r="A644" t="inlineStr">
        <is>
          <t>g9kzah</t>
        </is>
      </c>
      <c r="B644" t="inlineStr">
        <is>
          <t>Story from Russia(critical situation)</t>
        </is>
      </c>
      <c r="C644" t="inlineStr">
        <is>
          <t>in official statistics we have 93558 cases and 867 deaths! In China 82836 cases and 4633 deaths!  and this is not because we have better medicine. but because the statistics are lying. we dont know how many cases indeed. We dont know how many deaths indeed. This is scary.
the government told everyone not to work, but no payments for this. small business closes because there is no support. most businesses operate in speekeasy mod because they can’t officially work. 
in some places tests cost money. in some places there are no tests. especially in the early days. there were no tests in all of Russia except Moscow. 
well it was a story covidpositive from Russia. the disease goes away without complications, so I talked about the situation in Russia as a whole.
P.S. sorry for my English, this is so hard</t>
        </is>
      </c>
      <c r="D644" t="n">
        <v>1</v>
      </c>
      <c r="E644" t="n">
        <v>46</v>
      </c>
      <c r="F644">
        <f>HYPERLINK("https://www.reddit.com/r/COVID19positive/comments/g9kzah/story_from_russiacritical_situation/")</f>
        <v/>
      </c>
      <c r="G644" t="inlineStr">
        <is>
          <t>2020-04-28 03:42:28</t>
        </is>
      </c>
      <c r="H644" t="inlineStr">
        <is>
          <t>Tested Positive - Me</t>
        </is>
      </c>
    </row>
    <row r="645">
      <c r="A645" t="inlineStr">
        <is>
          <t>g9lm56</t>
        </is>
      </c>
      <c r="B645" t="inlineStr">
        <is>
          <t>How to tell if you have shortness of breath?</t>
        </is>
      </c>
      <c r="C645" t="inlineStr">
        <is>
          <t>Cant tell if I have shortness of breath.  This is the symptom im scared of most.  I was diagnosed yesterday and have been having symptoms since Thursday although my fever and cough started Sunday night.  Cough getting a little worse but nothing I have never felt before.  I am worried about shortness of breath.  I have a spo2 monitor and it stays on 98.  I also walked on the treadmill for about 15 minutes yesterday with no problem.  Its just my chest feels kind of tight.</t>
        </is>
      </c>
      <c r="D645" t="n">
        <v>1</v>
      </c>
      <c r="E645" t="n">
        <v>15</v>
      </c>
      <c r="F645">
        <f>HYPERLINK("https://www.reddit.com/r/COVID19positive/comments/g9lm56/how_to_tell_if_you_have_shortness_of_breath/")</f>
        <v/>
      </c>
      <c r="G645" t="inlineStr">
        <is>
          <t>2020-04-28 04:36:34</t>
        </is>
      </c>
      <c r="H645" t="inlineStr">
        <is>
          <t>Tested Positive</t>
        </is>
      </c>
    </row>
    <row r="646">
      <c r="A646" t="inlineStr">
        <is>
          <t>g9m4r4</t>
        </is>
      </c>
      <c r="B646" t="inlineStr">
        <is>
          <t>Virus experience</t>
        </is>
      </c>
      <c r="C646" t="inlineStr">
        <is>
          <t>23 from New York. Been having symptoms for about 8 days now. Fever sensation and shortness of breath (tight chest) . 
The weirdest thing is my temperature is not over 100 and my breathing is fine. The tightness of the chest is so piercing tho, sometimes unbearable. (Anyone else?) 
It been the biggest issue. It has also kept me from sleeping at all. Heart palpitations every time I try to doze off. It’s like my heart tells my body no to sleeping every single time. The times that I do get a short amount of sleep (3-4 hours tops) I wake up drenched in sweat. Lack of sleep is driving me nuts 
Any similar experiences? Also anything on what to take for sleep ?</t>
        </is>
      </c>
      <c r="D646" t="n">
        <v>1</v>
      </c>
      <c r="E646" t="n">
        <v>8</v>
      </c>
      <c r="F646">
        <f>HYPERLINK("https://www.reddit.com/r/COVID19positive/comments/g9m4r4/virus_experience/")</f>
        <v/>
      </c>
      <c r="G646" t="inlineStr">
        <is>
          <t>2020-04-28 05:17:54</t>
        </is>
      </c>
      <c r="H646" t="inlineStr">
        <is>
          <t>Presumed Positive - From Doctor</t>
        </is>
      </c>
    </row>
    <row r="647">
      <c r="A647" t="inlineStr">
        <is>
          <t>g9o2n3</t>
        </is>
      </c>
      <c r="B647" t="inlineStr">
        <is>
          <t>False Negatives</t>
        </is>
      </c>
      <c r="C647" t="inlineStr">
        <is>
          <t>Yesterday my husband‘s employer sent him to the ER where a doctor saw him and diagnosed him with CO-VID 19 without a physical test to confirm.  
The doctor didn’t want to test him because she said that in our area *30% of the tests were coming back with false negatives.* 
This is very concerning as my mom, sister and uncle (all of whom don’t live with us but we have interacted with previously) took the test after being convinced they had it (we all were convinced) yet they all came back negative. Problems like this with testing will only make more trouble for the future.</t>
        </is>
      </c>
      <c r="D647" t="n">
        <v>1</v>
      </c>
      <c r="E647" t="n">
        <v>17</v>
      </c>
      <c r="F647">
        <f>HYPERLINK("https://www.reddit.com/r/COVID19positive/comments/g9o2n3/false_negatives/")</f>
        <v/>
      </c>
      <c r="G647" t="inlineStr">
        <is>
          <t>2020-04-28 07:21:41</t>
        </is>
      </c>
      <c r="H647" t="inlineStr">
        <is>
          <t>Tested Positive - Family</t>
        </is>
      </c>
    </row>
    <row r="648">
      <c r="A648" t="inlineStr">
        <is>
          <t>g9qo1j</t>
        </is>
      </c>
      <c r="B648" t="inlineStr">
        <is>
          <t>Possible reinfection or just a long case of 5 weeks?</t>
        </is>
      </c>
      <c r="C648" t="inlineStr">
        <is>
          <t>I live in New York. The virus is everywhere here. First symptom of shortness of breath on 3/23. Covid was still pretty new, so I didn’t get tested right away. My symptoms were shortness of breath, chest pain, fever, HORRIBLE body aches, and loss of taste and smell. Tested positive 4/3.  Symptom disappeared 4/9 for 2 weeks. I signed up for a plasma study and antibody test that’s upcoming because it was presumed gone. Fever came back 4/26, shortness of breath came back today. I called 311 to see if this is possible, and the nurse said it’s probably something else because she’s never seen it last longer than 3 weeks. Anyone else have this experience?</t>
        </is>
      </c>
      <c r="D648" t="n">
        <v>1</v>
      </c>
      <c r="E648" t="n">
        <v>5</v>
      </c>
      <c r="F648">
        <f>HYPERLINK("https://www.reddit.com/r/COVID19positive/comments/g9qo1j/possible_reinfection_or_just_a_long_case_of_5/")</f>
        <v/>
      </c>
      <c r="G648" t="inlineStr">
        <is>
          <t>2020-04-28 09:43:19</t>
        </is>
      </c>
      <c r="H648" t="inlineStr">
        <is>
          <t>Tested Positive - Me</t>
        </is>
      </c>
    </row>
    <row r="649">
      <c r="A649" t="inlineStr">
        <is>
          <t>g9qq1r</t>
        </is>
      </c>
      <c r="B649" t="inlineStr">
        <is>
          <t>Anyone test negative then test positive with nasal swab?</t>
        </is>
      </c>
      <c r="C649" t="inlineStr">
        <is>
          <t>I first tested positive April 9. I just had my 3rd positive test yesterday but have been asymptomatic for 10 days. Really thought it would be coming back negative. At first employee health said after a week of no symptoms I could resume work, then they changed to 2 weeks, now it's 2 negative tests. I know I've heard of people who recovered becoming positive again...wondering if it was the old definition of recovery/being asymptomatic. Has anyone received either 1 or 2 negative tests and then become positive again?</t>
        </is>
      </c>
      <c r="D649" t="n">
        <v>1</v>
      </c>
      <c r="E649" t="n">
        <v>7</v>
      </c>
      <c r="F649">
        <f>HYPERLINK("https://www.reddit.com/r/COVID19positive/comments/g9qq1r/anyone_test_negative_then_test_positive_with/")</f>
        <v/>
      </c>
      <c r="G649" t="inlineStr">
        <is>
          <t>2020-04-28 09:46:23</t>
        </is>
      </c>
      <c r="H649" t="inlineStr">
        <is>
          <t>Tested Positive - Me</t>
        </is>
      </c>
    </row>
    <row r="650">
      <c r="A650" t="inlineStr">
        <is>
          <t>g9t527</t>
        </is>
      </c>
      <c r="B650" t="inlineStr">
        <is>
          <t>My mom (diabetes, HBP, and hyperthyroidism) just tested positive. Please share your recovery stories at this time.</t>
        </is>
      </c>
      <c r="C650" t="inlineStr">
        <is>
          <t>She tested positive after me, but I am fully recovered as I am young. My case did not make it to respiratory, only senses were lost but I can smell and taste everything just fine now. 
She’s on day 5 and so far can still walk around, talk with no shortness of breath. Mild cough maybe a few times a day, no constant or wheezing cough yet. Yesterday she felt a little warm, today she says she feels fine just tired. I’m scared because of her underlying conditions that this can take a turn for the worst. She’s usually the one out of our family who catches colds more often. She got her flu shot last year.
I need some hope because the odds look stacked against her. The media makes it seem like those with underlying conditions might not make it out. I’m so scared. I wish she had my mild case instead and I got to suffer her cough and fatigue for her. I healed less than 13 days but I’m sure the virus itself is still in me, considering our house is probably infected. 
Currently the doctor has instructed her to take 2 Tylenol a day, and continue taking zinc, mucinex, and vitamin D and to watch her blood sugar and pressure normals (she says it’s been normal still). I stood not obsessing over this when it was my case, but I get so anxious now that we have to endure hers since she’s very vulnerable. She can still talk in full sentences but her most noticeable symptom is feeling a little tired. I know day 5 is only the beginning and it might a long way to go. She does not shoot insulin for her diabetes (not sure what type that is) doesn’t eat red meat or anything high in fat/cholesterol. 
I’m not asking you all to tell me what will happen since no one really knows. But just asking for anyone who has experienced mild/severe cases despite the odds. We know someone who was tested at the hospital because he couldn’t breathe, and spent 2-3 weeks in ICU with the virus, and passed away there. He was around 70 my mom is early 50s...but her underlying conditions are making me so scared.</t>
        </is>
      </c>
      <c r="D650" t="n">
        <v>1</v>
      </c>
      <c r="E650" t="n">
        <v>41</v>
      </c>
      <c r="F650">
        <f>HYPERLINK("https://www.reddit.com/r/COVID19positive/comments/g9t527/my_mom_diabetes_hbp_and_hyperthyroidism_just/")</f>
        <v/>
      </c>
      <c r="G650" t="inlineStr">
        <is>
          <t>2020-04-28 11:56:06</t>
        </is>
      </c>
      <c r="H650" t="inlineStr">
        <is>
          <t>Tested Positive - Family</t>
        </is>
      </c>
    </row>
    <row r="651">
      <c r="A651" t="inlineStr">
        <is>
          <t>g9tjvb</t>
        </is>
      </c>
      <c r="B651" t="inlineStr">
        <is>
          <t>41 M from NJ, tested positive, mostly recovered and frustrated.</t>
        </is>
      </c>
      <c r="C651" t="inlineStr">
        <is>
          <t>So I was most likely exposed on March 16 picking up my daughter from baby sitter, who later that night told me her husband was very ill and not to bring the baby following day. Few days later her husband was in hospital followed by her, they tested positive. I had bad symptoms that weekend, everything but fever. Because of a heart condition my doctor wasn't chancing it so on March 27 (day after my birthday) I was tested, had results of positive test a day later. Doctor ordered me to remain in quarantine and check for fever, to keep resting and hydrate often. My wife and daughter never had symptoms but we always checked for fever. I am now a month after my positive test and mostly feel recovered, no fatigue crash nor diarrhea in 2 weeks but I still have minor chest congestion, occasional chest feeling of burning, shortness of breath and occasional tiredness (not fatigue like before). I wanted to get retested to see if what I still feel is allergies or if covid is still active. Just got off the phone with my doctor and he said it would not be of value. He said I may test positive but could actually be negative, could have antigens in nasal passage as example. He put me on a script for inflamation and will check up on me next week. I remain quarantined at minimum for another week and need to continue relying on everyone to drop things off or deliver things to my house. Just frustrated, mostly because I have to rely on others and remain quarantined at home, and especially this weekend I saw a lot of friends posting on social media out and about unprotected gathering socially.. Luckily my wife and daughter have shown no signs. Really looking forward to when this is all over or at least not always confined to the house. I only leave the house to go for a walk with my daughter when the weather is nice, just wish it were more. The only pros is having more time with my daughternand how I have almost fully quit smoking naturally (on occasion I have half a cig).</t>
        </is>
      </c>
      <c r="D651" t="n">
        <v>1</v>
      </c>
      <c r="E651" t="n">
        <v>11</v>
      </c>
      <c r="F651">
        <f>HYPERLINK("https://www.reddit.com/r/COVID19positive/comments/g9tjvb/41_m_from_nj_tested_positive_mostly_recovered_and/")</f>
        <v/>
      </c>
      <c r="G651" t="inlineStr">
        <is>
          <t>2020-04-28 12:17:44</t>
        </is>
      </c>
      <c r="H651" t="inlineStr">
        <is>
          <t>Tested Positive - Me</t>
        </is>
      </c>
    </row>
    <row r="652">
      <c r="A652" t="inlineStr">
        <is>
          <t>g9uqwr</t>
        </is>
      </c>
      <c r="B652" t="inlineStr">
        <is>
          <t>I do not know how long I can keep up this fight</t>
        </is>
      </c>
      <c r="C652" t="inlineStr">
        <is>
          <t>I'm crying as I write this. I'm miserable, I've been so miserable for 3 weeks. Every breath hurts. I'm drenched in sweat. My head hurts. I'm so hot and so cold at the same time. I can't move, can't eat, can't even focus on a TV show. I'm a teacher and my poor kids are missing out on virtual learning. I can't stand up, too dizzy. My parents are putting my dog down. My closest co-worker has been on a ventilator for a month. This virus is fucking evil.</t>
        </is>
      </c>
      <c r="D652" t="n">
        <v>1</v>
      </c>
      <c r="E652" t="n">
        <v>115</v>
      </c>
      <c r="F652">
        <f>HYPERLINK("https://www.reddit.com/r/COVID19positive/comments/g9uqwr/i_do_not_know_how_long_i_can_keep_up_this_fight/")</f>
        <v/>
      </c>
      <c r="G652" t="inlineStr">
        <is>
          <t>2020-04-28 13:20:15</t>
        </is>
      </c>
      <c r="H652" t="inlineStr">
        <is>
          <t>Tested Positive - Me</t>
        </is>
      </c>
    </row>
    <row r="653">
      <c r="A653" t="inlineStr">
        <is>
          <t>g9vytk</t>
        </is>
      </c>
      <c r="B653" t="inlineStr">
        <is>
          <t>Just got tested today for COVID-19 and it came back positive. I knew my gut wasn't wrong.</t>
        </is>
      </c>
      <c r="C653" t="inlineStr">
        <is>
          <t>Had the trifecta of symptoms the past few days. But when my temp spiked at 103.7 and I couldn't stop coughing, I knew I had corona. Others were telling me that it was probably the flu, but I was adamant. I'm glad I went to get the test.
More than likely I contracted it at work. I work in retail, and my store can see over 700 customers a day. Hell, our limit in the store is 677. That's an insane number for max capacity. I don't know what date I got infected, but am 99.9% sure it happened at my job. 
Now I am off for two weeks with pay, trying to combat the virus that I got from disgusting people who couldn't protect themselves or others. Selfish assholes who care about nobody but themselves. 
I'm still pretty young. At only 26, I'm certain to beat this without much difficulty. Still, it's not going to be a cakewalk. Anyone have any tips on how to possibly make the most of everything?</t>
        </is>
      </c>
      <c r="D653" t="n">
        <v>1</v>
      </c>
      <c r="E653" t="n">
        <v>19</v>
      </c>
      <c r="F653">
        <f>HYPERLINK("https://www.reddit.com/r/COVID19positive/comments/g9vytk/just_got_tested_today_for_covid19_and_it_came/")</f>
        <v/>
      </c>
      <c r="G653" t="inlineStr">
        <is>
          <t>2020-04-28 14:23:51</t>
        </is>
      </c>
      <c r="H653" t="inlineStr">
        <is>
          <t>Tested Positive - Me</t>
        </is>
      </c>
    </row>
    <row r="654">
      <c r="A654" t="inlineStr">
        <is>
          <t>g9w3k9</t>
        </is>
      </c>
      <c r="B654" t="inlineStr">
        <is>
          <t>Long(er) term symptoms could be complicated by, or result of, mono reactivation.</t>
        </is>
      </c>
      <c r="C654" t="inlineStr">
        <is>
          <t>The Epstein-Barr Virus (EBV, colloquially referred to as "mono") , is dormant in &amp;gt;90% of the US population. It presents as a common cold for kids, so most don't even know they had it. In adults, EBV commonly presents extensive fatigue, fevers, sore throats, headaches, etc., with fatigue often being the most notable symptom - which can last several months. EBV is with us for life, our immune system keeps it in check. Interestingly, the severity of EBV symptoms is well known to be made worse by exercise, which many, many people are reporting here. 
There's evidence our immune fight against covid-19 is causing EBV to reactivate . In fact, &amp;gt;50% of test subjects in this study experienced a reactivation of EBV: [https://www.rese](https://www.researchsquare.com/article/rs-21580/v1)[archsquare.com/article/rs-21580/v1](https://www.researchsquare.com/article/rs-21580/v1). Hopefully we see additional studies, from more credible sources, in the coming weeks.  
While this doesn't explain the lung pain, SOB, cough, etc., it's possible many people are experiencing symptoms in-line with a mono reinfection (endless fatigue, headache, fever), additional to recovery from covid-19 (lung healing/pneumonia recovery symptoms).</t>
        </is>
      </c>
      <c r="D654" t="n">
        <v>1</v>
      </c>
      <c r="E654" t="n">
        <v>28</v>
      </c>
      <c r="F654">
        <f>HYPERLINK("https://www.reddit.com/r/COVID19positive/comments/g9w3k9/longer_term_symptoms_could_be_complicated_by_or/")</f>
        <v/>
      </c>
      <c r="G654" t="inlineStr">
        <is>
          <t>2020-04-28 14:30:56</t>
        </is>
      </c>
      <c r="H654" t="inlineStr">
        <is>
          <t>Presumed Positive - From Doctor</t>
        </is>
      </c>
    </row>
    <row r="655">
      <c r="A655" t="inlineStr">
        <is>
          <t>g9w6nr</t>
        </is>
      </c>
      <c r="B655" t="inlineStr">
        <is>
          <t>Weird symptoms - Has anyone experienced anything like this?</t>
        </is>
      </c>
      <c r="C655" t="inlineStr">
        <is>
          <t>38 M 215 lbs now (230 lbs before).  Only condition I have is psoriasis, fatty liver and GERD.  I had a low grade fever that lasted from March 14 to March 25.  No cough, no shortness of breath.  I lost about 15 lbs.  Not sure if I had it then because tests were not yet available.  After the fever went away I started to get better except for tingling in my left leg/arm/face and slight shaking in my hands which started on April 21 and which I have had since.  I spoke to my doctor and he thinks this may be due to anxiety/stress which I definitely think I have.  I decided to get tested on Sunday 26 with the nose swab and it came back positive last night.  My beats per minute went went through the roof and had a pain in my back in between my shoulder blades.  Called 911 and the paramedic took blood pressure and an EKG and said it was normal and just accelerated due to anxiety.  Since this morning I have been peeing a lot more than usual.  The urine comes out clear but I haven’t drunk that much water to urinate that much.  I also noted that before going to pee I feel this burning sensation pain in my balls/groin.  I had my annual blood work performed on April 17 and my kidneys seemed to be functioning properly.  I just didn’t know then that I was COVID-19 positive.  I’m not sure if I tested positive from when I had the fever in March 14 (which would make me still positive 43 days after) or if I caught the virus more recently.  To this day I don’t have cough or shortness of breath but I’m afraid those symptoms may be yet to come if I didn’t have the virus back in March.</t>
        </is>
      </c>
      <c r="D655" t="n">
        <v>1</v>
      </c>
      <c r="E655" t="n">
        <v>10</v>
      </c>
      <c r="F655">
        <f>HYPERLINK("https://www.reddit.com/r/COVID19positive/comments/g9w6nr/weird_symptoms_has_anyone_experienced_anything/")</f>
        <v/>
      </c>
      <c r="G655" t="inlineStr">
        <is>
          <t>2020-04-28 14:35:19</t>
        </is>
      </c>
      <c r="H655" t="inlineStr">
        <is>
          <t>Tested Positive - Me</t>
        </is>
      </c>
    </row>
    <row r="656">
      <c r="A656" t="inlineStr">
        <is>
          <t>g9xkpu</t>
        </is>
      </c>
      <c r="B656" t="inlineStr">
        <is>
          <t>Does the Antibody test for COVID specific Antibodies?</t>
        </is>
      </c>
      <c r="C656" t="inlineStr">
        <is>
          <t>I was tested positive along with my girlfriend and we are quarantined with my family. My mom tested negative from the nose swab. 
Our antibody tests came back and my girlfriend and I have positive IGM and IGG levels but so does my mom. 
Could antibodies levels be tested positive for just any kind of sickness? Or are these tests specifically for COVID antibodies? Does anyone know? Does this mean my mom has a false negative nose swab and is now (maybe) immune?</t>
        </is>
      </c>
      <c r="D656" t="n">
        <v>1</v>
      </c>
      <c r="E656" t="n">
        <v>7</v>
      </c>
      <c r="F656">
        <f>HYPERLINK("https://www.reddit.com/r/COVID19positive/comments/g9xkpu/does_the_antibody_test_for_covid_specific/")</f>
        <v/>
      </c>
      <c r="G656" t="inlineStr">
        <is>
          <t>2020-04-28 15:51:23</t>
        </is>
      </c>
      <c r="H656" t="inlineStr">
        <is>
          <t>Tested Positive - Me</t>
        </is>
      </c>
    </row>
    <row r="657">
      <c r="A657" t="inlineStr">
        <is>
          <t>g9xyft</t>
        </is>
      </c>
      <c r="B657" t="inlineStr">
        <is>
          <t>Dizzy and blurry vision ?</t>
        </is>
      </c>
      <c r="C657" t="inlineStr">
        <is>
          <t>On top of every other symptom. Is anyone feeling really dizzy, lightheaded and just completely out of of it like your sedated? Plus vision and focus issues coming towards weeks 6/7?</t>
        </is>
      </c>
      <c r="D657" t="n">
        <v>1</v>
      </c>
      <c r="E657" t="n">
        <v>12</v>
      </c>
      <c r="F657">
        <f>HYPERLINK("https://www.reddit.com/r/COVID19positive/comments/g9xyft/dizzy_and_blurry_vision/")</f>
        <v/>
      </c>
      <c r="G657" t="inlineStr">
        <is>
          <t>2020-04-28 16:12:24</t>
        </is>
      </c>
      <c r="H657" t="inlineStr">
        <is>
          <t>Tested Positive</t>
        </is>
      </c>
    </row>
    <row r="658">
      <c r="A658" t="inlineStr">
        <is>
          <t>g9ygrt</t>
        </is>
      </c>
      <c r="B658" t="inlineStr">
        <is>
          <t>My mom is tested Positive but</t>
        </is>
      </c>
      <c r="C658" t="inlineStr">
        <is>
          <t>My mom (35F) tested positive about a week ago. She has pneumonia now and went to the hospital recently. I’m very concerned and my anxiety has went through the roof. I’m (17F) starting to show symptoms as well. I’ve been having a scratchy throat for 3 days but no cough, no fever, and no chills. The only thing that I can think is developing is chest pain. Been feeling tired but I feel like that’s regular for me. Could it be just my mind playing tricks on me because when I’m distracted I don’t really feel my throat. Should I bother getting a test? I’ve had contact with my mom but I wear masks and gloves but we could have had contact when she wasn’t showing symptoms.</t>
        </is>
      </c>
      <c r="D658" t="n">
        <v>1</v>
      </c>
      <c r="E658" t="n">
        <v>5</v>
      </c>
      <c r="F658">
        <f>HYPERLINK("https://www.reddit.com/r/COVID19positive/comments/g9ygrt/my_mom_is_tested_positive_but/")</f>
        <v/>
      </c>
      <c r="G658" t="inlineStr">
        <is>
          <t>2020-04-28 16:41:19</t>
        </is>
      </c>
      <c r="H658" t="inlineStr">
        <is>
          <t>Tested Positive - Family</t>
        </is>
      </c>
    </row>
    <row r="659">
      <c r="A659" t="inlineStr">
        <is>
          <t>g9ysyu</t>
        </is>
      </c>
      <c r="B659" t="inlineStr">
        <is>
          <t>My experience with a MILD case</t>
        </is>
      </c>
      <c r="C659" t="inlineStr">
        <is>
          <t>**Week 1:** Throat pain. 
I though "well classic throat pain before the cold".
**Week 2:** Throat pain leaving and coming. 
Weeks later i realized it never went away, only the pain.
**Week 3:** Throat pain, diarrhea, nasal flow, low fatigue and low fever. 
Ok Throat pain never lasted more than 3 days in my life, this is not the cold, nor dengue or the flu cause they hit harder.
**Week 4:** Throat pain, diarrhea, nasal flow, low fatigue, low fever cough almost non existant and shortness of breath.
1st time with shortness of breath, scared shitless and my stocks are free falling. I finally start taking azithromycin and tylenol cause i didnt see myself recovering at all.
**Week 5:** All clear. I knew about plaquenil and quercetin but i didnt have access to plaquenil, and i only took quercetin naturally with green tea, apples and onions, cant tell if they worked. 
**Now:** No reduced lung capacity, same strenght as before but i feel my stomach weaker, before i had an iron stomach.
**Extra:** All my family is in the health field, so i avoided hospitals like a plague (country situation), and i had to investigate and get into contact with doctors in the front line in SK, USA, China, get their reports, data cause my family was clueless same as the doctors in the country (that also helped with my stocks, shorted the market, stopped and started buying).</t>
        </is>
      </c>
      <c r="D659" t="n">
        <v>1</v>
      </c>
      <c r="E659" t="n">
        <v>24</v>
      </c>
      <c r="F659">
        <f>HYPERLINK("https://www.reddit.com/r/COVID19positive/comments/g9ysyu/my_experience_with_a_mild_case/")</f>
        <v/>
      </c>
      <c r="G659" t="inlineStr">
        <is>
          <t>2020-04-28 17:01:21</t>
        </is>
      </c>
      <c r="H659" t="inlineStr">
        <is>
          <t>Tested Positive - Me</t>
        </is>
      </c>
    </row>
    <row r="660">
      <c r="A660" t="inlineStr">
        <is>
          <t>g9zezd</t>
        </is>
      </c>
      <c r="B660" t="inlineStr">
        <is>
          <t>My sister tested positive almost four weeks ago - still nothing?</t>
        </is>
      </c>
      <c r="C660" t="inlineStr">
        <is>
          <t>Hello - asking a question for my sister. She lives close to Vancouver BC , Canada. A co worker at her work tested positive so the whole staff had to get tested. She landed up being positive. Of course she has been in quarantine and all her coworkers have fallen ill that tested positive except her. It’s been close to four weeks and nothing! Is it possible she got a false result? Should she go to the hospital and get tested again?</t>
        </is>
      </c>
      <c r="D660" t="n">
        <v>1</v>
      </c>
      <c r="E660" t="n">
        <v>26</v>
      </c>
      <c r="F660">
        <f>HYPERLINK("https://www.reddit.com/r/COVID19positive/comments/g9zezd/my_sister_tested_positive_almost_four_weeks_ago/")</f>
        <v/>
      </c>
      <c r="G660" t="inlineStr">
        <is>
          <t>2020-04-28 17:39:12</t>
        </is>
      </c>
      <c r="H660" t="inlineStr">
        <is>
          <t>Tested Positive - Family</t>
        </is>
      </c>
    </row>
    <row r="661">
      <c r="A661" t="inlineStr">
        <is>
          <t>ga071r</t>
        </is>
      </c>
      <c r="B661" t="inlineStr">
        <is>
          <t>How much Weight have you lost?</t>
        </is>
      </c>
      <c r="C661" t="inlineStr">
        <is>
          <t>I've both been experiencing personally and also Reading about fast weightloss, and takes no genious to figure that fevers, high pulse, lower food/water intake and muscle loss can cause great Weight loss.
I've been sick for 5 weeks, and lost well above 10 pounds, was skinny before and now I'm underweight.
How much Weight did you loose? 
And is there anywhere rapid weightloss is named to be a symptom?</t>
        </is>
      </c>
      <c r="D661" t="n">
        <v>1</v>
      </c>
      <c r="E661" t="n">
        <v>13</v>
      </c>
      <c r="F661">
        <f>HYPERLINK("https://www.reddit.com/r/COVID19positive/comments/ga071r/how_much_weight_have_you_lost/")</f>
        <v/>
      </c>
      <c r="G661" t="inlineStr">
        <is>
          <t>2020-04-28 18:29:01</t>
        </is>
      </c>
      <c r="H661" t="inlineStr">
        <is>
          <t>Presumed Positive - From Doctor</t>
        </is>
      </c>
    </row>
    <row r="662">
      <c r="A662" t="inlineStr">
        <is>
          <t>ga1aj0</t>
        </is>
      </c>
      <c r="B662" t="inlineStr">
        <is>
          <t>Week 6 - my timeline &amp;amp; story.... pulmonary appt on Monday</t>
        </is>
      </c>
      <c r="C662" t="inlineStr">
        <is>
          <t>Hi everyone,
**I am on Day 48 today and still not recovered.** Wanted to share my story, see if anyone had comments/suggestions, and compare experiences.
Massachusetts, 31 years old, male, 160 lbs
Some chronic GI stuff, but no "at risk" COVID conditions (as far as I know)
**March 10 -** Symptom onset
* Fatigue
* Chest pain / lower throat pain
* Dry cough
* Fever (mid 100's)
* Eye pain
Started a supplement stack:
* Vitamin C &amp;amp; D, Zinc, Turmuric/Curcumin, Quercetin, NAC
Things continued to progress. Around **March 27/28** I debated going to the hospital due to worsening chest pain and the most *brutal* fatigue I have ever experienced. Couldn't even move in bed. So weak.
I finally convinced a doctor to test me.
**March 31** \- COVID swab at drive-through
* NEGATIVE
* Also negative: Flu and strep
My PCP decided to continue treatment as if it's COVID. Due to false negative rates (25%), and the fact that I tested so late in my course (Day 21). Nasal viral loads probably very low at that point.
One other key fact: I already had the Flu back in January (confirmed by swab on Jan 22). 
Based on my symptoms, and ruling out of the Flu, he thinks it's *very unlikely* this is something other than COVID.
**April 6th** \- my fever broke, but chest pain and fatigue remain big issues
* I was prescribed Albuterol inhaler
**April 17th** \- got an x-ray
* NORMAL result
* Ruled out pneumonia, but wondering if I need a CT Scan
**April 19th** \- fatigue started to diminish, energy level coming back
*--- The week of April 19th I felt like I was on the recovery path ---*
**April 22nd** \- started an inhaled steroid (Arnuity) for the residual chest discomfort &amp;amp; inflammation
**April 23rd** \- walk-in antibody test at urgent clinic (via Quest)
* NEGATIVE
This \^ was the shocker. How is everything negative when I feel like I am dying?
Leaves me thinking these options:
1. False negative again
2. No IgG antibodies yet as I'm not recovered (and Quest test is ONLY for IgG)
3. I am seronegative and don't / will not produce antibodies
4. I truly have some other virus
**April 26th** \- fatigue &amp;amp; fever came back with a vengeance. Chest pain is now starting to.
Today, **April 28th**, I discontinued the inhaled steroid in case it's making things worse.
\-------------------------------------------------------------------------------------------
I have an appt with a Pulmonary Specialist on Monday. Has anybody here done that? What should I expect? Any particular questions to ask, or tests to request based on my case?
Some things I have in mind:
* CT Scan
* Lung function tests
* Re-do the antibody test (whichever place includes all IgG, IgA, IgM).
   * I think LabCorp does
* Mono reactivation - had read about this possibly causing long term cases
* Virus panel (sputum) to test for wider array
* Breathing exercises - is there respiratory "physical therapy"?
Thanks for reading!</t>
        </is>
      </c>
      <c r="D662" t="n">
        <v>1</v>
      </c>
      <c r="E662" t="n">
        <v>18</v>
      </c>
      <c r="F662">
        <f>HYPERLINK("https://www.reddit.com/r/COVID19positive/comments/ga1aj0/week_6_my_timeline_story_pulmonary_appt_on_monday/")</f>
        <v/>
      </c>
      <c r="G662" t="inlineStr">
        <is>
          <t>2020-04-28 19:41:21</t>
        </is>
      </c>
      <c r="H662" t="inlineStr">
        <is>
          <t>Presumed Positive - From Doctor</t>
        </is>
      </c>
    </row>
    <row r="663">
      <c r="A663" t="inlineStr">
        <is>
          <t>ga1lyw</t>
        </is>
      </c>
      <c r="B663" t="inlineStr">
        <is>
          <t>Anyone allowed to get FMLA or an excused absence longer than 2 weeks due to covid? I’m still so sick.</t>
        </is>
      </c>
      <c r="C663" t="inlineStr">
        <is>
          <t>I’ve been sick for 5 weeks and I work from home. I worked the first half of it and then couldn’t anymore. I was only allowed 2 weeks off, as that was the norm for being tested positive. Fever and chest pains are back and I’m supposed to go back to work. My job will not let me unless I take FMLA and HR said I have to get a doctors note saying I need FMLA. I just can’t get a doctor to take me seriously that I still have symptoms. I tested positive 4/3.</t>
        </is>
      </c>
      <c r="D663" t="n">
        <v>1</v>
      </c>
      <c r="E663" t="n">
        <v>12</v>
      </c>
      <c r="F663">
        <f>HYPERLINK("https://www.reddit.com/r/COVID19positive/comments/ga1lyw/anyone_allowed_to_get_fmla_or_an_excused_absence/")</f>
        <v/>
      </c>
      <c r="G663" t="inlineStr">
        <is>
          <t>2020-04-28 20:03:21</t>
        </is>
      </c>
      <c r="H663" t="inlineStr">
        <is>
          <t>Tested Positive - Me</t>
        </is>
      </c>
    </row>
    <row r="664">
      <c r="A664" t="inlineStr">
        <is>
          <t>ga1vth</t>
        </is>
      </c>
      <c r="B664" t="inlineStr">
        <is>
          <t>Finally recovering</t>
        </is>
      </c>
      <c r="C664" t="inlineStr">
        <is>
          <t>Other than a stye in my right eye, I finally feel symptom free. After 33 days, I finally feel like I am turning a corner. After having many waves that got less severe each time, I finally feel normal. The chest pain/tightness that’s been constant throughout is finally gone. 
Please send good vibes/prayers that the recovery sticks around!!!</t>
        </is>
      </c>
      <c r="D664" t="n">
        <v>1</v>
      </c>
      <c r="E664" t="n">
        <v>42</v>
      </c>
      <c r="F664">
        <f>HYPERLINK("https://www.reddit.com/r/COVID19positive/comments/ga1vth/finally_recovering/")</f>
        <v/>
      </c>
      <c r="G664" t="inlineStr">
        <is>
          <t>2020-04-28 20:22:21</t>
        </is>
      </c>
      <c r="H664" t="inlineStr">
        <is>
          <t>Tested Positive</t>
        </is>
      </c>
    </row>
    <row r="665">
      <c r="A665" t="inlineStr">
        <is>
          <t>ga35e4</t>
        </is>
      </c>
      <c r="B665" t="inlineStr">
        <is>
          <t>Dad update..please donate plasma!</t>
        </is>
      </c>
      <c r="C665" t="inlineStr">
        <is>
          <t>Before going into the story, i strongly recommend for those recovered to donate, or to test for antibodies to donate plasma!!! My dad is A+ blood type and is at Methodist Dallas. Dad is still going a month on ventilator. Stable vitals and fever every couple days. Still awaiting plasma as of 4/17, received a call today (4/28) saying they had gotten some plasma but they have to figure out what kind of blood it is. The said they will notify me when plasma gets in. Last Thursday he was awaken from sedation, Doctor said it would have to be done to try to wean him off as much as they can from the vent. He’s under pain meds so he’s comfortable. One concern is he hasn’t respond to any commands..he opens his eyes and blinks but they said he doesnt look at anyone when they talk to him, and doesnt respond with some type of movements. One positive thing is, there is a mode on the vent that allows the patient to breathe on their own until they seem like they are uncomfortable and he is able to breathe on his own for couple hours! I’m hoping the plasma could reverse whatever this effect is. I try to talk to him every night to let him know he’s okay and I’m here with him and his family is too. It sucks waiting for plasma, i really want this to work so much and quick. Thanks for those sticking by❤️ please donate of u are able❤️</t>
        </is>
      </c>
      <c r="D665" t="n">
        <v>1</v>
      </c>
      <c r="E665" t="n">
        <v>23</v>
      </c>
      <c r="F665">
        <f>HYPERLINK("https://www.reddit.com/r/COVID19positive/comments/ga35e4/dad_updateplease_donate_plasma/")</f>
        <v/>
      </c>
      <c r="G665" t="inlineStr">
        <is>
          <t>2020-04-28 21:55:39</t>
        </is>
      </c>
      <c r="H665" t="inlineStr">
        <is>
          <t>Tested Positive - Family</t>
        </is>
      </c>
    </row>
    <row r="666">
      <c r="A666" t="inlineStr">
        <is>
          <t>ga3rom</t>
        </is>
      </c>
      <c r="B666" t="inlineStr">
        <is>
          <t>Heartburn symptoms</t>
        </is>
      </c>
      <c r="C666" t="inlineStr">
        <is>
          <t>I’m on day 31 of symptoms, which have been cycling in and out (chest tightness / pain, shortness of breath, fatigue, headache, nausea, loss of smell and taste). As of today I can now add heartburn symptoms, which I felt sharply in my chest, back and should area.
Has anyone else experienced this? If so did you seek advice from medical professionals?</t>
        </is>
      </c>
      <c r="D666" t="n">
        <v>1</v>
      </c>
      <c r="E666" t="n">
        <v>7</v>
      </c>
      <c r="F666">
        <f>HYPERLINK("https://www.reddit.com/r/COVID19positive/comments/ga3rom/heartburn_symptoms/")</f>
        <v/>
      </c>
      <c r="G666" t="inlineStr">
        <is>
          <t>2020-04-28 22:44:36</t>
        </is>
      </c>
      <c r="H666" t="inlineStr">
        <is>
          <t>Tested Positive - Me</t>
        </is>
      </c>
    </row>
    <row r="667">
      <c r="A667" t="inlineStr">
        <is>
          <t>ga3w4w</t>
        </is>
      </c>
      <c r="B667" t="inlineStr">
        <is>
          <t>Did any of your symptoms get worse?</t>
        </is>
      </c>
      <c r="C667" t="inlineStr">
        <is>
          <t>Those of you experiencing prolonged illness did any of your symptoms get worse?</t>
        </is>
      </c>
      <c r="D667" t="n">
        <v>1</v>
      </c>
      <c r="E667" t="n">
        <v>18</v>
      </c>
      <c r="F667">
        <f>HYPERLINK("https://www.reddit.com/r/COVID19positive/comments/ga3w4w/did_any_of_your_symptoms_get_worse/")</f>
        <v/>
      </c>
      <c r="G667" t="inlineStr">
        <is>
          <t>2020-04-28 22:54:27</t>
        </is>
      </c>
      <c r="H667" t="inlineStr">
        <is>
          <t>Presumed Positive - From Doctor</t>
        </is>
      </c>
    </row>
    <row r="668">
      <c r="A668" t="inlineStr">
        <is>
          <t>ga4eob</t>
        </is>
      </c>
      <c r="B668" t="inlineStr">
        <is>
          <t>I notice too many people, including myself, fall for wishful thinking.</t>
        </is>
      </c>
      <c r="C668" t="inlineStr">
        <is>
          <t>Hello beautiful human beings !
I tested positive yesterday. I been feeling symptoms for a week now. So since recovery time is 2 weeks according to research, I only have a week left! But I will stay locked in longer. This pandemic had made me realize how lightly a lot of people are taking this matter. This pandemic has also made me realize how so often, we fall for wishful thinking.. "Oh its just a small cough" "oh i left the window open an that's why I feel sick" People want to internalize in their minds "No its not covid." So they'll come up with other excuses. Especially in a time like this. The most important thing you can do right now is meditate and take a cold shower(metaphorically speaking) and not let your emotions guide you during this pandemic. Just wanted to point that out :) 
PLEASE PM ME IF YOU NEED SOMEONE TO TALK TO. OR IF YOU JUST WANT TO CHAT. MY INBOX IS OPEN.</t>
        </is>
      </c>
      <c r="D668" t="n">
        <v>1</v>
      </c>
      <c r="E668" t="n">
        <v>8</v>
      </c>
      <c r="F668">
        <f>HYPERLINK("https://www.reddit.com/r/COVID19positive/comments/ga4eob/i_notice_too_many_people_including_myself_fall/")</f>
        <v/>
      </c>
      <c r="G668" t="inlineStr">
        <is>
          <t>2020-04-28 23:38:05</t>
        </is>
      </c>
      <c r="H668" t="inlineStr">
        <is>
          <t>Tested Positive - Me</t>
        </is>
      </c>
    </row>
    <row r="669">
      <c r="A669" t="inlineStr">
        <is>
          <t>ga66vh</t>
        </is>
      </c>
      <c r="B669" t="inlineStr">
        <is>
          <t>Stay Home , Save lives Sad video</t>
        </is>
      </c>
      <c r="C669" t="inlineStr">
        <is>
          <t>A friend of mine has just tested positive in what we thought was a safe area of the country - just goes to show , anyone and everyone can get this horrible virus . Stay safe</t>
        </is>
      </c>
      <c r="D669" t="n">
        <v>1</v>
      </c>
      <c r="E669" t="n">
        <v>5</v>
      </c>
      <c r="F669">
        <f>HYPERLINK("https://www.reddit.com/r/COVID19positive/comments/ga66vh/stay_home_save_lives_sad_video/")</f>
        <v/>
      </c>
      <c r="G669" t="inlineStr">
        <is>
          <t>2020-04-29 02:17:38</t>
        </is>
      </c>
      <c r="H669" t="inlineStr">
        <is>
          <t>Tested Positive - Friends</t>
        </is>
      </c>
    </row>
    <row r="670">
      <c r="A670" t="inlineStr">
        <is>
          <t>ga6kc9</t>
        </is>
      </c>
      <c r="B670" t="inlineStr">
        <is>
          <t>Day 50 symptoms are gone but still positive</t>
        </is>
      </c>
      <c r="C670" t="inlineStr">
        <is>
          <t>I had symptoms for 20 days and tested positive at day 10.
Mine was a mild case with only fever cough and gastrointestinal disorders.
After that I've been pretty much asymptomatic for 30 days but tests continue to come back positive.
That's frustrating because I feel good and still have to self isolate alone in my small apartment.
Do you think it will ever go away?</t>
        </is>
      </c>
      <c r="D670" t="n">
        <v>1</v>
      </c>
      <c r="E670" t="n">
        <v>10</v>
      </c>
      <c r="F670">
        <f>HYPERLINK("https://www.reddit.com/r/COVID19positive/comments/ga6kc9/day_50_symptoms_are_gone_but_still_positive/")</f>
        <v/>
      </c>
      <c r="G670" t="inlineStr">
        <is>
          <t>2020-04-29 02:50:41</t>
        </is>
      </c>
      <c r="H670" t="inlineStr">
        <is>
          <t>Tested Positive - Me</t>
        </is>
      </c>
    </row>
    <row r="671">
      <c r="A671" t="inlineStr">
        <is>
          <t>ga7d1p</t>
        </is>
      </c>
      <c r="B671" t="inlineStr">
        <is>
          <t>6 weeks in, positive test, recovering</t>
        </is>
      </c>
      <c r="C671" t="inlineStr">
        <is>
          <t>Here's my experience so far.
First had symptoms on March 18.
Started out with aches and feeling tired.
Couple of days later aches were worse, stayed in bed, very flu like.
This carried on for a week, then the aches went but still felt tired, weak and started coughing.
9 days in most of it in bed, coughing, weak, worse at night. Then felt something bad had happened to my left lung, felt tight, wasn't breathing too well.
Phoned an ambulance.
Went to hospital, had an x-ray and a swab test for covid-19. Doctor and nurses said looking at my x-ray and symptoms it was very likely I had covid-19. Admitted to hospital for covid-19 and pnuemonia, was on a drip for 3 days, and oxygen mask for 5.
Discharged on the afternoon of the 5 day.
At home couldn't do very much at all.
Had continuous coughing fits when standing up or moving around, very breathless and weak stayed in bed.
Second day at home had a weird feeling in my right lower leg. Felt very tight, couldn't move it, sent back to hospital. I had DVT, sent home with medicine.
Gradually got better over the next two weeks. Less coughing, not as breathless, still couldn't stand or move for that long. But sitting in a chair rather than bed. Improving every day.
24 April sent to hospital for a chest x-ray
X-ray showed still quite a lot of stuff on my left lung, need to go back for another X-ray in 4 weeks, hopefully it will be clearer.
Last few days, moving around a lot more, coughing a lot less. Going outside for 10-15 minute walks. Improving everyday. Still got quite a way to get  back to normal, but going in the right direction.</t>
        </is>
      </c>
      <c r="D671" t="n">
        <v>1</v>
      </c>
      <c r="E671" t="n">
        <v>16</v>
      </c>
      <c r="F671">
        <f>HYPERLINK("https://www.reddit.com/r/COVID19positive/comments/ga7d1p/6_weeks_in_positive_test_recovering/")</f>
        <v/>
      </c>
      <c r="G671" t="inlineStr">
        <is>
          <t>2020-04-29 03:59:17</t>
        </is>
      </c>
      <c r="H671" t="inlineStr">
        <is>
          <t>Tested Positive - Me</t>
        </is>
      </c>
    </row>
    <row r="672">
      <c r="A672" t="inlineStr">
        <is>
          <t>ga8emt</t>
        </is>
      </c>
      <c r="B672" t="inlineStr">
        <is>
          <t>Still coughing a month later. Anyone else?</t>
        </is>
      </c>
      <c r="C672" t="inlineStr">
        <is>
          <t>I got sick on March 18th.  Tested positive the 23rd.  I had the usual symptoms but my cough was severe.  I am 95% better now but I'm still coughing.  Not all day any more, but enough to be concerned.  I also can't take a deep breath without coughing.  My chest pains are mostly gone.  
My doctor said the cough can take 12 weeks to clear up, but I would personally feel better if someone xrayed my lungs to make sure I didnt develop pneumonia.  
I am in NYC and its really bad here, so Im not going to go to an already overtaxed hospital, and most doctors are doing tele-visits only (I've had two so far).  My doctor feels Im doing great and dont need an xray.  
Its also going into my usual allergy season, so I dont know if thats the problem.  Im not usually a worrier, but with so many people dying here I feel a little nervous.  
What has the course of the cough been like for you all?</t>
        </is>
      </c>
      <c r="D672" t="n">
        <v>1</v>
      </c>
      <c r="E672" t="n">
        <v>11</v>
      </c>
      <c r="F672">
        <f>HYPERLINK("https://www.reddit.com/r/COVID19positive/comments/ga8emt/still_coughing_a_month_later_anyone_else/")</f>
        <v/>
      </c>
      <c r="G672" t="inlineStr">
        <is>
          <t>2020-04-29 05:19:49</t>
        </is>
      </c>
      <c r="H672" t="inlineStr">
        <is>
          <t>Tested Positive - Me</t>
        </is>
      </c>
    </row>
    <row r="673">
      <c r="A673" t="inlineStr">
        <is>
          <t>ga8ine</t>
        </is>
      </c>
      <c r="B673" t="inlineStr">
        <is>
          <t>Update - Waiting for test results but feel better - Day 42</t>
        </is>
      </c>
      <c r="C673" t="inlineStr">
        <is>
          <t>Hi all,
I am not sure if I am doing the right thing by making a new post (reddit newbie) but wanted to give an update on my situation with some good news: on Day 42 of my symptoms, I actually feel a bit better. Fever has been up and down in waves, I still have mild symptoms, but I feel less exhausted and I think my breathing is better. 
Also wanted to point out an interesting symptom I've had lately: when I have a fever, I tend to be fairly angry and over-hyped, while this is not my natural temper. Usually I notice it myself but still can't calm down, and when I finally go lie down or something the exhaustion quite literally falls on me. 
I was tested yesterday with a nose swab - thankfully I didn't read about the test before because darn that was unpleasant. I sure hope they will never have to test me again. They were supposed to get me the results in 24 hours (legal obligation here) but still have not heard from them. Now I just read that when tests are positives they only send the results to the GP who prescribed the test and they in turn have to contact the patients, so I guess that's my answer. My GP being overly busy I am expecting I'll get their call in the evening or so. Anyway, whatever the results I am more confident now that I can finally breath without struggles, and I know that I will get through this at some point, hopefully without other relapses and without long term damages (not counting a mild stress disorder associated with that virus!).
Just wanted to let you know about this because you've been a great support, and because we need to read about the positive too whether it be temporary or permanent. My thoughts go to all of ye who are still struggling, or who have family struggling - I hope you will get through this.</t>
        </is>
      </c>
      <c r="D673" t="n">
        <v>1</v>
      </c>
      <c r="E673" t="n">
        <v>5</v>
      </c>
      <c r="F673">
        <f>HYPERLINK("https://www.reddit.com/r/COVID19positive/comments/ga8ine/update_waiting_for_test_results_but_feel_better/")</f>
        <v/>
      </c>
      <c r="G673" t="inlineStr">
        <is>
          <t>2020-04-29 05:27:52</t>
        </is>
      </c>
      <c r="H673" t="inlineStr">
        <is>
          <t>Presumed Positive - From Doctor</t>
        </is>
      </c>
    </row>
    <row r="674">
      <c r="A674" t="inlineStr">
        <is>
          <t>ga8sne</t>
        </is>
      </c>
      <c r="B674" t="inlineStr">
        <is>
          <t>High risk nurse presumed positive but tested neg, partner woke up vomitting</t>
        </is>
      </c>
      <c r="C674" t="inlineStr">
        <is>
          <t>I am a nurse who works with COVID patients. Saturday I developed chest heaviness, constriction and burning pain, muscle aches, mild fever and shortness of breath on exertion which lasted til monday. I tested Negative! But my doctor has presumed me positive because of my high risk, symptoms and that up to 30% of tests are false negativss 
Wednesday morning my boyfriend who I live with woke up in middle of night nausea and vomitted thin, watery bile. Bad headache that initially woke him up . Took Tylenol but vomitted it up. This morning he's seemingly normal . 
What is going on? Im especially nervous because according to Ontario public health if I test neg and am symptom free for 48hrs I will go back to work. I'm terrified about spreading it.
I'm going to advocate to have us both tested again. 
Anyone have similar experiences?</t>
        </is>
      </c>
      <c r="D674" t="n">
        <v>1</v>
      </c>
      <c r="E674" t="n">
        <v>55</v>
      </c>
      <c r="F674">
        <f>HYPERLINK("https://www.reddit.com/r/COVID19positive/comments/ga8sne/high_risk_nurse_presumed_positive_but_tested_neg/")</f>
        <v/>
      </c>
      <c r="G674" t="inlineStr">
        <is>
          <t>2020-04-29 05:47:18</t>
        </is>
      </c>
      <c r="H674" t="inlineStr">
        <is>
          <t>Presumed Positive - From Doctor</t>
        </is>
      </c>
    </row>
    <row r="675">
      <c r="A675" t="inlineStr">
        <is>
          <t>ga90js</t>
        </is>
      </c>
      <c r="B675" t="inlineStr">
        <is>
          <t>Stabbing pain in ribs</t>
        </is>
      </c>
      <c r="C675" t="inlineStr">
        <is>
          <t>Has anyone else had this pain along with chest pains?
I’m on day 19 from testing positive and 30whatever from feeling sick</t>
        </is>
      </c>
      <c r="D675" t="n">
        <v>1</v>
      </c>
      <c r="E675" t="n">
        <v>12</v>
      </c>
      <c r="F675">
        <f>HYPERLINK("https://www.reddit.com/r/COVID19positive/comments/ga90js/stabbing_pain_in_ribs/")</f>
        <v/>
      </c>
      <c r="G675" t="inlineStr">
        <is>
          <t>2020-04-29 06:01:27</t>
        </is>
      </c>
      <c r="H675" t="inlineStr">
        <is>
          <t>Tested Positive - Me</t>
        </is>
      </c>
    </row>
    <row r="676">
      <c r="A676" t="inlineStr">
        <is>
          <t>gaaoc0</t>
        </is>
      </c>
      <c r="B676" t="inlineStr">
        <is>
          <t>Big thank you to you all!</t>
        </is>
      </c>
      <c r="C676" t="inlineStr">
        <is>
          <t>I just want to thank everyone who has been contributing here! 
I am 33 years old and in my 5th week of what I'm pretty sure is Covid-19 (I have not been tested because testing in Ontario is only for essential workers at the moment). 
My symptoms have never been super serious in that I've only experienced a dry throat, dry eyes, a low-grade fever, loss of energy, and tightness in my chest. Right now, I'm just feeling the dry cough and the chest tightness most days.
I've gone through bouts of extreme frustration just because I'm depending on friends to get groceries for me and walk my dog. I'm very tired of being in my basement apartment. I'd like to see the sun.
But reading posts and comments here about recovery has helped me a lot! They've given me hope. People do recover even though it takes a long time. We can all do it! Patience is key. 
If you need some support, DM me. Thank you, everyone!</t>
        </is>
      </c>
      <c r="D676" t="n">
        <v>1</v>
      </c>
      <c r="E676" t="n">
        <v>11</v>
      </c>
      <c r="F676">
        <f>HYPERLINK("https://www.reddit.com/r/COVID19positive/comments/gaaoc0/big_thank_you_to_you_all/")</f>
        <v/>
      </c>
      <c r="G676" t="inlineStr">
        <is>
          <t>2020-04-29 07:39:45</t>
        </is>
      </c>
      <c r="H676" t="inlineStr">
        <is>
          <t>Presumed Positive - From Doctor</t>
        </is>
      </c>
    </row>
    <row r="677">
      <c r="A677" t="inlineStr">
        <is>
          <t>gaapyj</t>
        </is>
      </c>
      <c r="B677" t="inlineStr">
        <is>
          <t>Presumed positive with false negative(from doctor), then tested negative and doagnosed with bronchitis</t>
        </is>
      </c>
      <c r="C677" t="inlineStr">
        <is>
          <t>Hello, I (23, F) want to share my experience. So I started becoming symptomatic on March 30th. I woke up very tired and with a low fever. I called out of work and went back to bed. I slept most of the day and developed a cough and shortness of breath. I called my doctor the next day and was sent for testing. The nasal swab was not inserted very far and was on par with a flu swab experience. I was perscribed an antibiotic. The test came back negative, but the doctor (from the test center, not primary care) told me based on my symptoms her presumes I am positive and to quarantine as such. He then perscribed an inhaler.
During my second week I still felt very fatigued. There were two days where I thought I was on the mend with less shortness of breath and less of a cough. Then I started feeling much worse. I felt much more short of breath and tightness in my chest. I follow up with my doctor (primary care) and she dismissed most of my symptoms and said since I was negative and am not in respiratory distress I should being feeling okay and put me on prednisone and symbicort to help with any inflammation that may be in my lungs. 
I took the prednisone and felt no different. My fever increased (100.8) and I was feeling more fatigued. I continued to feel worse and called my doctor back at the start of the third week. She ordered for another covid test at the mobile test center. I went and got teated the next day. This time my nose felt assaulted and the swab felt like it was done correctly based on others experiences with the test. 
The next day my fever startd to increase and continued to increase for a few days. Waking up at 101.3 and going to bed at 102.6. On Saturday, I habe a really bad migraine and feel even weaker than I had been. I feel mlre short of breath than usualm I develop an ear ache and just want to sleep the entire day. My mom sees me and encourages me to go to the ER. I go over and they check me in. The doctor looks up my test results and they were negative. The take a chest X-ray and blood work and they are both fine. They diagnose me with bronchitis ans send me home. No fluids or anything to try and help me feel better whilr in the ER. They send me with a perscription for amoxicillin and teslam pearls (cough reducer). 
So far I have only felt mildly better and it is now 3 days on the antibiotics. My chest still feels tight and I am still running a fever. I still feel fatigued and weak. I have had bronchitis before and it has never felt like this. I
Has anybody else had a similiar experience? Anybody with bronchitis on this sub?</t>
        </is>
      </c>
      <c r="D677" t="n">
        <v>1</v>
      </c>
      <c r="E677" t="n">
        <v>6</v>
      </c>
      <c r="F677">
        <f>HYPERLINK("https://www.reddit.com/r/COVID19positive/comments/gaapyj/presumed_positive_with_false_negativefrom_doctor/")</f>
        <v/>
      </c>
      <c r="G677" t="inlineStr">
        <is>
          <t>2020-04-29 07:42:14</t>
        </is>
      </c>
      <c r="H677" t="inlineStr">
        <is>
          <t>Presumed Positive - From Doctor</t>
        </is>
      </c>
    </row>
    <row r="678">
      <c r="A678" t="inlineStr">
        <is>
          <t>gaavhj</t>
        </is>
      </c>
      <c r="B678" t="inlineStr">
        <is>
          <t>CHEST PAIN - Avoid sugars,dairy and processed foods</t>
        </is>
      </c>
      <c r="C678" t="inlineStr">
        <is>
          <t>All my chest pain lung breathing flares are hypoglycemia symptoms. 
Whole body: excess sweating, excessive hunger, fainting, fatigue, lightheadedness, or shakiness
Gastrointestinal: nausea or vomiting
Cognitive: mental confusion or unresponsiveness
Mouth: dryness or tingling lips
Also common: anxiety, blurred vision, headache, irritability, pallor, palpitations, sensation of pins and needles, sleepiness, slurred speech, tremor, or unsteadiness
Everytime i eat cheese,silk milk, high sugars like cookies i have an episode attack me and it starts it all over again. Avoid these at all cost. 
Things that help
Broccoli, cauliflower, carrots,corn,
Mashes potatoes
Rice
Beans
Bread( not alot)
I can't eat much now because i feel so fucking sick that i can't sleep without feeling this adrenaline dizziness pumping from my chest and lungs 24/7. Its unbelievable. 
All this shitty junk food is tempting but to experience this fatigue and heart racing pressure it's not worth it anymore.  I recommend anyone to take a 15-20 minute walk in the morning and at night to keep your body moving. Don't sleep all day, eat, and repeat or you will not improve your symptoms. That shits bad for our bodies.</t>
        </is>
      </c>
      <c r="D678" t="n">
        <v>1</v>
      </c>
      <c r="E678" t="n">
        <v>9</v>
      </c>
      <c r="F678">
        <f>HYPERLINK("https://www.reddit.com/r/COVID19positive/comments/gaavhj/chest_pain_avoid_sugarsdairy_and_processed_foods/")</f>
        <v/>
      </c>
      <c r="G678" t="inlineStr">
        <is>
          <t>2020-04-29 07:50:52</t>
        </is>
      </c>
      <c r="H678" t="inlineStr">
        <is>
          <t>Tested Positive</t>
        </is>
      </c>
    </row>
    <row r="679">
      <c r="A679" t="inlineStr">
        <is>
          <t>gaejrl</t>
        </is>
      </c>
      <c r="B679" t="inlineStr">
        <is>
          <t>Mental health check in: How has this affected your mental health? Is anyone else experiencing depression, panic attacks, etc?</t>
        </is>
      </c>
      <c r="C679" t="inlineStr">
        <is>
          <t>I want to know anyone’s experiences with anxiety and depression with this. They crept in with me around the week 2-3 mark. I’m now at week 6 and the depression has subsided. I’ve had extreme anxiety and multiple panic attacks. I’ve since started teletherapy which has been extremely helpful. 
Has one else experienced these symptoms? Mine was incredibly debilitating and has negatively affected my relationships.</t>
        </is>
      </c>
      <c r="D679" t="n">
        <v>1</v>
      </c>
      <c r="E679" t="n">
        <v>18</v>
      </c>
      <c r="F679">
        <f>HYPERLINK("https://www.reddit.com/r/COVID19positive/comments/gaejrl/mental_health_check_in_how_has_this_affected_your/")</f>
        <v/>
      </c>
      <c r="G679" t="inlineStr">
        <is>
          <t>2020-04-29 11:21:48</t>
        </is>
      </c>
      <c r="H679" t="inlineStr">
        <is>
          <t>Tested Positive - Me</t>
        </is>
      </c>
    </row>
    <row r="680">
      <c r="A680" t="inlineStr">
        <is>
          <t>gafsmi</t>
        </is>
      </c>
      <c r="B680" t="inlineStr">
        <is>
          <t>Has anyone had as long as two weeks before relapsing?</t>
        </is>
      </c>
      <c r="C680" t="inlineStr">
        <is>
          <t>30/m. No underlying heath conditions. Average weight/height and reasonabpy fit.
27/3 - the first symptom was total anosmia.
28-31 - several days of fatigue, fever, general pain and chest tightness.
After two weeks of general malaise, low grade fever, lots of GI issues/noise, I felt fine around the 14th and remained so for almost two weeks.
Just woke up today like I'd been hit by a truck. Drenched in sweat, tremors, chest pain, crazy fatigue. So gutted to be ill again.</t>
        </is>
      </c>
      <c r="D680" t="n">
        <v>1</v>
      </c>
      <c r="E680" t="n">
        <v>24</v>
      </c>
      <c r="F680">
        <f>HYPERLINK("https://www.reddit.com/r/COVID19positive/comments/gafsmi/has_anyone_had_as_long_as_two_weeks_before/")</f>
        <v/>
      </c>
      <c r="G680" t="inlineStr">
        <is>
          <t>2020-04-29 12:24:59</t>
        </is>
      </c>
      <c r="H680" t="inlineStr">
        <is>
          <t>Presumed Positive - From Doctor</t>
        </is>
      </c>
    </row>
    <row r="681">
      <c r="A681" t="inlineStr">
        <is>
          <t>gagsb6</t>
        </is>
      </c>
      <c r="B681" t="inlineStr">
        <is>
          <t>The Lung Pain during healing is one of the most frustrating things ever to me.</t>
        </is>
      </c>
      <c r="C681" t="inlineStr">
        <is>
          <t>I got sick on March 4th. 
This was before regular peeps stuck at home could be tested. I was the sickest I had ever been for three weeks. 
They assumed it was bronchitis  because in my small town doctors eyes it could never be the virus. 
I remained sick into april but not super sick, cough, low grade fever and fatigue.  
The lung pain after coughing or trying to human or eat was/is awful. 
Finally a week ago I got tested but it was negative. My doctor feels I still had the virus but now I am healing from the damage. ( my spouse also got just as sick and is healing as well) 
How is everything dealing with trying to live life but not push themselves?
I puttered around in the garden for 2 hours, nothing strenuous but last night the pain I felt in my lungs was crazy. I had to drug myself to sleep. 
I have two puffers. A steroid one and a regular one. 
It's just frustrating now because if I do nothing then I am fine but if I clean the house , exercise, anything that exerts myself it feels like its making it worse but I am so sick of being a couch potato lol 
This virus is crazy.</t>
        </is>
      </c>
      <c r="D681" t="n">
        <v>1</v>
      </c>
      <c r="E681" t="n">
        <v>40</v>
      </c>
      <c r="F681">
        <f>HYPERLINK("https://www.reddit.com/r/COVID19positive/comments/gagsb6/the_lung_pain_during_healing_is_one_of_the_most/")</f>
        <v/>
      </c>
      <c r="G681" t="inlineStr">
        <is>
          <t>2020-04-29 13:17:13</t>
        </is>
      </c>
      <c r="H681" t="inlineStr">
        <is>
          <t>Presumed Positive - From Doctor</t>
        </is>
      </c>
    </row>
    <row r="682">
      <c r="A682" t="inlineStr">
        <is>
          <t>gah499</t>
        </is>
      </c>
      <c r="B682" t="inlineStr">
        <is>
          <t>Post COVID Brain Fog - Is anything helping?</t>
        </is>
      </c>
      <c r="C682" t="inlineStr">
        <is>
          <t>Hello all.  I had a reasonably mild case of what my doc is presuming as COVID (i'm in NY and testing was limited when I went through the worst of it) and after my 3 week or so battle I've been mostly back to normal with the exception of some brain fog, head pressure (not so much a headache) and a light 'tingling' feeling in the tops of my forearms.  I've read about some folks being diagnosed with post viral syndrome/inflammation and am hearing some of the symptoms mirroring what I am going through.
I've been taking Advil which seems to help a little bit and drinking lots of water.  I am curious if anyone has found relief with any other medications, actions, etc that have helped with similar symptoms.
Thanks!</t>
        </is>
      </c>
      <c r="D682" t="n">
        <v>1</v>
      </c>
      <c r="E682" t="n">
        <v>15</v>
      </c>
      <c r="F682">
        <f>HYPERLINK("https://www.reddit.com/r/COVID19positive/comments/gah499/post_covid_brain_fog_is_anything_helping/")</f>
        <v/>
      </c>
      <c r="G682" t="inlineStr">
        <is>
          <t>2020-04-29 13:34:37</t>
        </is>
      </c>
      <c r="H682" t="inlineStr">
        <is>
          <t>Presumed Positive - From Doctor</t>
        </is>
      </c>
    </row>
    <row r="683">
      <c r="A683" t="inlineStr">
        <is>
          <t>gaic58</t>
        </is>
      </c>
      <c r="B683" t="inlineStr">
        <is>
          <t>My cousin just died of COVID19 and we can't even go to his funeral for obvious reasons</t>
        </is>
      </c>
      <c r="C683" t="inlineStr">
        <is>
          <t>Just wanted to share this and tell you all to be safe, because it can get worse. He was 30 and he was not overweight, and he was also under medical care. But he still died. It's not a hoax, guys. Be safe.</t>
        </is>
      </c>
      <c r="D683" t="n">
        <v>1</v>
      </c>
      <c r="E683" t="n">
        <v>155</v>
      </c>
      <c r="F683">
        <f>HYPERLINK("https://www.reddit.com/r/COVID19positive/comments/gaic58/my_cousin_just_died_of_covid19_and_we_cant_even/")</f>
        <v/>
      </c>
      <c r="G683" t="inlineStr">
        <is>
          <t>2020-04-29 14:37:38</t>
        </is>
      </c>
      <c r="H683" t="inlineStr">
        <is>
          <t>Tested Positive - Family</t>
        </is>
      </c>
    </row>
    <row r="684">
      <c r="A684" t="inlineStr">
        <is>
          <t>gajw8w</t>
        </is>
      </c>
      <c r="B684" t="inlineStr">
        <is>
          <t>Chronic mutation</t>
        </is>
      </c>
      <c r="C684" t="inlineStr">
        <is>
          <t>https://www.sciencetimes.com/amp/articles/25194/20200403/scientist-discover-chronic-mutation-coronavirus-patient-who-contagious-49-days.htm
I wonder if us long termers have this? 
Does it resolve on its own?</t>
        </is>
      </c>
      <c r="D684" t="n">
        <v>1</v>
      </c>
      <c r="E684" t="n">
        <v>2</v>
      </c>
      <c r="F684">
        <f>HYPERLINK("https://www.reddit.com/r/COVID19positive/comments/gajw8w/chronic_mutation/")</f>
        <v/>
      </c>
      <c r="G684" t="inlineStr">
        <is>
          <t>2020-04-29 16:02:35</t>
        </is>
      </c>
      <c r="H684" t="inlineStr">
        <is>
          <t>Presumed Positive - From Doctor</t>
        </is>
      </c>
    </row>
    <row r="685">
      <c r="A685" t="inlineStr">
        <is>
          <t>gajwg8</t>
        </is>
      </c>
      <c r="B685" t="inlineStr">
        <is>
          <t>Any ideas how long taste and smell can be gone for?</t>
        </is>
      </c>
      <c r="C685" t="inlineStr">
        <is>
          <t>I am an essential employee, working for the NYC Patks Department. On March 20th I lost my taste and smell, and my symptoms progressed from there, but I never had a fever. I had deep body aches, a horrible cough that would leave me gasping for breath, could not walk across my apartment without losing my breath, chills, and extreme fatigue. I went to the ER when my breathing got bad, but they didnt admit me because my blood oxygen levels were not low enough. Because I was not admitted, I couldnt get a test. 
I recovered at home and have since gone back to work. However, I have never regained my taste and smell back. What are people experiences with that coming back and how long did it take people to regain those senses?  It's really messing with my mind, making me think it will be this way for ever!</t>
        </is>
      </c>
      <c r="D685" t="n">
        <v>1</v>
      </c>
      <c r="E685" t="n">
        <v>28</v>
      </c>
      <c r="F685">
        <f>HYPERLINK("https://www.reddit.com/r/COVID19positive/comments/gajwg8/any_ideas_how_long_taste_and_smell_can_be_gone_for/")</f>
        <v/>
      </c>
      <c r="G685" t="inlineStr">
        <is>
          <t>2020-04-29 16:02:56</t>
        </is>
      </c>
      <c r="H685" t="inlineStr">
        <is>
          <t>Presumed Positive - From Doctor</t>
        </is>
      </c>
    </row>
    <row r="686">
      <c r="A686" t="inlineStr">
        <is>
          <t>galfwv</t>
        </is>
      </c>
      <c r="B686" t="inlineStr">
        <is>
          <t>Just found out the mother in law has tested positive for Covid19 and put me and my family at risk!</t>
        </is>
      </c>
      <c r="C686" t="inlineStr">
        <is>
          <t>Don’t even know what to say really iv been with  my girlfriend just under a year and everything was going really well and all this pandemic came along..
My problem is she lives with her mum and I’m worried she might have contracted it from her as she’s just tested positive with it and I know this might sound stupid but I feel as though she’s given me a STD or something I’m absolutely livid they did not follow the rules at all 
Iv followed the governments guidelines and I have been going to and from work to home and once a week to Asda but the pair of them have been off work for a month and been going to numerous shops trying to find the best deals in the same day visiting family and friends going to bbqs and all sorts and I have said to my misses i think it’s highly Irresponsible
Of her to be socialising with friends and family which she apologised for but her mum has flat out said if I die from it I die what can I do about it !? I can’t believe how selfish she is I don’t think she realises how many people she could have potentially put into danger 
My girlfriend gets tested on Friday I was going to wait until her results to come back and see what the results are and go from there but iv booked a test for my self on Friday and I’m going to do the right thing and get tested my self i actually can’t explain how I’m feeling right now so many mixed emotions I feel so mad and at the same time guilty for arguing with my misses really don’t know what to do I will feel so much more guilt if iv passed it on to people in my own house hold and to people at work 
I thank anyone that has took time out and read this it’s my first ever post it’s a shame it had to be such a negative one but I had to get it off my chest on wards and up wards ayee 
Keep safe everyone best of luck!</t>
        </is>
      </c>
      <c r="D686" t="n">
        <v>1</v>
      </c>
      <c r="E686" t="n">
        <v>6</v>
      </c>
      <c r="F686">
        <f>HYPERLINK("https://www.reddit.com/r/COVID19positive/comments/galfwv/just_found_out_the_mother_in_law_has_tested/")</f>
        <v/>
      </c>
      <c r="G686" t="inlineStr">
        <is>
          <t>2020-04-29 17:33:25</t>
        </is>
      </c>
      <c r="H686" t="inlineStr">
        <is>
          <t>Tested Positive</t>
        </is>
      </c>
    </row>
    <row r="687">
      <c r="A687" t="inlineStr">
        <is>
          <t>galqu1</t>
        </is>
      </c>
      <c r="B687" t="inlineStr">
        <is>
          <t>Retesting Negative and Reinfection</t>
        </is>
      </c>
      <c r="C687" t="inlineStr">
        <is>
          <t>Hi all, my mom and I have both testing positive for coronavirus. I got it first, only lost my sense of smell, the senses came back around Day 12 for me. Currently I’m on day 17 and I can say I feel recovered with no new symptoms. 
My mom, however, just tested positive yesterday. I would say she’s about day 6-7 in. Just some fatigue, no shortness of breath, and a mild cough. She had on and off days of symptoms, but her most present symptom is tiredness. She has lots of underlying health conditions such as diabetes, so I’m hoping it doesn’t make a turn for the worst. 
Now that she has tested positive, I’m the one who usually helps her out because I’ve already recovered. I gave her the virus sadly, and I’m not sure if every time I am checking her temp or close to her, I’m basically starting my virus cycle all over again or have any immunity. 
I need to be able to work (with patients) and do my internship which is around the geriatric population. I don’t want to hurt anybody and I’m constantly scared to be a danger to others, but I accept that I have to return to real life eventually in the next few months. Do you guys see a point of me *begging* to get a test again in the next few weeks? Has anyone felt their symptoms come back or gotten “reinfected?” When is the “okay” to return back to normal life? 
I just don’t want to be contagious to anyone, that’s my main concern. I’m sure if at this point I’d have to wait for my mom to completely heal, but at what point do you know you’re not contagious without a test? Asking because I’m not too certain they will let me get a second one.</t>
        </is>
      </c>
      <c r="D687" t="n">
        <v>1</v>
      </c>
      <c r="E687" t="n">
        <v>5</v>
      </c>
      <c r="F687">
        <f>HYPERLINK("https://www.reddit.com/r/COVID19positive/comments/galqu1/retesting_negative_and_reinfection/")</f>
        <v/>
      </c>
      <c r="G687" t="inlineStr">
        <is>
          <t>2020-04-29 17:52:06</t>
        </is>
      </c>
      <c r="H687" t="inlineStr">
        <is>
          <t>Tested Positive - Family</t>
        </is>
      </c>
    </row>
    <row r="688">
      <c r="A688" t="inlineStr">
        <is>
          <t>gammo3</t>
        </is>
      </c>
      <c r="B688" t="inlineStr">
        <is>
          <t>A story of recovery: 26M, 5 weeks of symptoms, 1 week free</t>
        </is>
      </c>
      <c r="C688" t="inlineStr">
        <is>
          <t>This is a story of recovery, after a long and bumpy road. I promised myself I would post when i'd recovered while lurking here when times were bad. 
26 healthy male, not at all overweight, quite sedentary, quit a smoking habit 6 months ago. Presumed positive, but not tested because tests were tight and I'm still a young lad. I have no history of (health) anxiety whatsoever, or any chronic illnesses.  
\---
18 March: mild muscle pains
19-24 March: muscle pain became more severe, often in different locations but mostly around the lower back and upper leg area. Slight fatigue and difficulty concentrating.
25 March: sudden onset of mild respiratory distress, which gradually grew more severe over the course of 6-ish hours to the point where it became difficult for me to speak. Called a doc, visited the ER. Presumed positive diagnosis. I felt completely drained and could barely move. 
26-31 March: The first days after visiting the ER were horrible. I slept 15 hours most days, and was barely awake for the others. No fever, no cough, but a myriad of GI symptoms. Complete lack of hunger. Difficulty breathing gradually started to subside after 28 April.  
1-8 April: Felt mostly recovered, but I still did not feel 100%. Breathing at least was no longer scary. I was still more fatigued and slept 11 hours a day most days. I had intermittent GI symptoms. 
8-14 April: No symptoms, but exercise (mild, e.g. sex) did result in breathlesness which persisted for an hour or so. 
15-18 April: Muscle pains return, exhaustion and GI symptoms, by the 18th I felt much better. 
19-23 April: All symptoms apart from breathing issues returned suddenly, including throat pain as a new symptom. By the 23rd I was basically recovered, but still had some lingering throat pain. 
24 April - 30 April (time of writing), symptom free. Even the fatigue has been completely absent, and i've been able to work, concentrate, and take 3-4km walks without remission or breathlesness.   
\---
My girlfriend who is also a healthy 26yo, with absolutely no history of smoking, is fighting another wave off now, and became symptomatic at the same time as me. She had a slightly more mild case, in the sense that her breathlesness never got as bad as mine. A week may be too early to say that I won't be facing another wave, but I consistantly have normal levels of energy, a healthy appetite, and can concentrate on my work. 
For a long while I was scared, lengthy illness is severely distressing emotionally, and at times I felt desperate. Nothing feels worse than waking up to another day of misery, or waking up fine but being faced with the disappointment of another miserable evening. Our lack of knowledge about this new disease obviously don't help. However things do get better, how quickly they do appears to vary wildly, but they do.
Hang in there peeps, I wish you all a speedy recovery!</t>
        </is>
      </c>
      <c r="D688" t="n">
        <v>1</v>
      </c>
      <c r="E688" t="n">
        <v>20</v>
      </c>
      <c r="F688">
        <f>HYPERLINK("https://www.reddit.com/r/COVID19positive/comments/gammo3/a_story_of_recovery_26m_5_weeks_of_symptoms_1/")</f>
        <v/>
      </c>
      <c r="G688" t="inlineStr">
        <is>
          <t>2020-04-29 18:49:28</t>
        </is>
      </c>
      <c r="H688" t="inlineStr">
        <is>
          <t>Presumed Positive - From Doctor</t>
        </is>
      </c>
    </row>
    <row r="689">
      <c r="A689" t="inlineStr">
        <is>
          <t>ganwfz</t>
        </is>
      </c>
      <c r="B689" t="inlineStr">
        <is>
          <t>How long until I can Juul again?</t>
        </is>
      </c>
      <c r="C689" t="inlineStr">
        <is>
          <t>I quit my Juul when I started having symptoms 2 months ago, but I think it’s honestly not that bad for you. Mainly wanna hear from those who Juul or smoke, who quit and resumed. Not from those who’ve never done any research about vaping and just say it’s bad.</t>
        </is>
      </c>
      <c r="D689" t="n">
        <v>1</v>
      </c>
      <c r="E689" t="n">
        <v>4</v>
      </c>
      <c r="F689">
        <f>HYPERLINK("https://www.reddit.com/r/COVID19positive/comments/ganwfz/how_long_until_i_can_juul_again/")</f>
        <v/>
      </c>
      <c r="G689" t="inlineStr">
        <is>
          <t>2020-04-29 20:14:55</t>
        </is>
      </c>
      <c r="H689" t="inlineStr">
        <is>
          <t>Presumed Positive - From Doctor</t>
        </is>
      </c>
    </row>
    <row r="690">
      <c r="A690" t="inlineStr">
        <is>
          <t>gao1ed</t>
        </is>
      </c>
      <c r="B690" t="inlineStr">
        <is>
          <t>Safe to go back to work?</t>
        </is>
      </c>
      <c r="C690" t="inlineStr">
        <is>
          <t>Background: I'm a frontline worker in close contact with a very vulnerable population. My symptoms began on April 18th (extremely mild - tickle in my throat, sore throat). I was tested on April 21st and confirmed positive on April 26th. 
My local public health department is telling me it's safe to go back to work on May 2nd. Until two days ago, my symptoms have been SO mild but they are really starting to ramp up now, specifically the difficulty breathing and fatigue. 
I understand that there is a difference between the "contagious" period and the "symptomatic" period, but how could it possibly be safe for me to re-enter society less than a week from now? I'm really not comfortable going back to work so soon, and it doesn't seem safe given that I can't see my symptoms resolving that quickly.
If anyone has information that I don't have about how long this thing is contagious for, or experiences going back to work after being diagnosed, I'd love to hear!</t>
        </is>
      </c>
      <c r="D690" t="n">
        <v>1</v>
      </c>
      <c r="E690" t="n">
        <v>5</v>
      </c>
      <c r="F690">
        <f>HYPERLINK("https://www.reddit.com/r/COVID19positive/comments/gao1ed/safe_to_go_back_to_work/")</f>
        <v/>
      </c>
      <c r="G690" t="inlineStr">
        <is>
          <t>2020-04-29 20:24:13</t>
        </is>
      </c>
      <c r="H690" t="inlineStr">
        <is>
          <t>Tested Positive - Me</t>
        </is>
      </c>
    </row>
    <row r="691">
      <c r="A691" t="inlineStr">
        <is>
          <t>gaoabd</t>
        </is>
      </c>
      <c r="B691" t="inlineStr">
        <is>
          <t>CURE TO CORONAVIRUS</t>
        </is>
      </c>
      <c r="C691" t="inlineStr">
        <is>
          <t>I figured out the cure to coronavirus, all you have to do is give me the wonky numbers on the front and back of your moms credit card.</t>
        </is>
      </c>
      <c r="D691" t="n">
        <v>1</v>
      </c>
      <c r="E691" t="n">
        <v>3</v>
      </c>
      <c r="F691">
        <f>HYPERLINK("https://www.reddit.com/r/COVID19positive/comments/gaoabd/cure_to_coronavirus/")</f>
        <v/>
      </c>
      <c r="G691" t="inlineStr">
        <is>
          <t>2020-04-29 20:40:48</t>
        </is>
      </c>
      <c r="H691" t="inlineStr">
        <is>
          <t>Tested Positive</t>
        </is>
      </c>
    </row>
    <row r="692">
      <c r="A692" t="inlineStr">
        <is>
          <t>gaph70</t>
        </is>
      </c>
      <c r="B692" t="inlineStr">
        <is>
          <t>Mom was tested a second time for COVID19 to see if she was still positive and...</t>
        </is>
      </c>
      <c r="C692" t="inlineStr">
        <is>
          <t>Her test is NEGATIVE!!! I am so incredibly happy, because she beat it! She fought so hard and is my hero. She will wait a few days to get an antibody test and if she tests positive for that, she will go donate plasma. I am so happy and wanted to share the end of our journey. I had the antibody test today and hopefully I will be able to donate plasma as well. Thank you for your well wishes, prayers, and thoughts!!</t>
        </is>
      </c>
      <c r="D692" t="n">
        <v>1</v>
      </c>
      <c r="E692" t="n">
        <v>9</v>
      </c>
      <c r="F692">
        <f>HYPERLINK("https://www.reddit.com/r/COVID19positive/comments/gaph70/mom_was_tested_a_second_time_for_covid19_to_see/")</f>
        <v/>
      </c>
      <c r="G692" t="inlineStr">
        <is>
          <t>2020-04-29 22:08:56</t>
        </is>
      </c>
      <c r="H692" t="inlineStr">
        <is>
          <t>Tested Positive - Family</t>
        </is>
      </c>
    </row>
    <row r="693">
      <c r="A693" t="inlineStr">
        <is>
          <t>gaw2v6</t>
        </is>
      </c>
      <c r="B693" t="inlineStr">
        <is>
          <t>Should I be working or taking time to rest? (WFH)</t>
        </is>
      </c>
      <c r="C693" t="inlineStr">
        <is>
          <t>My mother was tested on Monday, with test results coming yesterday morning. We have not been  isolating as it is difficult to do in this household from one another. 
My symptoms have been very mild for me, with a sore throat, occasional dry cough, and periods of feeling warm. 
I still feel well enough to work, as I work from home (I do medical coding for air ambulances), but am wondering if I should be resting up instead. 
I spoke to my manager and she said I can take paid administrative leave if I had any symptoms. 
Thanks in advance!</t>
        </is>
      </c>
      <c r="D693" t="n">
        <v>1</v>
      </c>
      <c r="E693" t="n">
        <v>7</v>
      </c>
      <c r="F693">
        <f>HYPERLINK("https://www.reddit.com/r/COVID19positive/comments/gaw2v6/should_i_be_working_or_taking_time_to_rest_wfh/")</f>
        <v/>
      </c>
      <c r="G693" t="inlineStr">
        <is>
          <t>2020-04-30 06:53:42</t>
        </is>
      </c>
      <c r="H693" t="inlineStr">
        <is>
          <t>Tested Positive - Family</t>
        </is>
      </c>
    </row>
    <row r="694">
      <c r="A694" t="inlineStr">
        <is>
          <t>gaw4y5</t>
        </is>
      </c>
      <c r="B694" t="inlineStr">
        <is>
          <t>Was sick in February, now my rash is flairing up again.</t>
        </is>
      </c>
      <c r="C694" t="inlineStr">
        <is>
          <t>So I had a terrible illness in February, presumably covid with all of the symptoms which ended in a rash across my torso, arms and neck. The symptoms finally went away in late March but today I woke up to a sore throat and my rash has itchy bumps on it again. Has anyone else experienced this?</t>
        </is>
      </c>
      <c r="D694" t="n">
        <v>1</v>
      </c>
      <c r="E694" t="n">
        <v>14</v>
      </c>
      <c r="F694">
        <f>HYPERLINK("https://www.reddit.com/r/COVID19positive/comments/gaw4y5/was_sick_in_february_now_my_rash_is_flairing_up/")</f>
        <v/>
      </c>
      <c r="G694" t="inlineStr">
        <is>
          <t>2020-04-30 06:57:16</t>
        </is>
      </c>
      <c r="H694" t="inlineStr">
        <is>
          <t>Presumed Positive - From Doctor</t>
        </is>
      </c>
    </row>
    <row r="695">
      <c r="A695" t="inlineStr">
        <is>
          <t>gawjh5</t>
        </is>
      </c>
      <c r="B695" t="inlineStr">
        <is>
          <t>My COVID Journey</t>
        </is>
      </c>
      <c r="C695" t="inlineStr">
        <is>
          <t>First time poster, thought it would be informative to describe my COVID journey. (verified positive)
Prior to getting sick, my wife felt symptoms 10 days prior and tested positive. She then quarantined herself so I assume the incubation period for me was 10 days (though it is technically possible I caught it after she quarantined).
April 1: first day of symptoms as I felt a sudden onset of chills and that "malaise" feeling
April 2: had a fever at night of around 100 but Tylenol took care of it.  
April 3: actually started to feel better with mild symptoms
April 4: weird throat sensation (as if there was hair in my mouth) and lost sense of taste/smell
April 7-10: suddenly felt ill again, definitely worse than the onset.  Fever, chills, fatigue, GI issues, body aches but no cough and very mild respiratory issues.
April 11-17: started to feel a bit better but still with the sick feeling.  I did feel I was able to work though not 100%.
April 18-24: started noticeably better but still quite fatigued and a few "bad" days/waves mixed in. Started getting sense of taste/smell back.
April 25-27: felt noticeably worse again, body aches, fatigue but not as sick as prior. At this point I was quite frustrated that I was unable to shake this thing as it was almost 4 weeks.
April 28-30 (today): noticeably improved and only symptom is the weird feeling in my throat.  Much less fatigue too.  Hopefully I am on the mend but the waves can come out of nowhere!
All in all, though I am considered to have a "mild" case, it has not been a pleasant 4 weeks! I do feel quite fortunate though as I never developed much of a cough and had very mild respiratory issues.</t>
        </is>
      </c>
      <c r="D695" t="n">
        <v>1</v>
      </c>
      <c r="E695" t="n">
        <v>111</v>
      </c>
      <c r="F695">
        <f>HYPERLINK("https://www.reddit.com/r/COVID19positive/comments/gawjh5/my_covid_journey/")</f>
        <v/>
      </c>
      <c r="G695" t="inlineStr">
        <is>
          <t>2020-04-30 07:20:58</t>
        </is>
      </c>
      <c r="H695" t="inlineStr">
        <is>
          <t>Tested Positive - Me</t>
        </is>
      </c>
    </row>
    <row r="696">
      <c r="A696" t="inlineStr">
        <is>
          <t>gazk0j</t>
        </is>
      </c>
      <c r="B696" t="inlineStr">
        <is>
          <t>My wife is slowly feeling better. Doctor just prescribed her methylprednisolone.</t>
        </is>
      </c>
      <c r="C696" t="inlineStr">
        <is>
          <t>Wife 23 has had up and downs with now a steady improvement from her symptoms. Her body aches have almost disappeared she still gets bad headaches and sore throat that comes and goes. Her shortness of breath has gotten better with her not needing her inhaler at nights. Our doctor just prescribed her methylprednisolone we are a little nervous on her taking it because Monday she tried taking Montelukast and she felt her throat closing up. 
Anyone else taking Methylprednisolone?</t>
        </is>
      </c>
      <c r="D696" t="n">
        <v>1</v>
      </c>
      <c r="E696" t="n">
        <v>4</v>
      </c>
      <c r="F696">
        <f>HYPERLINK("https://www.reddit.com/r/COVID19positive/comments/gazk0j/my_wife_is_slowly_feeling_better_doctor_just/")</f>
        <v/>
      </c>
      <c r="G696" t="inlineStr">
        <is>
          <t>2020-04-30 09:59:31</t>
        </is>
      </c>
      <c r="H696" t="inlineStr">
        <is>
          <t>Presumed Positive - From Doctor</t>
        </is>
      </c>
    </row>
    <row r="697">
      <c r="A697" t="inlineStr">
        <is>
          <t>gazkwc</t>
        </is>
      </c>
      <c r="B697" t="inlineStr">
        <is>
          <t>Very Red Nose &amp;amp; Cheekbones</t>
        </is>
      </c>
      <c r="C697" t="inlineStr">
        <is>
          <t>QQ. F,52. I recovered from a moderate case after 7 weeks. Besides some lingering chest and lung issues, I have only one other noticeable issue. My nose and cheekbones get dark red. It comes on quickly and leaves just as fast. It is VERY noticeable even on a zoom or a FaceTime call. I can feel my face flaring. Not itchy and leaves red little marks until it subsided. Anyone else having this issue? 
Very different than hives and I have no history of rosacea.   Curious if other folks have had it and whether it subsided.</t>
        </is>
      </c>
      <c r="D697" t="n">
        <v>1</v>
      </c>
      <c r="E697" t="n">
        <v>15</v>
      </c>
      <c r="F697">
        <f>HYPERLINK("https://www.reddit.com/r/COVID19positive/comments/gazkwc/very_red_nose_cheekbones/")</f>
        <v/>
      </c>
      <c r="G697" t="inlineStr">
        <is>
          <t>2020-04-30 10:00:47</t>
        </is>
      </c>
      <c r="H697" t="inlineStr">
        <is>
          <t>Tested Positive - Me</t>
        </is>
      </c>
    </row>
    <row r="698">
      <c r="A698" t="inlineStr">
        <is>
          <t>gb1xyu</t>
        </is>
      </c>
      <c r="B698" t="inlineStr">
        <is>
          <t>24 F -DAY 16</t>
        </is>
      </c>
      <c r="C698" t="inlineStr">
        <is>
          <t>So I was working at a nursing home up until April 7. I got tested on the April 14 but had been feeling symptoms starting April 10th. On the 10th I had a stuffy nose &amp;amp; couldn’t stop sneezing. Since then I have lost my sense of taste &amp;amp; smell. Around the 20th -23 i was sure that my senses were coming back but now I’m not so sure. I can barely smell anything nor taste. Like if something’s spicy my tongue will be hot but that’s it really. I’ve gotten retested on April 29th so now I’m waiting for my results. This past day id say I’ve been on an a decline &amp;amp; im not sure if It’s my anxiety or if it’s covid. I’ve been really hot but not necessarily a fever and my breathing has been a bit shallow.</t>
        </is>
      </c>
      <c r="D698" t="n">
        <v>1</v>
      </c>
      <c r="E698" t="n">
        <v>5</v>
      </c>
      <c r="F698">
        <f>HYPERLINK("https://www.reddit.com/r/COVID19positive/comments/gb1xyu/24_f_day_16/")</f>
        <v/>
      </c>
      <c r="G698" t="inlineStr">
        <is>
          <t>2020-04-30 12:02:57</t>
        </is>
      </c>
      <c r="H698" t="inlineStr">
        <is>
          <t>Tested Positive - Me</t>
        </is>
      </c>
    </row>
    <row r="699">
      <c r="A699" t="inlineStr">
        <is>
          <t>gb3gvm</t>
        </is>
      </c>
      <c r="B699" t="inlineStr">
        <is>
          <t>Should I be taking any medications after recovery until testing negative?</t>
        </is>
      </c>
      <c r="C699" t="inlineStr">
        <is>
          <t>I tested positive about 2 weeks ago but the symptoms came before then. I only lost my senses which were recovered around day 12-14. I only really took Tylenol the first few days, where I felt fatigue but knew I had it. I didn’t have a cough or many symptoms to treat because I had to wait for my senses to return.
So I’m around day 18 officially now, and felt normal since Day 14. I’m trying to get re tested because I work in healthcare but there’s no guarantee I can secure a second test. My mom is also positive and is in only about a week into her symptoms, we all still isolate in our rooms.
Would taking zinc and other supplements or Tylenol help me at this point? I know I don’t feel sick but can possibly still have the virus in me. I just don’t know what to treat but I just wanna do my best to test “negative” to not be contagious in a few weeks. I plan on staying in an extra 2 weeks after today.</t>
        </is>
      </c>
      <c r="D699" t="n">
        <v>1</v>
      </c>
      <c r="E699" t="n">
        <v>8</v>
      </c>
      <c r="F699">
        <f>HYPERLINK("https://www.reddit.com/r/COVID19positive/comments/gb3gvm/should_i_be_taking_any_medications_after_recovery/")</f>
        <v/>
      </c>
      <c r="G699" t="inlineStr">
        <is>
          <t>2020-04-30 13:22:58</t>
        </is>
      </c>
      <c r="H699" t="inlineStr">
        <is>
          <t>Tested Positive - Family</t>
        </is>
      </c>
    </row>
    <row r="700">
      <c r="A700" t="inlineStr">
        <is>
          <t>gb3u7v</t>
        </is>
      </c>
      <c r="B700" t="inlineStr">
        <is>
          <t>I neeeeed good sleep</t>
        </is>
      </c>
      <c r="C700" t="inlineStr">
        <is>
          <t>Day 11 cannot sleep for the past few days.  Heart says no every time I doze off.  Like Heart palpitations. It’s like it jumps or skips , which just keeps me up. 
High amount of sweats here and there. When I do get some sleep, it’s like a light sleep, for a few hours. (Anyone else?) 
Any strategies, methods, things to take ?  It’s midday and I’m just tired</t>
        </is>
      </c>
      <c r="D700" t="n">
        <v>1</v>
      </c>
      <c r="E700" t="n">
        <v>25</v>
      </c>
      <c r="F700">
        <f>HYPERLINK("https://www.reddit.com/r/COVID19positive/comments/gb3u7v/i_neeeeed_good_sleep/")</f>
        <v/>
      </c>
      <c r="G700" t="inlineStr">
        <is>
          <t>2020-04-30 13:42:46</t>
        </is>
      </c>
      <c r="H700" t="inlineStr">
        <is>
          <t>Presumed Positive - From Doctor</t>
        </is>
      </c>
    </row>
    <row r="701">
      <c r="A701" t="inlineStr">
        <is>
          <t>gb4dta</t>
        </is>
      </c>
      <c r="B701" t="inlineStr">
        <is>
          <t>I am nervous all the time.</t>
        </is>
      </c>
      <c r="C701" t="inlineStr">
        <is>
          <t>I've been with COVID for about 3 weeks so far. Once my 14 days were done, I went to go outside to get things for my family because they were all infected with the virus and I was the healthiest person to do this. After doing this for 3 days, I started to feel some symptoms linger. The symptoms were small headaches and body aches. Then for the past 3 days, i have been feeling a weirdness surrounding my chest and I have been getting worried and worried every day since then. i have a bit of pain like from 1-10 it would be a 1. I just want to know if people are feeling the same way I am. I feel like it could be my anxiety making me feel worse or corona. I just do not know the difference.</t>
        </is>
      </c>
      <c r="D701" t="n">
        <v>1</v>
      </c>
      <c r="E701" t="n">
        <v>5</v>
      </c>
      <c r="F701">
        <f>HYPERLINK("https://www.reddit.com/r/COVID19positive/comments/gb4dta/i_am_nervous_all_the_time/")</f>
        <v/>
      </c>
      <c r="G701" t="inlineStr">
        <is>
          <t>2020-04-30 14:11:25</t>
        </is>
      </c>
      <c r="H701" t="inlineStr">
        <is>
          <t>Tested Positive - Me</t>
        </is>
      </c>
    </row>
    <row r="702">
      <c r="A702" t="inlineStr">
        <is>
          <t>gb4kbe</t>
        </is>
      </c>
      <c r="B702" t="inlineStr">
        <is>
          <t>14 Year old boy from Massachusetts</t>
        </is>
      </c>
      <c r="C702" t="inlineStr">
        <is>
          <t>My dad and me just got tested positive for COVID-19. He is 44 and wakes up in a sweat with a fever. No cough that I know of. I get the chills and I have a light fever. Will we be ok? Any information about treatment and such to let us know?</t>
        </is>
      </c>
      <c r="D702" t="n">
        <v>1</v>
      </c>
      <c r="E702" t="n">
        <v>30</v>
      </c>
      <c r="F702">
        <f>HYPERLINK("https://www.reddit.com/r/COVID19positive/comments/gb4kbe/14_year_old_boy_from_massachusetts/")</f>
        <v/>
      </c>
      <c r="G702" t="inlineStr">
        <is>
          <t>2020-04-30 14:20:59</t>
        </is>
      </c>
      <c r="H702" t="inlineStr">
        <is>
          <t>Tested Positive - Me</t>
        </is>
      </c>
    </row>
    <row r="703">
      <c r="A703" t="inlineStr">
        <is>
          <t>gb63mr</t>
        </is>
      </c>
      <c r="B703" t="inlineStr">
        <is>
          <t>Trouble breathing</t>
        </is>
      </c>
      <c r="C703" t="inlineStr">
        <is>
          <t>Hello,
I have an odd scenario, I have some days where I have a really hard time breathing and other days where I’m fine, I have body aches and diarrhea. My dr refuses to see me cause I don’t have enough of the symptoms and no high fever. I requested chest X-rays but they won’t do it cause there are days where I can breathe normally with no issues. This has been going on for 3 wks. Breathing is hard at nights especially sometimes. Any advice please thank you.</t>
        </is>
      </c>
      <c r="D703" t="n">
        <v>1</v>
      </c>
      <c r="E703" t="n">
        <v>4</v>
      </c>
      <c r="F703">
        <f>HYPERLINK("https://www.reddit.com/r/COVID19positive/comments/gb63mr/trouble_breathing/")</f>
        <v/>
      </c>
      <c r="G703" t="inlineStr">
        <is>
          <t>2020-04-30 15:43:24</t>
        </is>
      </c>
      <c r="H703" t="inlineStr">
        <is>
          <t>Presumed Positive - From Doctor</t>
        </is>
      </c>
    </row>
    <row r="704">
      <c r="A704" t="inlineStr">
        <is>
          <t>gb7k7c</t>
        </is>
      </c>
      <c r="B704" t="inlineStr">
        <is>
          <t>Tingling in legs and feet - Feeling as if cold blood was flowing through my veins in legs and feet.</t>
        </is>
      </c>
      <c r="C704" t="inlineStr">
        <is>
          <t>Has anyone experienced this?  Was it temporary or did it take a long time to go away?  How do I know if it’s not a clot or deep vein thrombosis?</t>
        </is>
      </c>
      <c r="D704" t="n">
        <v>1</v>
      </c>
      <c r="E704" t="n">
        <v>10</v>
      </c>
      <c r="F704">
        <f>HYPERLINK("https://www.reddit.com/r/COVID19positive/comments/gb7k7c/tingling_in_legs_and_feet_feeling_as_if_cold/")</f>
        <v/>
      </c>
      <c r="G704" t="inlineStr">
        <is>
          <t>2020-04-30 17:05:06</t>
        </is>
      </c>
      <c r="H704" t="inlineStr">
        <is>
          <t>Tested Positive - Me</t>
        </is>
      </c>
    </row>
    <row r="705">
      <c r="A705" t="inlineStr">
        <is>
          <t>gb7po5</t>
        </is>
      </c>
      <c r="B705" t="inlineStr">
        <is>
          <t>29 days later - still testing positive</t>
        </is>
      </c>
      <c r="C705" t="inlineStr">
        <is>
          <t>I got a call today (31 days since the onset of my symptoms) saying that the test I took two days ago (29 days since the onset of symptoms) came back positive. This is very frustrating. Whats the longest you’ve heard someone has gone since the onset of their symptoms and still tested positive?</t>
        </is>
      </c>
      <c r="D705" t="n">
        <v>1</v>
      </c>
      <c r="E705" t="n">
        <v>18</v>
      </c>
      <c r="F705">
        <f>HYPERLINK("https://www.reddit.com/r/COVID19positive/comments/gb7po5/29_days_later_still_testing_positive/")</f>
        <v/>
      </c>
      <c r="G705" t="inlineStr">
        <is>
          <t>2020-04-30 17:13:57</t>
        </is>
      </c>
      <c r="H705" t="inlineStr">
        <is>
          <t>Tested Positive - Me</t>
        </is>
      </c>
    </row>
    <row r="706">
      <c r="A706" t="inlineStr">
        <is>
          <t>gb7xkd</t>
        </is>
      </c>
      <c r="B706" t="inlineStr">
        <is>
          <t>Positive story for everyone! This is not a first hand account so I apologise for that. Friends family friend in his 60s tested positive, was not expected to make it through the night, and is now being given the all clear and being released home. Antibody blood transfusion did the trick.</t>
        </is>
      </c>
      <c r="C706" t="inlineStr">
        <is>
          <t>I don't know how long he was sick for but but at one point the docs didn't expect him to make it through the night. They did a blood transfusion from someone who's already recovered and now he's been given the all clear and is being released. My friend said it was about 30 hrs between he's not gonna make it to he's recovered and going home.</t>
        </is>
      </c>
      <c r="D706" t="n">
        <v>1</v>
      </c>
      <c r="E706" t="n">
        <v>34</v>
      </c>
      <c r="F706">
        <f>HYPERLINK("https://www.reddit.com/r/COVID19positive/comments/gb7xkd/positive_story_for_everyone_this_is_not_a_first/")</f>
        <v/>
      </c>
      <c r="G706" t="inlineStr">
        <is>
          <t>2020-04-30 17:26:39</t>
        </is>
      </c>
      <c r="H706" t="inlineStr">
        <is>
          <t>Tested Positive - Friends</t>
        </is>
      </c>
    </row>
    <row r="707">
      <c r="A707" t="inlineStr">
        <is>
          <t>gb7xmt</t>
        </is>
      </c>
      <c r="B707" t="inlineStr">
        <is>
          <t>Who else had the sharp eye pain?</t>
        </is>
      </c>
      <c r="C707" t="inlineStr">
        <is>
          <t>One of the least talked about symptoms that I don’t see brought up much was the sharp pain in the back of my right eye. I fet it in both eyes but especially the right. It felt like there was a knife in the back of my eye whenever I moved it and lasted a full week. The only person i heard speak about it also was Chris Cuomo and for me it was one of the worst parts of the experience.</t>
        </is>
      </c>
      <c r="D707" t="n">
        <v>1</v>
      </c>
      <c r="E707" t="n">
        <v>26</v>
      </c>
      <c r="F707">
        <f>HYPERLINK("https://www.reddit.com/r/COVID19positive/comments/gb7xmt/who_else_had_the_sharp_eye_pain/")</f>
        <v/>
      </c>
      <c r="G707" t="inlineStr">
        <is>
          <t>2020-04-30 17:26:45</t>
        </is>
      </c>
      <c r="H707" t="inlineStr">
        <is>
          <t>Tested Positive - Me</t>
        </is>
      </c>
    </row>
    <row r="708">
      <c r="A708" t="inlineStr">
        <is>
          <t>gb8fr9</t>
        </is>
      </c>
      <c r="B708" t="inlineStr">
        <is>
          <t>20yr old in VA</t>
        </is>
      </c>
      <c r="C708" t="inlineStr">
        <is>
          <t>I got my test results back today and unfortunately it came back positive. Been feeling symptoms since April 27th called off of work the next day and got the test on the 29th. Work since then has been shut down and closed for deep cleaning. Reopening May 10th. All my coworkers have been quarantined till then. One of them got tested today and my manager as well tested positive. I hope to get better soon. I feel better today then I did yesterday. I hope I caught it early and that I get better soon. What worries me is my dog and my mother and sister. Been keeping away from them since Tuesday as symptoms got worse. But as for now I'm feeling better. Low-key nervous but I hope to be 100% soon.</t>
        </is>
      </c>
      <c r="D708" t="n">
        <v>1</v>
      </c>
      <c r="E708" t="n">
        <v>6</v>
      </c>
      <c r="F708">
        <f>HYPERLINK("https://www.reddit.com/r/COVID19positive/comments/gb8fr9/20yr_old_in_va/")</f>
        <v/>
      </c>
      <c r="G708" t="inlineStr">
        <is>
          <t>2020-04-30 17:57:33</t>
        </is>
      </c>
      <c r="H708" t="inlineStr">
        <is>
          <t>Tested Positive - Me</t>
        </is>
      </c>
    </row>
    <row r="709">
      <c r="A709" t="inlineStr">
        <is>
          <t>gb8npm</t>
        </is>
      </c>
      <c r="B709" t="inlineStr">
        <is>
          <t>Just found out I have it</t>
        </is>
      </c>
      <c r="C709" t="inlineStr">
        <is>
          <t>I am a 20 year old man and I tested positive for covid19. I’m scared to death of this I haven’t started having symptoms yet. I’m am also overweight I just want some positivity to keep my head up.</t>
        </is>
      </c>
      <c r="D709" t="n">
        <v>1</v>
      </c>
      <c r="E709" t="n">
        <v>41</v>
      </c>
      <c r="F709">
        <f>HYPERLINK("https://www.reddit.com/r/COVID19positive/comments/gb8npm/just_found_out_i_have_it/")</f>
        <v/>
      </c>
      <c r="G709" t="inlineStr">
        <is>
          <t>2020-04-30 18:11:56</t>
        </is>
      </c>
      <c r="H709" t="inlineStr">
        <is>
          <t>Tested Positive - Me</t>
        </is>
      </c>
    </row>
    <row r="710">
      <c r="A710" t="inlineStr">
        <is>
          <t>gb8wbk</t>
        </is>
      </c>
      <c r="B710" t="inlineStr">
        <is>
          <t>92 year-old Grandma with Severe Asthma</t>
        </is>
      </c>
      <c r="C710" t="inlineStr">
        <is>
          <t>Hi All, 
Just wanted to provide a brief report and maybe a little bit of hope. My 92 year old grandmother in NY (severe asthma, heart attack last year) tested positive two weeks ago after experiencing a runny nose, fatigue, and a night of coughing. Her symptoms lasted three days. She is in an assisted care facility so they separated her and monitored here for the next 14. She tested negative today and is being moved back to her regular room. 
No matter who you are and what you're going through, you can beat this. My parents didn't tell her she tested positive, which I thought was immoral at first as she couldn't understand why she was being moved and separated and yelled at to drink water. Now, however, I wonder how much worse knowing might have been for her, what with worrying and all. Just a thought. 
Stay strong everyone!</t>
        </is>
      </c>
      <c r="D710" t="n">
        <v>1</v>
      </c>
      <c r="E710" t="n">
        <v>9</v>
      </c>
      <c r="F710">
        <f>HYPERLINK("https://www.reddit.com/r/COVID19positive/comments/gb8wbk/92_yearold_grandma_with_severe_asthma/")</f>
        <v/>
      </c>
      <c r="G710" t="inlineStr">
        <is>
          <t>2020-04-30 18:27:35</t>
        </is>
      </c>
      <c r="H710" t="inlineStr">
        <is>
          <t>Tested Positive - Family</t>
        </is>
      </c>
    </row>
    <row r="711">
      <c r="A711" t="inlineStr">
        <is>
          <t>gb8z9o</t>
        </is>
      </c>
      <c r="B711" t="inlineStr">
        <is>
          <t>Smell and taste return timeline</t>
        </is>
      </c>
      <c r="C711" t="inlineStr">
        <is>
          <t>Hi all, I hope you’re holding up okay.
I tested positive a couple days (on my birthday, great gift) and I was wondering if anyone had an idea of when my smell and taste might return.
Thanks so much and stay strong.</t>
        </is>
      </c>
      <c r="D711" t="n">
        <v>1</v>
      </c>
      <c r="E711" t="n">
        <v>9</v>
      </c>
      <c r="F711">
        <f>HYPERLINK("https://www.reddit.com/r/COVID19positive/comments/gb8z9o/smell_and_taste_return_timeline/")</f>
        <v/>
      </c>
      <c r="G711" t="inlineStr">
        <is>
          <t>2020-04-30 18:33:06</t>
        </is>
      </c>
      <c r="H711" t="inlineStr">
        <is>
          <t>Tested Positive</t>
        </is>
      </c>
    </row>
    <row r="712">
      <c r="A712" t="inlineStr">
        <is>
          <t>gb9bb0</t>
        </is>
      </c>
      <c r="B712" t="inlineStr">
        <is>
          <t>Do I still have covid?</t>
        </is>
      </c>
      <c r="C712" t="inlineStr">
        <is>
          <t>The fever went away week 3
But I’m still continuing symptoms into week 4 such as malaise, muscle pain, morning phlegm, GI issues, sore throat, dizziness and worsening fatigue. 
I had blood work and an x ray done. All clear. 
I’m very confused if this is still covid or post viral messing me up</t>
        </is>
      </c>
      <c r="D712" t="n">
        <v>1</v>
      </c>
      <c r="E712" t="n">
        <v>3</v>
      </c>
      <c r="F712">
        <f>HYPERLINK("https://www.reddit.com/r/COVID19positive/comments/gb9bb0/do_i_still_have_covid/")</f>
        <v/>
      </c>
      <c r="G712" t="inlineStr">
        <is>
          <t>2020-04-30 18:54:54</t>
        </is>
      </c>
      <c r="H712" t="inlineStr">
        <is>
          <t>Presumed Positive - From Doctor</t>
        </is>
      </c>
    </row>
    <row r="713">
      <c r="A713" t="inlineStr">
        <is>
          <t>gba2t4</t>
        </is>
      </c>
      <c r="B713" t="inlineStr">
        <is>
          <t>I am a 26 YO F, otherwise healthy, have had symptoms for about 1.5 months and starting to feel like the universe is gaslighting me.</t>
        </is>
      </c>
      <c r="C713" t="inlineStr">
        <is>
          <t>First, I want to say I was tested on March 14 (feels like 84 years ago) after showcasing mild symptoms for about 3-4 days at that point. I was around someone who had been on a cruise, so that’s why they tested me. I tested negative, but my doctor and I agree I likely have it and just tested too early in the intubation period. 
I literally wasn’t worried when I first thought I had it because I kept seeing “2 weeks to recover” everywhere and thought oh, this’ll be over in 2 weeks. Was I ever wrong. 
It’s been 1.5 months and my symptoms have still lingered. I honestly don’t even believe the good days I have anymore because I know the next day the symptoms will be back. 
The weird thing is I never really got “sick.” Like when you think of someone out with the flu or cold, I haven’t been like that at all. I haven’t slipped into a fever at all this whole time. I’ve had hay fever/allergic episodes that have had me I it worse.
These are the symptoms I have been having and I’m hoping someone here can relate or tell me they’re exploding this too because I’m frikin going insane. I’m sick, but not. Ya know? 
I’ve had: 
- a sporadic dry cough. It was definitely suppressible and I would never go into hacking fits or anything. The cough is all but gone now, but there’s a lingering urge to clear my throat. 
- Heaviness in my chest, worse when I was lying down. It almost felt like my chest is caving in sometimes. 
- labored breathing. STILL have this. It’s hard to say if it’s getting worse or better because it’s been so up and down. And like I said, I never really peaked (I hate this word) with a single worst day, so it’s hard to tell if it’s getting better. It’s not getting worse. So there’s that. 
- everything is SO dry. Everything from my nasal cavities to my airways just feels there absolutely zero moisture. I can hear and feel the air goingi down my nasal cavity and/or throat. It also makes this whoosh/wheez sound like there’s too much friction 
- this breathlessness feel to everything. I don’t know how else to explain it. Like it doesn’t feel like the air I’m breathing in is getting as much O2 in me. 
- I have to take this deep breath every few minutes just to fill my lungs with good oxygen. 
-barely any mucus or phlegm at all. But my nose still feels stuffed with pressure, which makes it hard to smell. 
- diarrhea the first few days, that has gone away. 
-terrible acid reflux/heart burn that a awful the first couple of weeks but kind of comes and goes now. 
-upper back pain, neck pain and pretty bad stiffness.  Shoulder blade area is achy. This has actually gotten worse the past week. I looked this symptom up and it said lung cancer and now I’m not going to look anything else up anymore. 
-heart palpitations at the most random time. I’ll simply turn over in bed and my heart will just start pounding so loud...it honestly feels louder and slower, but it might be louder and quicker can’t tell. Couple of times my heart actually skipped a beat. 
- wheezing. I think most of that noise is when I’m breathing in through my nose and I can feel that noise in my nose, but there’s definitely a little breathing in through my mouth too. 
Honestly I just feel like I’m going crazy at this point. I never really “fell ill.” It’s like am I or am I not sick? How much of this is anxiety? Some may consider my case a “mild” case, but it’s going on two months now and I’m losing sight of the light at the end of the tunnel. I’m worried about permanent damage now, and that’s not helping. I miss when I wouldn’t give a second thought to breathing. Now I’m monitoring everything about my breathing. And the getting better and then worse and then better with no rhyme or reason? I can’t deal with that for much longer. I feel like I’m getting gaslit. 
Sorry for the rant. Just found this sub and it’s already helped me so I just wanted to share my story. Hang in there guys.</t>
        </is>
      </c>
      <c r="D713" t="n">
        <v>1</v>
      </c>
      <c r="E713" t="n">
        <v>97</v>
      </c>
      <c r="F713">
        <f>HYPERLINK("https://www.reddit.com/r/COVID19positive/comments/gba2t4/i_am_a_26_yo_f_otherwise_healthy_have_had/")</f>
        <v/>
      </c>
      <c r="G713" t="inlineStr">
        <is>
          <t>2020-04-30 19:46:36</t>
        </is>
      </c>
      <c r="H713" t="inlineStr">
        <is>
          <t>Presumed Positive - From Doctor</t>
        </is>
      </c>
    </row>
    <row r="714">
      <c r="A714" t="inlineStr">
        <is>
          <t>gbc4iu</t>
        </is>
      </c>
      <c r="B714" t="inlineStr">
        <is>
          <t>Anyone else have that weird numbing feeling and annoying psychological symptoms like constant fatigue and brain fog?</t>
        </is>
      </c>
      <c r="C714" t="inlineStr">
        <is>
          <t>Just what I’ve been feeling the past few days</t>
        </is>
      </c>
      <c r="D714" t="n">
        <v>1</v>
      </c>
      <c r="E714" t="n">
        <v>27</v>
      </c>
      <c r="F714">
        <f>HYPERLINK("https://www.reddit.com/r/COVID19positive/comments/gbc4iu/anyone_else_have_that_weird_numbing_feeling_and/")</f>
        <v/>
      </c>
      <c r="G714" t="inlineStr">
        <is>
          <t>2020-04-30 22:12:35</t>
        </is>
      </c>
      <c r="H714" t="inlineStr">
        <is>
          <t>Presumed Positive - From Test</t>
        </is>
      </c>
    </row>
    <row r="715">
      <c r="A715" t="inlineStr">
        <is>
          <t>gbei8l</t>
        </is>
      </c>
      <c r="B715" t="inlineStr">
        <is>
          <t>Pulse Oximeter Readings and your emergency cut off</t>
        </is>
      </c>
      <c r="C715" t="inlineStr">
        <is>
          <t>Asking for my mom as I am recovered from my symptoms. She has diabetes and HBP, (doesn’t have to shoot insulin for diabetes, says her BP and blood sugar is still reading normal) 
For now she has no shortness of breath, no bad cough, but more of tiredness and decreased appetite. She’s around day 10ish (not exactly sure but over a week) into her noticeable symptoms and just has a mild cough. She can still get up and walk around normally, just prefers to stay in bed all day. Tested positive officially couple weeks after me this past Monday. 
We finally got a pulse oximeter in and forehead thermometer. I’ve seen others say anything under 95 for oxygen levels is a trip to the ER, and others saying anything below 90 is a trip as well. She’s bouncing between 94-95 right now. We didn’t take her to the ER since she’s said breathing hasn’t been an issue yet since her symptoms came. 
Oxygen: 94-95 bouncing 
Heart rate: 84
Temp: 36.6 Celsius (97.8 F) 
What is the cutoff I should be taking in for her as she is diabetic and tested positive? Is anything above 90 okay? She says since she’s not having shortness of breath to not take her but I’m just being a VERY cautious daughter at the moment due to her underlying conditions. Not sure if I should take that into account when using a pulse oximeter. 
Fatigue and tiredness is probably the main symptoms she’s experiencing right now, but however not bedridden. I had an extremely mild case and I can tell, but however I don’t know what a moderate case looks like. Just scared for her sadly ):</t>
        </is>
      </c>
      <c r="D715" t="n">
        <v>1</v>
      </c>
      <c r="E715" t="n">
        <v>18</v>
      </c>
      <c r="F715">
        <f>HYPERLINK("https://www.reddit.com/r/COVID19positive/comments/gbei8l/pulse_oximeter_readings_and_your_emergency_cut_off/")</f>
        <v/>
      </c>
      <c r="G715" t="inlineStr">
        <is>
          <t>2020-05-01 01:43:07</t>
        </is>
      </c>
      <c r="H715" t="inlineStr">
        <is>
          <t>Tested Positive - Family</t>
        </is>
      </c>
    </row>
    <row r="716">
      <c r="A716" t="inlineStr">
        <is>
          <t>gbetb9</t>
        </is>
      </c>
      <c r="B716" t="inlineStr">
        <is>
          <t>Is plasma donation also antibody testing?</t>
        </is>
      </c>
      <c r="C716" t="inlineStr">
        <is>
          <t>As of next week I’ll be symptom free for 2 weeks after testing positive around 2-3 weeks ago. I would like to donate plasma but however can’t get retested in my area. There are no known places that do antibody testing as well. If I could pay for a second test right now I would.
So Redcross requires you to be symptom free and recovered for 2 weeks, but however some people are still testing positive after being symptom free. How would places that accept plasma prove that you’re virus free before giving your plasma to someone else? Someone care to share their donation experience?</t>
        </is>
      </c>
      <c r="D716" t="n">
        <v>1</v>
      </c>
      <c r="E716" t="n">
        <v>2</v>
      </c>
      <c r="F716">
        <f>HYPERLINK("https://www.reddit.com/r/COVID19positive/comments/gbetb9/is_plasma_donation_also_antibody_testing/")</f>
        <v/>
      </c>
      <c r="G716" t="inlineStr">
        <is>
          <t>2020-05-01 02:12:36</t>
        </is>
      </c>
      <c r="H716" t="inlineStr">
        <is>
          <t>Tested Positive - Me</t>
        </is>
      </c>
    </row>
    <row r="717">
      <c r="A717" t="inlineStr">
        <is>
          <t>gbf8yk</t>
        </is>
      </c>
      <c r="B717" t="inlineStr">
        <is>
          <t>Sick of just about everybody invalidating the symptoms of this illness. Rant/negativity warning.</t>
        </is>
      </c>
      <c r="C717" t="inlineStr">
        <is>
          <t>As the title says, I'm sick of people who haven't experienced this illness commenting "doesn't sound like covid 🤔" / "sounds like anxiety, I get X or Y symptom you've said when I'm anxious" 
JUST NO!! 
20's and previously very healthy, I've been ill 2 months now and I'm still having almost all or have experienced the following symptoms... 
Severe breathing issues
Mental cognition issues (about 10 different issues)
Extreme fatigue 
Organ pains 
Body fizzing
Nausea 
Headaches
Muscle and joint pain
Numb limbs 
Heart pains and palpitations 
Pissed blood 
Fever sweats 
Chills 
Sleep issues 
Balance issues
All of that and some uneducated disbelieving reddit peon has the nerve to tell me I must be making this shit up and I'm just anxious because of what they've been told by some shitty blinkered bbc news crew back in Feb.
The doctors/nurses taking a proactive and open minded approach I take my hat off to you; they are out there. Alot of doctors and nurses are treating you like you're nuts if you seek help for anything less than collapsed lungs. This virus isn't just a respiratory virus.
The misconceptions that have been spread are harmful, damaging and invalidating.
I'm sorry to anyone suffering long term with this but this isn't going to be a walk in the park to live with from here on out. We're dealing with an extremely deadly and harmful virus. It's closest relation SARS1 saw survivors having difficulties of recovery lasting many years. 
I'm so sick of this general concensous that seems to have plagued the western world in an attempt to keep the economical cogs slowly turning and feeding the people a false sense of security.
 People are laughing and joking about a deadly illness,  crying out like whining children for the flimsy lock down to end so they can get their 'freedom' back. 
Bullllshitttt. If you end up feeling like me, you may never know what a healthy freedom feels like ever again all because you couldn't tolerate a little temporary hardship. I can't even manage to get to a shop for food right now because I'm still so unwell. Try seizing your right to freedom with a body like mine now.
Yes I understand everyone is tolerating hardship through isolation, some people extreme hardship: domestic abuse, kids lack of education, starving people, those unable to physically look after themselves, missed chronic illness treatments, the lonely... I really do empathise with these very real issues, but it seems those with a vocal problem are mainly those with a sense of entitlement to life that blunts their perception of the world at large around them.
Do something to help those in need instead of crying about those issues just to suit your current freedom agenda. If and when your world goes back to normal and you put your 'good life blinkers' back on, you aren't going to do fuck all to help those people you quoted for your cause. These sort of hardships have happened for years before hand yet I can guarantee you never spoke out or did anything to help them till it suited your freedom agenda. 
Fuck. I wish I could shake sense into the head of every short sighted arrogant mug out there. We're all in this together. I gave humanity way too much credit.
What good is a low fatality rate if you might end up with potential life long disabilities, lung, heart, kidneys and neuro damage?
 'Its less than a 1 percent chance of death' - really? Last time I checked, we can barely get enough tests on the go to check our NHS staff in the UK, how can we claim this with no solid long standing evidence? Is anything less than death a price you're willing to pay for a feeling of freedom?
'Underlying illness' - ofcourse the very healthy individuals are going to have a higher chance of living. Does their lack of underlying conditions make them impervious to the damage dished out by this virus when they fail to die of ARDS?
'Recovered' - you mean didn't die in hospital admission when they were wizzed out the door with a patronizing pat on the back and a pamflet for anxiety after a 3 hour turn around so the numbers can be favourably skewed.
Every day the media is spewing false information to suppress the realities of this situation and it's gross. 
My case might have been more than mild but nobody knows why or how this fully effects us yet.
Why is it okay to invalidate my experience because Joe blogs had some untested sniffs that resembled a cold for 2 weeks and moved on with his life. Hang on, how did we conclude that it must mean EVERYBODY should experience a illness progression like joe unless they are have some mild underlying illness in which case they'll be casually expected to end up a statistic after their lungs collapse but that's alright because well... underlying illness ofcourse, they had it coming to them.
Yes the reality is shit for everyone but can we all be a little more human for one fucking second, open up our minds a little, be more caring, fight each other less and validate those around us rather than mocking those dealing with what you're peddling as 'anxiety'.
We do need healthy positivity but not when it distorts  reality so far that it does more harm than good. If the western world had of looked at this outbreak earlier with a sense of seriousness and what most would consider 'doomers mentality'; we would of prepared better for the absolute shit show reality that has hit us. 
Rose tinted glasses were donned and backs were turned because of what seemed like some sort of egotistical 'it couldn't really happen to us' mentality and it's still happening as we speak. No good will come of this dismissal and arrogance. 
A large amount are doing as little as possible whilst appearing to do as much as possible. Some would say 'conservative' behaviour. Don't forget to bang those pots next Thursday.
I've lost so much faith in humanity.</t>
        </is>
      </c>
      <c r="D717" t="n">
        <v>1</v>
      </c>
      <c r="E717" t="n">
        <v>1</v>
      </c>
      <c r="F717">
        <f>HYPERLINK("https://www.reddit.com/r/COVID19positive/comments/gbf8yk/sick_of_just_about_everybody_invalidating_the/")</f>
        <v/>
      </c>
      <c r="G717" t="inlineStr">
        <is>
          <t>2020-05-01 02:52:49</t>
        </is>
      </c>
      <c r="H717" t="inlineStr">
        <is>
          <t>Tested Positive - Me</t>
        </is>
      </c>
    </row>
    <row r="718">
      <c r="A718" t="inlineStr">
        <is>
          <t>gbhnza</t>
        </is>
      </c>
      <c r="B718" t="inlineStr">
        <is>
          <t>When Will End The USA Coronavirus?</t>
        </is>
      </c>
      <c r="C718" t="inlineStr">
        <is>
          <t>[When Will End The USA Coronavirus?](https://froxee.com/2020/04/08/usa-coronavirus/)
 Coronavirus the deadliest virus which has started from Chinna and press thought the world and USA coronavirus gone viral these days. These days are the USA facing a peek death week, and around 1450 people died today due to the virus attack. More the one lake people are suffering from this virus. We all should be safe and should protect our loved ones.</t>
        </is>
      </c>
      <c r="D718" t="n">
        <v>1</v>
      </c>
      <c r="E718" t="n">
        <v>4</v>
      </c>
      <c r="F718">
        <f>HYPERLINK("https://www.reddit.com/r/COVID19positive/comments/gbhnza/when_will_end_the_usa_coronavirus/")</f>
        <v/>
      </c>
      <c r="G718" t="inlineStr">
        <is>
          <t>2020-05-01 06:00:33</t>
        </is>
      </c>
      <c r="H718" t="inlineStr">
        <is>
          <t>Tested Positive - Family</t>
        </is>
      </c>
    </row>
    <row r="719">
      <c r="A719" t="inlineStr">
        <is>
          <t>gbivux</t>
        </is>
      </c>
      <c r="B719" t="inlineStr">
        <is>
          <t>Lingering GI issues club - who’s here</t>
        </is>
      </c>
      <c r="C719" t="inlineStr">
        <is>
          <t>Started symptoms on 3/18
Went through most of the hallmark symptoms, managed to avoid the cough.
Now all that’s left is bloating, indigestion, diarrhea/constipation, acid reflux, and a whole load of belching.
The shit thing is that my doc isn’t sure what’s causing it now. My horrible anxiety (just got prescribed Celexa yesterday), the lingering infection (45 fucking days), aftermath of a z pack which ended about a month ago.
I just started a probiotic called Culturelle thanks to my psych and another user here that suggested it. The light at the end of the tunnel is nonexistent.
Any others in the same boat as me? I feel so fucking alone.</t>
        </is>
      </c>
      <c r="D719" t="n">
        <v>1</v>
      </c>
      <c r="E719" t="n">
        <v>36</v>
      </c>
      <c r="F719">
        <f>HYPERLINK("https://www.reddit.com/r/COVID19positive/comments/gbivux/lingering_gi_issues_club_whos_here/")</f>
        <v/>
      </c>
      <c r="G719" t="inlineStr">
        <is>
          <t>2020-05-01 07:16:43</t>
        </is>
      </c>
      <c r="H719" t="inlineStr">
        <is>
          <t>Tested Positive - Me</t>
        </is>
      </c>
    </row>
    <row r="720">
      <c r="A720" t="inlineStr">
        <is>
          <t>gbj66w</t>
        </is>
      </c>
      <c r="B720" t="inlineStr">
        <is>
          <t>Mid 50s M (presumed), 36 days of symptoms</t>
        </is>
      </c>
      <c r="C720" t="inlineStr">
        <is>
          <t>I am glad to have found this sub. My symptoms started March 13 and finally ended April 17. I was very active and almost never got sick. Never experienced anything like it. I called my doctor and asked for a test 3 times, but was not sick enough. Doctor thought I might have it, but told me to stay at home unless I got much worse.
It started with 5 days of tightness/coldness in upper chest that came went throughout the day, not constant.
Days 5-10 were the scariest, tightness/coldness in upper chest all day, could not get full breath. Fatigued, throat sore, drinking carbonated beverages felt like heartburn. I actually packed a hospital bag in case I took a sudden turn for the worse, but thankfully didn't. Hot baths helped my breathing.
Days 11-20, was back to the tightness/coldness in upper chest that came went throughout the day, but was breathing a little easier. Still fatigued.
Day 21 No symptoms! Felt good.
Days 22-23 Back to chest tightness, breathing not 100%. Started to get worried again.
Days 24-25 Chest tightness went away, breathing not 100%.
Day 26 No symptoms!
Day 27 Went on 1 mile run, took 2 hours to recover.
Days 28-35 General fatigue, breathing OK.
Day 36 Went on 11 mile hike, felt normal for the first time.
I do have some anxiety and I still don't know if any of my symptoms were exaggerated or in my head. I feel a little less crazy seeing that many others also have long periods of symptoms that come and go.</t>
        </is>
      </c>
      <c r="D720" t="n">
        <v>1</v>
      </c>
      <c r="E720" t="n">
        <v>9</v>
      </c>
      <c r="F720">
        <f>HYPERLINK("https://www.reddit.com/r/COVID19positive/comments/gbj66w/mid_50s_m_presumed_36_days_of_symptoms/")</f>
        <v/>
      </c>
      <c r="G720" t="inlineStr">
        <is>
          <t>2020-05-01 07:33:06</t>
        </is>
      </c>
      <c r="H720" t="inlineStr">
        <is>
          <t>Presumed Positive - From Doctor</t>
        </is>
      </c>
    </row>
    <row r="721">
      <c r="A721" t="inlineStr">
        <is>
          <t>gbk67d</t>
        </is>
      </c>
      <c r="B721" t="inlineStr">
        <is>
          <t>I tested positive despite being asymptomatic — self isolating was not a waste! 23M, active.</t>
        </is>
      </c>
      <c r="C721" t="inlineStr">
        <is>
          <t>My girlfriend and I were potentially exposed to 2 people at work who were later confirmed COVID-19 positive. We quarantined ourselves at home for weeks, excepting a few walks/runs safely distant from others. Today I finally took the IgG and IgM serology test, over a month after this exposure. 
Results and relevant sensitivity/specificity: 
92% sensitivity on the positive IgG (long term) antibody test result. 
100% specificity for my negative IgM result. 
With near certainty I can say that I had the virus, and never had symptoms that were anything worse than my usual spring allergies, if any at all. I am not currently infected or contagious right now, and I have some unspecified degree of immunity for some unspecified amount of time. 
Some people have told me that I quarantined for nothing, as I still got the virus. This is incorrect, as I could have been unwittingly spreading the virus as I was asymptomatic. Social distancing is not just to protect yourself, but also to protect others, including those who are statistically more vulnerable! 
Stay safe.</t>
        </is>
      </c>
      <c r="D721" t="n">
        <v>1</v>
      </c>
      <c r="E721" t="n">
        <v>150</v>
      </c>
      <c r="F721">
        <f>HYPERLINK("https://www.reddit.com/r/COVID19positive/comments/gbk67d/i_tested_positive_despite_being_asymptomatic_self/")</f>
        <v/>
      </c>
      <c r="G721" t="inlineStr">
        <is>
          <t>2020-05-01 08:27:05</t>
        </is>
      </c>
      <c r="H721" t="inlineStr">
        <is>
          <t>Tested Positive - Me</t>
        </is>
      </c>
    </row>
    <row r="722">
      <c r="A722" t="inlineStr">
        <is>
          <t>gbl2lw</t>
        </is>
      </c>
      <c r="B722" t="inlineStr">
        <is>
          <t>Feeling very depressed , isolated and anxious. My child has had to stay elsewhere for weeks. I will have to return. To healthcare for work after I recover. Anyone else in this boat?</t>
        </is>
      </c>
      <c r="C722" t="inlineStr">
        <is>
          <t>I’m dying inside</t>
        </is>
      </c>
      <c r="D722" t="n">
        <v>1</v>
      </c>
      <c r="E722" t="n">
        <v>13</v>
      </c>
      <c r="F722">
        <f>HYPERLINK("https://www.reddit.com/r/COVID19positive/comments/gbl2lw/feeling_very_depressed_isolated_and_anxious_my/")</f>
        <v/>
      </c>
      <c r="G722" t="inlineStr">
        <is>
          <t>2020-05-01 09:16:19</t>
        </is>
      </c>
      <c r="H722" t="inlineStr">
        <is>
          <t>Tested Positive</t>
        </is>
      </c>
    </row>
    <row r="723">
      <c r="A723" t="inlineStr">
        <is>
          <t>gbmt5t</t>
        </is>
      </c>
      <c r="B723" t="inlineStr">
        <is>
          <t>Tested positive April 7th, 2020.</t>
        </is>
      </c>
      <c r="C723" t="inlineStr">
        <is>
          <t>Hello everyone. I tested positive April 7th, today (May 1st)  I got results back from an antibody test saying that I was positive for igG antibodies for Covid-19. What should I do with this information? Should I still be tested to confirm a negative result if I’ve developed antibodies? I wouldn’t want to waste a test if other people are in need.</t>
        </is>
      </c>
      <c r="D723" t="n">
        <v>1</v>
      </c>
      <c r="E723" t="n">
        <v>2</v>
      </c>
      <c r="F723">
        <f>HYPERLINK("https://www.reddit.com/r/COVID19positive/comments/gbmt5t/tested_positive_april_7th_2020/")</f>
        <v/>
      </c>
      <c r="G723" t="inlineStr">
        <is>
          <t>2020-05-01 10:50:20</t>
        </is>
      </c>
      <c r="H723" t="inlineStr">
        <is>
          <t>Tested Positive - Me</t>
        </is>
      </c>
    </row>
    <row r="724">
      <c r="A724" t="inlineStr">
        <is>
          <t>gbmuxc</t>
        </is>
      </c>
      <c r="B724" t="inlineStr">
        <is>
          <t>Based on what you’ve experienced what will may days ahead look like? (Not asking for doctor advice)</t>
        </is>
      </c>
      <c r="C724" t="inlineStr">
        <is>
          <t>Monday April 27. 
Slept all day 
Mildly sore and achey
Mild cough
No fever
28th
Slept all day
Felt very sore and achey in neck and shoulders
Mild nausea 
Mild Cough
Mild headache
Sweats 
Temp 99.4
Post nasal drip
29th 
More sore and achey than previous days (7/10 pain) and getting worse
Moderate cough &amp;amp; getting worse 
Severe headache
Post nasal drip
Dizzy
Extremely tired 
No fever (97.7 @ 9AM)
30th
Severe body aches. Unable to move my neck without pain. (8/10)
Nausea 
Headache
Slept all day and still tired
Weak
May 1st 
Cough is back.
Body less sore but still 5/10
Hands and limbs feel cold and sweaty
Neck pain 
Severe tiredness</t>
        </is>
      </c>
      <c r="D724" t="n">
        <v>1</v>
      </c>
      <c r="E724" t="n">
        <v>12</v>
      </c>
      <c r="F724">
        <f>HYPERLINK("https://www.reddit.com/r/COVID19positive/comments/gbmuxc/based_on_what_youve_experienced_what_will_may/")</f>
        <v/>
      </c>
      <c r="G724" t="inlineStr">
        <is>
          <t>2020-05-01 10:52:56</t>
        </is>
      </c>
      <c r="H724" t="inlineStr">
        <is>
          <t>Presumed Positive - From Doctor</t>
        </is>
      </c>
    </row>
    <row r="725">
      <c r="A725" t="inlineStr">
        <is>
          <t>gbn7h0</t>
        </is>
      </c>
      <c r="B725" t="inlineStr">
        <is>
          <t>Tired of everything</t>
        </is>
      </c>
      <c r="C725" t="inlineStr">
        <is>
          <t>I’ve been dealing with symptoms for 4 weeks now despite testing being negative 
I’m tired of the morning phlegm 
I’m tired of the GI issues
I’m tired of the fatigue
I’m tired of the muscle pains  
I’m tired of the new dizziness 
I’m tired of feeling like shit
I’ve had no good days 
The only upside is that I lost my fever 
But symptoms go on and on and on 
I’m becoming suicidal
I want to end my life 
There is no one I can relate to 
I feel lost</t>
        </is>
      </c>
      <c r="D725" t="n">
        <v>1</v>
      </c>
      <c r="E725" t="n">
        <v>31</v>
      </c>
      <c r="F725">
        <f>HYPERLINK("https://www.reddit.com/r/COVID19positive/comments/gbn7h0/tired_of_everything/")</f>
        <v/>
      </c>
      <c r="G725" t="inlineStr">
        <is>
          <t>2020-05-01 11:11:23</t>
        </is>
      </c>
      <c r="H725" t="inlineStr">
        <is>
          <t>Presumed Positive - From Doctor</t>
        </is>
      </c>
    </row>
    <row r="726">
      <c r="A726" t="inlineStr">
        <is>
          <t>gbn9uo</t>
        </is>
      </c>
      <c r="B726" t="inlineStr">
        <is>
          <t>Ibuprofen during recovery</t>
        </is>
      </c>
      <c r="C726" t="inlineStr">
        <is>
          <t>Hi!
I'm on day 51 of symptoms. It's getting better every day but I'm just annoyed  at still having symptoms (tightness in chest, muscle pain). Also I can't wait to get back to running since running for me helps anxiety and stress, and it's the worst period of the year to not be able to relax.
I've read in many places that this is related to inflammation. I was wondering are there any studies of ibuprofen during recovery? I've heard that it's bad to take when you have COVID, but if I have post viral inflammation, could it help? Has anyone taken ibuprofen during recovery?</t>
        </is>
      </c>
      <c r="D726" t="n">
        <v>1</v>
      </c>
      <c r="E726" t="n">
        <v>10</v>
      </c>
      <c r="F726">
        <f>HYPERLINK("https://www.reddit.com/r/COVID19positive/comments/gbn9uo/ibuprofen_during_recovery/")</f>
        <v/>
      </c>
      <c r="G726" t="inlineStr">
        <is>
          <t>2020-05-01 11:14:54</t>
        </is>
      </c>
      <c r="H726" t="inlineStr">
        <is>
          <t>Presumed Positive - From Doctor</t>
        </is>
      </c>
    </row>
    <row r="727">
      <c r="A727" t="inlineStr">
        <is>
          <t>gbo62j</t>
        </is>
      </c>
      <c r="B727" t="inlineStr">
        <is>
          <t>Considering contacting a doctor about my sense of smell not returning?</t>
        </is>
      </c>
      <c r="C727" t="inlineStr">
        <is>
          <t>I am starting to get worried now I’m almost at a month since I had Covid and have not got my sense of smell back, I had a quick read online that said the sooner you address it with a doctor they can start “training” it back. Has anyone done this or considering it? I’m UK based.</t>
        </is>
      </c>
      <c r="D727" t="n">
        <v>1</v>
      </c>
      <c r="E727" t="n">
        <v>7</v>
      </c>
      <c r="F727">
        <f>HYPERLINK("https://www.reddit.com/r/COVID19positive/comments/gbo62j/considering_contacting_a_doctor_about_my_sense_of/")</f>
        <v/>
      </c>
      <c r="G727" t="inlineStr">
        <is>
          <t>2020-05-01 12:03:59</t>
        </is>
      </c>
      <c r="H727" t="inlineStr">
        <is>
          <t>Tested Positive - Family</t>
        </is>
      </c>
    </row>
    <row r="728">
      <c r="A728" t="inlineStr">
        <is>
          <t>gbp317</t>
        </is>
      </c>
      <c r="B728" t="inlineStr">
        <is>
          <t>In my 7th week and I’m still on and off ill. I saw people weeks ago on here say they had hit 7 weeks. How are you feeling now? And those that I see getting to this stage now, how are you feeling? I really need to hear from others.</t>
        </is>
      </c>
      <c r="C728" t="inlineStr">
        <is>
          <t>Right now I still have a kind of brain fog, I occasionally I have mild SOB, my heart feels weird at times, tho I don’t seem to be getting a racing heart as much as I was a few weeks ago, I almost feel a sort weakness in my chest at times, blurry vision, very mild nausea and chills occasionally, feeling slightly weak overall at times. Yesterday evening my upper back pain came back and chest tightened again. It’s now improved again. 
These symptoms still come and go and while some symptoms have improved greatly and others have cleared up Im not back to normal.</t>
        </is>
      </c>
      <c r="D728" t="n">
        <v>1</v>
      </c>
      <c r="E728" t="n">
        <v>37</v>
      </c>
      <c r="F728">
        <f>HYPERLINK("https://www.reddit.com/r/COVID19positive/comments/gbp317/in_my_7th_week_and_im_still_on_and_off_ill_i_saw/")</f>
        <v/>
      </c>
      <c r="G728" t="inlineStr">
        <is>
          <t>2020-05-01 12:53:56</t>
        </is>
      </c>
      <c r="H728" t="inlineStr">
        <is>
          <t>Presumed Positive - From Doctor</t>
        </is>
      </c>
    </row>
    <row r="729">
      <c r="A729" t="inlineStr">
        <is>
          <t>gbp5vf</t>
        </is>
      </c>
      <c r="B729" t="inlineStr">
        <is>
          <t>Does anyone else’s heart pound?</t>
        </is>
      </c>
      <c r="C729" t="inlineStr">
        <is>
          <t>So does anyone else’s heart start pounding in their chest when they get up? I’ve only been getting up to get food/drinks and use the bathroom and I’m out of breath and my heart goes crazy. Anyone else experiencing this? (21F).</t>
        </is>
      </c>
      <c r="D729" t="n">
        <v>1</v>
      </c>
      <c r="E729" t="n">
        <v>21</v>
      </c>
      <c r="F729">
        <f>HYPERLINK("https://www.reddit.com/r/COVID19positive/comments/gbp5vf/does_anyone_elses_heart_pound/")</f>
        <v/>
      </c>
      <c r="G729" t="inlineStr">
        <is>
          <t>2020-05-01 12:58:25</t>
        </is>
      </c>
      <c r="H729" t="inlineStr">
        <is>
          <t>Presumed Positive - From Doctor</t>
        </is>
      </c>
    </row>
    <row r="730">
      <c r="A730" t="inlineStr">
        <is>
          <t>gbpxcj</t>
        </is>
      </c>
      <c r="B730" t="inlineStr">
        <is>
          <t>Anyone else who doesn't have their smell/taste back after 4+ weeks?</t>
        </is>
      </c>
      <c r="C730" t="inlineStr">
        <is>
          <t>Hello!
I went through Covid, and it's been over a month, but I only have maybe 50% of my smell/taste back... is anyone in the same boat? Doctors said usually 2 weeks up to 4, but I haven't seen much improvement...</t>
        </is>
      </c>
      <c r="D730" t="n">
        <v>1</v>
      </c>
      <c r="E730" t="n">
        <v>11</v>
      </c>
      <c r="F730">
        <f>HYPERLINK("https://www.reddit.com/r/COVID19positive/comments/gbpxcj/anyone_else_who_doesnt_have_their_smelltaste_back/")</f>
        <v/>
      </c>
      <c r="G730" t="inlineStr">
        <is>
          <t>2020-05-01 13:40:11</t>
        </is>
      </c>
      <c r="H730" t="inlineStr">
        <is>
          <t>Tested Positive - Me</t>
        </is>
      </c>
    </row>
    <row r="731">
      <c r="A731" t="inlineStr">
        <is>
          <t>gbq51a</t>
        </is>
      </c>
      <c r="B731" t="inlineStr">
        <is>
          <t>My 75 year old grandpa with lung cancer tested positive for coronavirus along with my grandmother (75). They most likely got it from me. (I’m not tested)</t>
        </is>
      </c>
      <c r="C731" t="inlineStr">
        <is>
          <t>Due to negligent couple (former family friends) who we rented out the basement to (we share common spaces like kitchen), my entire family; parents, siblings, granparents, and I have become sick from coronavirus. Our family did everything right and stopped working as soon as possible and made use of all precautions recommended from the CDC however the renters did not. The renters hid the fact that they were sick for 3 days of showing symptoms and only told the truth when the infection became scary. We immediately took steps to try to prevent any spread of infection by quarantining them in the basement but it was too late. My parents got sick first. We moved my siblings and grandparents to a family member’s empty home and self-quarantined there. It didn’t matter, my brother (19) and I (20) had fevers a half week later. We decided to leave our grandparents and younger siblings (10,12) to quarantine with our parents immediately. It didn’t matter. Our grandparents became sick the next day. Everyone was moved back, in order to take care of each other. Currently, everyone but my grandparents have recovered. The only people tested were my grandparents due to a shortage of tests in my area and doctor recommendations. My grandma is doing incredibly well with the infection for her age. My grandpa quickly became violently ill (fevers, nausea, difficulty breathing). He was admitted to the hospital half a week ago and has recently been put on a ventilator and began plasma treatment. His survival is uncertain. The renters were told to move out once they recovered and my family no longer has a relationship with them. Please pray for my grandpa.</t>
        </is>
      </c>
      <c r="D731" t="n">
        <v>1</v>
      </c>
      <c r="E731" t="n">
        <v>37</v>
      </c>
      <c r="F731">
        <f>HYPERLINK("https://www.reddit.com/r/COVID19positive/comments/gbq51a/my_75_year_old_grandpa_with_lung_cancer_tested/")</f>
        <v/>
      </c>
      <c r="G731" t="inlineStr">
        <is>
          <t>2020-05-01 13:51:32</t>
        </is>
      </c>
      <c r="H731" t="inlineStr">
        <is>
          <t>Tested Positive - Family</t>
        </is>
      </c>
    </row>
    <row r="732">
      <c r="A732" t="inlineStr">
        <is>
          <t>gbrnz7</t>
        </is>
      </c>
      <c r="B732" t="inlineStr">
        <is>
          <t>My mild case journal</t>
        </is>
      </c>
      <c r="C732" t="inlineStr">
        <is>
          <t>33F, nonsmoker, very light/social drinker, daily cannabis user (strictly edibles). I'm in mostly good health though could use a few pounds with 3-4 cardio and lifting sessions a week.
Day 1, Saturday April 18: Woke up with a slight headache, headache continued throughout the day. The headache almost felt like I'd been holding tension in my neck/jaw all day, towards the back of my skull. Slight tickle in my throat and by 6pm deep breaths slightly uncomfortable but not unmanageable. No medication. 
Day 2, Sunday April 19th: Slept well, woke up a bit hot but no temperature. Sounds like I'm losing my voice but a hot shower helped. Took 2 Tylenol at 8:30am for headache. Throughout the day I needed to clear my throat about every 10 minutes. Slept from 10am-1pm. Took another two Tylenol at 5pm for headache and muscle soreness. Lymph nodes possibly slightly swollen. Before bed around 10:15pm I took 2 Tylenol and 10ml DM.
Day 3, Monday April 20th: Bad night of sleep, maybe slept from 1:30am-5am. Woke up with  headache, mostly a dull ache behind my eyes. Took temperature at 12:30pm, 99.9. At 1:30pm took 2 Tylenol and 10ml DM. 9:15pm took 2 Tylenol, 10ml DM, 10mg Indica - no symptoms but needed to sleep well.
Day 4, Tuesday April 21st: Slept about 6 hours. Still feel like I'm about to get sick - keep clearing my throat. Tongue feels like it was burned. More coughing in the morning than usual but nothing concerning. No chest tightness, no congestion. Left shoulder blade sore but that's not atypical for me. Had to drive to get tested and almost felt impaired. Got home and had some disorientation and confusion.  Boss told me to take the day off. Took CBD/THC tincture are 10:30am. Around 11:30am took 10mg Hybrid and slept on and off from noon until 5pm. Started to make dinner at 6pm exhausted by very little activity. Have to sit down every few minutes, not shortness of breath but feels like I'm just not pulling in enough oxygen. By 6:30pm I let work know I wouldn't be in for the whole week. 2 Tylenol at 6:30pm, developed low grade fever. Sense of taste and smell seems to be unaffected in the evening. 7:45pm took 10ml DM. Did breathing exercises and sleep meditation for around 15 minutes before falling asleep. 5mg Indica for sleep.
Day 5, Wednesday April 22nd: Woke up feeling very tired, weak and with lots of brain fog. Went back to sleep until 10:30am. Phone call confirmation of positive result. Sitting up and reading/browsing is exhausting. Took a shower at 11am, slightly short of breath. Can't taste or smell anything. Slept again 3pm-6:30pm. Dinner of cold cure broth. Tylenol at 7:30pm for severe muscle and joint aches. Waves of intense nausea that dissipate just as quickly as they came on. At 10:30pm 5mg Indica. 
Day 6, Thursday April 23rd: Woke up feeling downright normal. Slept all through the night until 7am. Decided to try and get up and cook breakfast - made 2 scrambled eggs and coffee, by the time I finished one egg I was mid-chewing the second and was like, too tired to swallow. It was insane. Spit it out and went back to bed, slept from 8-12:30pm.  Around 7 felt like I developed a fever but checked and it’s 98.6. Took two Tylenol got chills and possible developing fever. Terrible night of sleep, insomnia and chills. Stomach was growling before I fell asleep but too difficult to get up.
Day 7, Friday April 24th: Bad night of sleep, took 2 Tylenol at 3am for chills. Fell back asleep around 5am, woke up at 9:30am. Took 2 Tylenol for chills. Took a shower and had some cold cure broth, felt a lot better and got laundry and dishes done as well as took meals out of freezer to thaw. Felt sick/chills/fever around 3 so slept from 3-6. Felt a little better after eating and Tylenol. At 8:30 felt good enough to bake bread, do dishes, thaw soup from freezer. For sleep and cough: 5mg Indica, Nyquil
Day 8, Saturday April 25th: Slept 11 hours. Woke up feeling exhausted but had to sit up. Fell back asleep until 1pm. Slight headache all day that Tylenol didn't touch. 
Day 9, Sunday April 26th: Slept 12 hours, mostly stayed in bed all day. Body aches more intense and developed productive cough. No fever, chills. No appetite. Severe IT band and hip pain. 5mg Indica and Nyquil for cough.
Day 10, Monday April 27th: Slept 8 hours, no symptoms.
....And that was it. I never sought medical attention and have not slid "backwards" or had any other symptoms after Sunday, April 26th.</t>
        </is>
      </c>
      <c r="D732" t="n">
        <v>1</v>
      </c>
      <c r="E732" t="n">
        <v>18</v>
      </c>
      <c r="F732">
        <f>HYPERLINK("https://www.reddit.com/r/COVID19positive/comments/gbrnz7/my_mild_case_journal/")</f>
        <v/>
      </c>
      <c r="G732" t="inlineStr">
        <is>
          <t>2020-05-01 15:15:35</t>
        </is>
      </c>
      <c r="H732" t="inlineStr">
        <is>
          <t>Tested Positive - Me</t>
        </is>
      </c>
    </row>
    <row r="733">
      <c r="A733" t="inlineStr">
        <is>
          <t>gbrtqn</t>
        </is>
      </c>
      <c r="B733" t="inlineStr">
        <is>
          <t>Everyone with persistent symptoms many weeks in please read this article</t>
        </is>
      </c>
      <c r="C733" t="inlineStr">
        <is>
          <t>[https://www.theguardian.com/world/2020/may/01/lingering-and-painful-long-and-unclear-road-to-coronavirus-recovery-long-lasting-symptoms](https://www.theguardian.com/world/2020/may/01/lingering-and-painful-long-and-unclear-road-to-coronavirus-recovery-long-lasting-symptoms)</t>
        </is>
      </c>
      <c r="D733" t="n">
        <v>1</v>
      </c>
      <c r="E733" t="n">
        <v>15</v>
      </c>
      <c r="F733">
        <f>HYPERLINK("https://www.reddit.com/r/COVID19positive/comments/gbrtqn/everyone_with_persistent_symptoms_many_weeks_in/")</f>
        <v/>
      </c>
      <c r="G733" t="inlineStr">
        <is>
          <t>2020-05-01 15:24:36</t>
        </is>
      </c>
      <c r="H733" t="inlineStr">
        <is>
          <t>Presumed Positive - From Doctor</t>
        </is>
      </c>
    </row>
    <row r="734">
      <c r="A734" t="inlineStr">
        <is>
          <t>gbvjhu</t>
        </is>
      </c>
      <c r="B734" t="inlineStr">
        <is>
          <t>Week 5 and still sick, but only having neurological symptoms</t>
        </is>
      </c>
      <c r="C734" t="inlineStr">
        <is>
          <t>Initially I only suffered with body aches and fever, which went away quickly, and a few days later lost sense of smell and taste, which went on for weeks, but nothing else.
A few days ago however, I started experiencing numbness and tingling in my hands and feet, in addition to an uncomfortable hot sentation in my spine. Sometimes I also have a bit of dizziness and lightheadedness, without headache.
Just wondering if anyone out there with Covid has similar symptoms?</t>
        </is>
      </c>
      <c r="D734" t="n">
        <v>1</v>
      </c>
      <c r="E734" t="n">
        <v>0</v>
      </c>
      <c r="F734">
        <f>HYPERLINK("https://www.reddit.com/r/COVID19positive/comments/gbvjhu/week_5_and_still_sick_but_only_having/")</f>
        <v/>
      </c>
      <c r="G734" t="inlineStr">
        <is>
          <t>2020-05-01 17:49:03</t>
        </is>
      </c>
      <c r="H734" t="inlineStr">
        <is>
          <t>Tested Positive</t>
        </is>
      </c>
    </row>
    <row r="735">
      <c r="A735" t="inlineStr">
        <is>
          <t>gbvjlh</t>
        </is>
      </c>
      <c r="B735" t="inlineStr">
        <is>
          <t>Week 5 and still sick, but only having neurological symptoms</t>
        </is>
      </c>
      <c r="C735" t="inlineStr">
        <is>
          <t>Initially I only suffered with body aches and fever, which went away quickly, and a few days later lost sense of smell and taste, which went on for weeks, but nothing else.
A few days ago however, I started experiencing numbness and tingling in my hands and feet, in addition to an uncomfortable hot sentation in my spine. Sometimes I also have a bit of dizziness and lightheadedness, without headache.
Just wondering if anyone out there with Covid has similar symptoms?</t>
        </is>
      </c>
      <c r="D735" t="n">
        <v>1</v>
      </c>
      <c r="E735" t="n">
        <v>2</v>
      </c>
      <c r="F735">
        <f>HYPERLINK("https://www.reddit.com/r/COVID19positive/comments/gbvjlh/week_5_and_still_sick_but_only_having/")</f>
        <v/>
      </c>
      <c r="G735" t="inlineStr">
        <is>
          <t>2020-05-01 17:49:06</t>
        </is>
      </c>
      <c r="H735" t="inlineStr">
        <is>
          <t>Tested Positive</t>
        </is>
      </c>
    </row>
    <row r="736">
      <c r="A736" t="inlineStr">
        <is>
          <t>gbvk94</t>
        </is>
      </c>
      <c r="B736" t="inlineStr">
        <is>
          <t>Week 5 and still sick, but only having neurological symptoms</t>
        </is>
      </c>
      <c r="C736" t="inlineStr">
        <is>
          <t>Initially I only suffered with body aches and fever, which went away quickly, and a few days later lost sense of smell and taste, which went on for weeks, but nothing else.
A few days ago however, I started experiencing numbness and tingling in my hands and feet, in addition to an uncomfortable hot sentation in my spine. Sometimes I also have a bit of dizziness and lightheadedness, without headache.
Just wondering if anyone out there with Covid has similar symptoms?</t>
        </is>
      </c>
      <c r="D736" t="n">
        <v>1</v>
      </c>
      <c r="E736" t="n">
        <v>9</v>
      </c>
      <c r="F736">
        <f>HYPERLINK("https://www.reddit.com/r/COVID19positive/comments/gbvk94/week_5_and_still_sick_but_only_having/")</f>
        <v/>
      </c>
      <c r="G736" t="inlineStr">
        <is>
          <t>2020-05-01 17:49:33</t>
        </is>
      </c>
      <c r="H736" t="inlineStr">
        <is>
          <t>Tested Positive</t>
        </is>
      </c>
    </row>
    <row r="737">
      <c r="A737" t="inlineStr">
        <is>
          <t>gbw5o5</t>
        </is>
      </c>
      <c r="B737" t="inlineStr">
        <is>
          <t>Extubated and recovered, but memory loss?</t>
        </is>
      </c>
      <c r="C737" t="inlineStr">
        <is>
          <t>my uncle who's in his late 30's was intubated for 15 days? he got extubated last friday! he remembers his wife and kids but does not remember anyone else? is it because of the medicine still when he was sedated or?</t>
        </is>
      </c>
      <c r="D737" t="n">
        <v>1</v>
      </c>
      <c r="E737" t="n">
        <v>0</v>
      </c>
      <c r="F737">
        <f>HYPERLINK("https://www.reddit.com/r/COVID19positive/comments/gbw5o5/extubated_and_recovered_but_memory_loss/")</f>
        <v/>
      </c>
      <c r="G737" t="inlineStr">
        <is>
          <t>2020-05-01 18:03:30</t>
        </is>
      </c>
      <c r="H737" t="inlineStr">
        <is>
          <t>Tested Positive - Family</t>
        </is>
      </c>
    </row>
    <row r="738">
      <c r="A738" t="inlineStr">
        <is>
          <t>gbw5rg</t>
        </is>
      </c>
      <c r="B738" t="inlineStr">
        <is>
          <t>Extubated and recovered, but memory loss?</t>
        </is>
      </c>
      <c r="C738" t="inlineStr">
        <is>
          <t>my uncle who's in his late 30's was intubated for 15 days? he got extubated last friday! he remembers his wife and kids but does not remember anyone else? is it because of the medicine still when he was sedated or?</t>
        </is>
      </c>
      <c r="D738" t="n">
        <v>1</v>
      </c>
      <c r="E738" t="n">
        <v>0</v>
      </c>
      <c r="F738">
        <f>HYPERLINK("https://www.reddit.com/r/COVID19positive/comments/gbw5rg/extubated_and_recovered_but_memory_loss/")</f>
        <v/>
      </c>
      <c r="G738" t="inlineStr">
        <is>
          <t>2020-05-01 18:03:34</t>
        </is>
      </c>
      <c r="H738" t="inlineStr">
        <is>
          <t>Tested Positive - Family</t>
        </is>
      </c>
    </row>
    <row r="739">
      <c r="A739" t="inlineStr">
        <is>
          <t>gbydol</t>
        </is>
      </c>
      <c r="B739" t="inlineStr">
        <is>
          <t>My fiance tested positive and I'm sick too</t>
        </is>
      </c>
      <c r="C739" t="inlineStr">
        <is>
          <t>My fiance started to feel sick April 23rd. Initial symptoms were sinus congestion, achiness, skin sensitivity, headache, low grade fever.  Then I started to feel sick about 3 days later.  He lost his sense of smell and taste on Monday.  So we both had tele dr appointments and were both advised to get tested due to the symptoms and that he had coworkers who tested positive.
He was tested Tuesday, results came back positive Wednesday.  I was tested Monday at a different facility.  No results yet but it's obvious I have it and my dr said assume I’m positive.  I'm female 43. He's 37. So far it's mild like a cold.  
Headache, tired, nasal congestion but with the extra fun of no sense of smell or taste.
Not the sickest we’ve ever been but I know that can change.  Oddly enough I’m not worried.
Have a pulse oximeter.  Oxygen is consistently 98 or higher for both of us.  No fevers anymore. He’s coughing more than I am but the cough isn’t even that awful.
We are hoping it doesn’t get worse.  Not much else to report.</t>
        </is>
      </c>
      <c r="D739" t="n">
        <v>1</v>
      </c>
      <c r="E739" t="n">
        <v>9</v>
      </c>
      <c r="F739">
        <f>HYPERLINK("https://www.reddit.com/r/COVID19positive/comments/gbydol/my_fiance_tested_positive_and_im_sick_too/")</f>
        <v/>
      </c>
      <c r="G739" t="inlineStr">
        <is>
          <t>2020-05-01 19:29:58</t>
        </is>
      </c>
      <c r="H739" t="inlineStr">
        <is>
          <t>Presumed Positive - From Doctor</t>
        </is>
      </c>
    </row>
    <row r="740">
      <c r="A740" t="inlineStr">
        <is>
          <t>gbzkxn</t>
        </is>
      </c>
      <c r="B740" t="inlineStr">
        <is>
          <t>update i guess i’ve beaten it</t>
        </is>
      </c>
      <c r="C740" t="inlineStr">
        <is>
          <t>it’s more then 2 weeks and i think i beaten it. i haven’t had any more symptoms since last week. hoping i’m. not jumping the gun here and get symptoms tomorrow. i’m pretty young so it’s no surprise but i’ll just quarantine my self for another two weeks before i head out for groceries and an occasional bike ride.</t>
        </is>
      </c>
      <c r="D740" t="n">
        <v>1</v>
      </c>
      <c r="E740" t="n">
        <v>10</v>
      </c>
      <c r="F740">
        <f>HYPERLINK("https://www.reddit.com/r/COVID19positive/comments/gbzkxn/update_i_guess_ive_beaten_it/")</f>
        <v/>
      </c>
      <c r="G740" t="inlineStr">
        <is>
          <t>2020-05-01 20:29:01</t>
        </is>
      </c>
      <c r="H740" t="inlineStr">
        <is>
          <t>Tested Positive</t>
        </is>
      </c>
    </row>
    <row r="741">
      <c r="A741" t="inlineStr">
        <is>
          <t>gc03vq</t>
        </is>
      </c>
      <c r="B741" t="inlineStr">
        <is>
          <t>Stabbing Pains?</t>
        </is>
      </c>
      <c r="C741" t="inlineStr">
        <is>
          <t>Is anyone else experiencing really sharp stabbing pains? I got tested on Tuesday and don’t have results yet. I’ve had low fevers for the past week accompanied by headaches and body aches. Up until recently, the body aches felt more like muscle soreness. Now, I’ve started having awful stabbing pains in my upper body. I just spent 6 hours in the ER with stabbing chest, neck, arm and upper back pains just to be told that my heart and lungs look fine and that this is probably just another COVID thing. Anyone else have this?? I feel like everyone thought I was insane and making things up. But my pain is extremely real and it’s driving me insane.</t>
        </is>
      </c>
      <c r="D741" t="n">
        <v>1</v>
      </c>
      <c r="E741" t="n">
        <v>18</v>
      </c>
      <c r="F741">
        <f>HYPERLINK("https://www.reddit.com/r/COVID19positive/comments/gc03vq/stabbing_pains/")</f>
        <v/>
      </c>
      <c r="G741" t="inlineStr">
        <is>
          <t>2020-05-01 21:09:02</t>
        </is>
      </c>
      <c r="H741" t="inlineStr">
        <is>
          <t>Presumed Positive - From Doctor</t>
        </is>
      </c>
    </row>
    <row r="742">
      <c r="A742" t="inlineStr">
        <is>
          <t>gc089v</t>
        </is>
      </c>
      <c r="B742" t="inlineStr">
        <is>
          <t>Tested positive, later tested negative. Went through the disease. I'm ok. I took part in a study to help find a cure. Besides the 20 vials of blood the phlebotomist took they also took a spit sample. Why the spit sample?</t>
        </is>
      </c>
      <c r="C742" t="inlineStr">
        <is>
          <t>Also, they asked if I'm a smoker, how does this impact things? I rarely smoke but two days before the sample, and the day before I had scheduled the sample, I'd smoked a cigar. I rarely smoke but under the stress of recent events I'd decided to have one. A decent sized cigar but not some crazy thing. I told them I occasionally smoke cigars when signing up for the test when they asked if I smoked but they didn't get back to me for over a week. Figured they didn't need me so I didn't think it was an issue.
Wasn't sure if the spit test had anything to do with it and wasn't sure if my smoking a cigar less than 48 hours before would impact their research.</t>
        </is>
      </c>
      <c r="D742" t="n">
        <v>1</v>
      </c>
      <c r="E742" t="n">
        <v>6</v>
      </c>
      <c r="F742">
        <f>HYPERLINK("https://www.reddit.com/r/COVID19positive/comments/gc089v/tested_positive_later_tested_negative_went/")</f>
        <v/>
      </c>
      <c r="G742" t="inlineStr">
        <is>
          <t>2020-05-01 21:18:38</t>
        </is>
      </c>
      <c r="H742" t="inlineStr">
        <is>
          <t>Tested Positive - Me</t>
        </is>
      </c>
    </row>
    <row r="743">
      <c r="A743" t="inlineStr">
        <is>
          <t>gc08tu</t>
        </is>
      </c>
      <c r="B743" t="inlineStr">
        <is>
          <t>Symptoms off and on since mid-March</t>
        </is>
      </c>
      <c r="C743" t="inlineStr">
        <is>
          <t>I originally got sick in mid-March. There were no tests in my county at the time, so my doctor assumed it was Covid as I tested negative for flu and strep.
I had a dry cough, body aches, fever, chest pain, dizziness, and difficulty breathing. After two weeks, I felt better.
Since then, I have at least 3 days out of the week where I’m suddenly sick again. Wake up with a sore throat, body aches, occasional fever, chest pain, dry cough...  Am I still sick after this long? 
I can likely get tested at this point, but is it worth it? Can mild case last this long with off and on symptoms? Or is my immune system just weakened now and I am catching every little cold that goes around?</t>
        </is>
      </c>
      <c r="D743" t="n">
        <v>1</v>
      </c>
      <c r="E743" t="n">
        <v>10</v>
      </c>
      <c r="F743">
        <f>HYPERLINK("https://www.reddit.com/r/COVID19positive/comments/gc08tu/symptoms_off_and_on_since_midmarch/")</f>
        <v/>
      </c>
      <c r="G743" t="inlineStr">
        <is>
          <t>2020-05-01 21:19:52</t>
        </is>
      </c>
      <c r="H743" t="inlineStr">
        <is>
          <t>Presumed Positive - From Doctor</t>
        </is>
      </c>
    </row>
    <row r="744">
      <c r="A744" t="inlineStr">
        <is>
          <t>gc0bnb</t>
        </is>
      </c>
      <c r="B744" t="inlineStr">
        <is>
          <t>TRUE</t>
        </is>
      </c>
      <c r="C744" t="inlineStr">
        <is>
          <t>https://www.reddit.com/r/COVID/comments/gc0awg/true/?utm_source=share&amp;amp;utm_medium=ios_app&amp;amp;utm_name=iossmf</t>
        </is>
      </c>
      <c r="D744" t="n">
        <v>1</v>
      </c>
      <c r="E744" t="n">
        <v>5</v>
      </c>
      <c r="F744">
        <f>HYPERLINK("https://www.reddit.com/r/COVID19positive/comments/gc0bnb/true/")</f>
        <v/>
      </c>
      <c r="G744" t="inlineStr">
        <is>
          <t>2020-05-01 21:26:05</t>
        </is>
      </c>
      <c r="H744" t="inlineStr">
        <is>
          <t>Tested Positive - Friends</t>
        </is>
      </c>
    </row>
    <row r="745">
      <c r="A745" t="inlineStr">
        <is>
          <t>gc0oir</t>
        </is>
      </c>
      <c r="B745" t="inlineStr">
        <is>
          <t>Day 49- feeling better!</t>
        </is>
      </c>
      <c r="C745" t="inlineStr">
        <is>
          <t>Just wanted to say that at 7 weeks in I’m starting to feel like a human again. I still have a low fever, but it’s not constant like it’s been for most of the time I’ve been ill. My breathing is much better- I only needed my inhaler once today. I even took a tiny walk today! This is the thing I’m most excited about because I live in Brooklyn and I was very scared to go outside. It’s almost impossible to stay a safe distance apart from people on the street and there are still people out without masks and smoking. I was even able to do some cleaning up in the kitchen just now! My temperature went up briefly but I’m ok otherwise. 
My biggest issue now is major fatigue. I’m sleeping tons, I guess because my body is now in repair mode instead of fight mode- at least that’s what I’m hoping. 
I really hope I’m getting better now. And I hope that I can give you hope if you’re still in the throes of this awful virus. It’s been a terrible 7 weeks and the scariest thing I’ve ever dealt with- and I’ve had a lot of health issues. But it seems like it does get better! So I will keep resting, drinking tons of water and trying to go outside. Hang in there if you’re still fighting!</t>
        </is>
      </c>
      <c r="D745" t="n">
        <v>1</v>
      </c>
      <c r="E745" t="n">
        <v>40</v>
      </c>
      <c r="F745">
        <f>HYPERLINK("https://www.reddit.com/r/COVID19positive/comments/gc0oir/day_49_feeling_better/")</f>
        <v/>
      </c>
      <c r="G745" t="inlineStr">
        <is>
          <t>2020-05-01 21:54:19</t>
        </is>
      </c>
      <c r="H745" t="inlineStr">
        <is>
          <t>Presumed Positive - From Doctor</t>
        </is>
      </c>
    </row>
    <row r="746">
      <c r="A746" t="inlineStr">
        <is>
          <t>gc0u3p</t>
        </is>
      </c>
      <c r="B746" t="inlineStr">
        <is>
          <t>Got a pretty weird “rash” and symptoms. My results were supposed to be ready today but they will be ready until tomorrow. Should I worry?</t>
        </is>
      </c>
      <c r="C746" t="inlineStr">
        <is>
          <t>Hello! I just want to get some reassurance if I should start looking for a plan B on several plans that actually were going to start this month.
I’m working from home since 2 months ago so I haven’t been going out as frequent as usual. I just leave my house to go to the store and do shopping or receive a delivery arriving to my house.
About around Monday I noticed like a “rash” on my leg, it didn’t hurt or was itchy, I just noticed that it was really red. I got a little bit concerned since I’m pretty allergic and it was completely different from the rashes I have had all my life.
That rash started turning purple and bigger, so on Wednesday my dad said that he was going to take me the next day to the hospital so I could get that rash checked and treated, and it was going to be fine.
I started Thursday as normal as usual but a terrible headache started, then earache and when I noticed I had 39 degrees of fever and a pretty sore throat. I was getting some paracetamol for the fever and my pains and I managed myself to finish my shift.
As soon as my shift was over, my mom run with me to the hospital. I explained that I had a weird rash which was my main reason of getting there. The nurse took my signs and I was at that moment over 38 degrees of fever but I could get down 39.
The nurse told me to wait outside for a doctor to call me, then a couple of minutes later she called me inside again and I was guided to like a “secret area” in where everyone was wearing lots of personal protection gear. 
A doctor came and she explained that she was going to check on me to know if I needed to get the Covid-19 test or if she had to send me antibiotics. She examined me and my ears and throat didn’t show any sign of a bacterial infection. So I got some blood tests to discard a bacterial infection and it actually happened!! So the doctor said that she wasn’t going to send me antibiotics and we proceed with taking the sample for my Covid-19 test.
I had to wait and I got some injections for my pain, the pharmacy prepared my medicines (basically more paracetamol) to take home and I was told that I had to be completely isolated in my room until today when the results should be ready.
Around 3pm at the time I was told that my results will be ready, I called the hospital to know if they were ready and to confirm my email address for getting the results and sending everything to my insurance. And I was told then that my results will be ready until SATURDAY in the afternoon.
I’m not worried at all about being sick, what worries me is that I need to know if I should consider other things, but my biggest worry is that I am supposed to start Uni in 1 week and classes will be online meanwhile, government let my university give classes inside their building. But if I’m infected then I will have to consider another university and 100% virtual classes to don’t expose anyone of getting infected too.
Thanks so much for all your comments!! 
I’m a 24 years old female &amp;amp; living in San Jose, Costa Rica :)</t>
        </is>
      </c>
      <c r="D746" t="n">
        <v>1</v>
      </c>
      <c r="E746" t="n">
        <v>4</v>
      </c>
      <c r="F746">
        <f>HYPERLINK("https://www.reddit.com/r/COVID19positive/comments/gc0u3p/got_a_pretty_weird_rash_and_symptoms_my_results/")</f>
        <v/>
      </c>
      <c r="G746" t="inlineStr">
        <is>
          <t>2020-05-01 22:06:52</t>
        </is>
      </c>
      <c r="H746" t="inlineStr">
        <is>
          <t>Presumed Positive - From Doctor</t>
        </is>
      </c>
    </row>
    <row r="747">
      <c r="A747" t="inlineStr">
        <is>
          <t>gc1apo</t>
        </is>
      </c>
      <c r="B747" t="inlineStr">
        <is>
          <t>I'm sick and tired of the dismissal by the general public!! M26/52 days never ending symptoms</t>
        </is>
      </c>
      <c r="C747" t="inlineStr">
        <is>
          <t>I've been the sickest I've ever been in my life at this point. Please see my post history for a full run down of symptoms and progression but basically I'm still having lung attacks where I can't breath more than 20% and my lungs feel like tire rubber. I'm having severe neurological issues that have essentially left me feeling brain damaged. If anyone knows of CFS/ME that's basically what I'm left with plus lung issues.
I'm unable to do anything but look after myself day to day. My business has gone out the window. I can't even manage to get out to do shopping at this point because I'm so dizzy/confused, physically weak and breathless. 
The UK is rife with no one taking this seriously with comments like "if you're over 45 you're fine and will experience a minor illness" I'm 26 was previously working out 5x a week and counting my diet intake including macros. I'm sorry but I was healthier than 80% of the general population so how can anyone assume saftey of any age. 
All that people are being shown is hospital deaths and admissions and it's being skewed towards older people. I've not had proper help from our national health service. Yesterday I asked my doctor for a CT scan referal as I'm not getting better at 52 days and still struggling to breathe like 'I can't talk need to save my breath' can't breath for hours on end. The doctor refused and said I'm not an emergency but she would refer me to a 'medically unexplained illness clinic' ... essentially a mental health department, what the fuck? 
I'm sick and tired of being ignored and hearing people laugh about this illness. It's been no joke for me. I'm sure at this point my life will never be the same. I'm not getting any better day to day.
Is anyone else experiencing the same dismissal and disbelief from those around them? 
Is anyone else still going on 8+ weeks dealing with this shit? 
*DO NOT suggest anxiety. I am categorically not anxious. You have more chance of breakfast with the pope. I do not want to hear your speculations. I am very ill; believe me diet and vitamins are not helping, I am trying all I can with my diet.*</t>
        </is>
      </c>
      <c r="D747" t="n">
        <v>1</v>
      </c>
      <c r="E747" t="n">
        <v>206</v>
      </c>
      <c r="F747">
        <f>HYPERLINK("https://www.reddit.com/r/COVID19positive/comments/gc1apo/im_sick_and_tired_of_the_dismissal_by_the_general/")</f>
        <v/>
      </c>
      <c r="G747" t="inlineStr">
        <is>
          <t>2020-05-01 22:45:27</t>
        </is>
      </c>
      <c r="H747" t="inlineStr">
        <is>
          <t>Tested Positive - Me</t>
        </is>
      </c>
    </row>
    <row r="748">
      <c r="A748" t="inlineStr">
        <is>
          <t>gc36vu</t>
        </is>
      </c>
      <c r="B748" t="inlineStr">
        <is>
          <t>Many Sacred Religion Books Have The Cure For The New Corona Virus NCOV</t>
        </is>
      </c>
      <c r="C748" t="inlineStr">
        <is>
          <t>**Many Sacred Religion Books Have The Cure For The New Corona Virus NCOV**  
Many sacred teaching in many religion books have talked and provided method to solve the problem related to virus. Example: the Bible, Quran, Torah, etc.  
You should not wait and trust the science and technology for they are limited and made from “unripe” material called as metals.  
You should not expect the “cure” come from the governments and authorities for they are not allowed to talk it directly even if they know it.  
Fasting like Ramadan will help you increase health overall.  
 Going for vegan diet for certain amount of day will also increase health and your intelligence.  
 I can guarantee that the % of people got “positive test” NCOV infected mostly from animal meat eater.  
 Where are the real detail statistics, oh wait the Government and authorities will never tell you !!!  
That is just few examples from religion teaching.  
 Instead of waiting for others, you guys better spend time do some research to increase your knowledge and health overall.  
The Corona Virus NCOV is not evil but humans are evil for they only blaming instead of take responsibility for their own action.  
Many sacred religion books are the gifts from “above” and they have much more real life knowledge than any man-made school education book.  
Wake up and experiment the magic of life.  
Best Regard,  
 **The Savior**
Source: **freejoy.aimoo.com**</t>
        </is>
      </c>
      <c r="D748" t="n">
        <v>1</v>
      </c>
      <c r="E748" t="n">
        <v>3</v>
      </c>
      <c r="F748">
        <f>HYPERLINK("https://www.reddit.com/r/COVID19positive/comments/gc36vu/many_sacred_religion_books_have_the_cure_for_the/")</f>
        <v/>
      </c>
      <c r="G748" t="inlineStr">
        <is>
          <t>2020-05-02 01:41:39</t>
        </is>
      </c>
      <c r="H748" t="inlineStr">
        <is>
          <t>Tested Positive</t>
        </is>
      </c>
    </row>
    <row r="749">
      <c r="A749" t="inlineStr">
        <is>
          <t>gc3edz</t>
        </is>
      </c>
      <c r="B749" t="inlineStr">
        <is>
          <t>I beat covid! ... but did it turn me into a asthmatic that’s very sensitive to pollutants?</t>
        </is>
      </c>
      <c r="C749" t="inlineStr">
        <is>
          <t>It’s been 43 days since my first symptom. I stopped needing albuterol treatments almost one week ago, that’s when I officially claimed victory.. I started exercising just one day after that and was pleased that my lungs still felt strong. But then covid said “not so fast”
Last night, I got  this crazy feeling, extremely hard to breathe as I laid in bed. It felt like I was having an asthma attack. I checked the allergens (I suffer from seasonal allergies)  and NOTHING. But I did notice that there was a ozone warning in affect for 24 hours. I had never been affected by these ozone warnings, so this is a bit worrisome to me that all the sudden this is causing a full blown asthma attack. I was battling it most of the night and It was on and off through the day ...I went back to the nebulizer but it’s not doing it much justice. Has anyone else felt they may have turned more sensitive (or  even asthmatic) after having a severe battle with covid and recovering? Anyone in the field have thoughts on this? 
Thanks!
Texas</t>
        </is>
      </c>
      <c r="D749" t="n">
        <v>1</v>
      </c>
      <c r="E749" t="n">
        <v>20</v>
      </c>
      <c r="F749">
        <f>HYPERLINK("https://www.reddit.com/r/COVID19positive/comments/gc3edz/i_beat_covid_but_did_it_turn_me_into_a_asthmatic/")</f>
        <v/>
      </c>
      <c r="G749" t="inlineStr">
        <is>
          <t>2020-05-02 02:02:57</t>
        </is>
      </c>
      <c r="H749" t="inlineStr">
        <is>
          <t>Tested Positive - Me</t>
        </is>
      </c>
    </row>
    <row r="750">
      <c r="A750" t="inlineStr">
        <is>
          <t>gc4z2u</t>
        </is>
      </c>
      <c r="B750" t="inlineStr">
        <is>
          <t>Mostly symptom-free for almost a month, suddenly symptomatic again</t>
        </is>
      </c>
      <c r="C750" t="inlineStr">
        <is>
          <t>My timeline goes something like this:  
February 28-29: Probable exposure to virus on a long train ride and visit to the airport.  
March 4: Began self-isolating due to early recommendations for at-risk population.  (I'm asthmatic and I have antiphospholipid antibody syndrome, which is an autoimmune disorder that causes blood clots.)  
March 7: First started feeling a rattling in my right lung. Lung felt congested but cough was unproductive. Some wheezing, but didn't feel like an asthma attack. Also experienced shortness of breath, headaches, muscle aches (chest and neck), fatigue (difficulty sitting up and staying awake), and nausea (did not throw up). Symptoms continued and gradually worsened for over ten days. Never developed a fever, as far as I can tell. Treated symptoms with Mucinex, Albuterol nebulizer, Zinc, Vitamins C &amp;amp; D, and continued my usual daily doses of Advair, Singulair, Plavix, and Zyrtec. Also performed deep breathing exercises. Husband assisted with postural drainage and chest percussion.  
March 18: Doctor prescribed 3-day course of Azithromycin for presumed bronchitis after a telemedicine appointment. Lungs began to improve over the following week (no more rattling) but shortness of breath and aching around the lungs (probably muscle strain from labored breathing) continued.    
March 23: Took COVID-19 nasal test at a drive-thru facility.    
March 31: Test results returned negative for SARS-CoV-2, presumably because it took so long for me to get a test that I was recovered by then. Symptoms faded in the following weeks, with slight lingering cough.   
April 26: Developed a skin rash. Thought it was allergies and took Benadryl. Noticed a slight tickle in right lung.    
April 27: Noticed right lung felt congested and was rattling again. Cough remained unproductive. Breathing not as labored as it was last month but worsening over two days. Blood oxygen range between 89-99.  
April 29: Visited respiratory care clinic for physical examination. Doctor did not hear any crackling in my lungs but ordered COVID antibody test and chest x-ray.  
May 1: Antibody test returned negative for SARS-CoV-2 Antibody IgG and positive for SARS-CoV-2 Antibody IgM. Doctor believes this means I have an active infection and should remain isolated. (I have been isolated since March 4.)   
I have been unable to find a facility willing to perform a chest x-ray on a COVID patient. I was turned away at the hospital my doctor recommended. The staff at the main entrance told my husband to take me to the ER, ER told him they do not perform chest x-rays there and that I should not be admitted, staff at main entrance became hostile when my husband reported this to them and they called security over before I flagged him back to the car where I was waiting. When I called ahead to another facility, they said they're not performing chest x-rays on anyone right now.  
I am awaiting further instructions from my doctor, but in the meantime, I'm feeling pretty confused and hopeless. I don't understand why I'm having a flare-up after doing so well for so long. Even now, I'll be doing alright for a few hours then suddenly worsen, back and forth. I'm having some weird muscle twitches and I can't tell if those are related or not. I don't know where to go for a chest x-ray without being admitted to the hospital (I'm in Los Angeles, by the way), especially since we're in the weekend now and nothing's open.  
Is any of this familiar to anyone? Is it just going to keep getting worse?</t>
        </is>
      </c>
      <c r="D750" t="n">
        <v>1</v>
      </c>
      <c r="E750" t="n">
        <v>38</v>
      </c>
      <c r="F750">
        <f>HYPERLINK("https://www.reddit.com/r/COVID19positive/comments/gc4z2u/mostly_symptomfree_for_almost_a_month_suddenly/")</f>
        <v/>
      </c>
      <c r="G750" t="inlineStr">
        <is>
          <t>2020-05-02 04:32:24</t>
        </is>
      </c>
      <c r="H750" t="inlineStr">
        <is>
          <t>Tested Positive - Me</t>
        </is>
      </c>
    </row>
    <row r="751">
      <c r="A751" t="inlineStr">
        <is>
          <t>gc6umd</t>
        </is>
      </c>
      <c r="B751" t="inlineStr">
        <is>
          <t>Quarantine is going hard on my bf</t>
        </is>
      </c>
      <c r="C751" t="inlineStr">
        <is>
          <t>Hey guys! My bf and I both tested positive for Covid19. Were over the sickness itself but we're on personal quarantine (government is talking to everyone in our country that is positive personally). I'm not allowed to go outside until the 6th and he isn't until the 11th. 
He's always in a bad mood now and I don't know how to help him. I understand he wants to go outside but he's refusing any advice I give him and he doesn't want to talk.
I for an instance can't even leave my room, my family is distancing from me as they're all not positive while his whole family is positive.
I understand it's not easy for him as his flat is small but yet he has a whole flat and a balcony to use plus people to socialise with?
Told him he could go out with the dog (allowed) or paint or facetime his friends but he just doesn't want to.
I don't know how to help him but he's constantly in a bad mood and I miss him :/</t>
        </is>
      </c>
      <c r="D751" t="n">
        <v>1</v>
      </c>
      <c r="E751" t="n">
        <v>9</v>
      </c>
      <c r="F751">
        <f>HYPERLINK("https://www.reddit.com/r/COVID19positive/comments/gc6umd/quarantine_is_going_hard_on_my_bf/")</f>
        <v/>
      </c>
      <c r="G751" t="inlineStr">
        <is>
          <t>2020-05-02 06:55:08</t>
        </is>
      </c>
      <c r="H751" t="inlineStr">
        <is>
          <t>Tested Positive</t>
        </is>
      </c>
    </row>
    <row r="752">
      <c r="A752" t="inlineStr">
        <is>
          <t>gc7g24</t>
        </is>
      </c>
      <c r="B752" t="inlineStr">
        <is>
          <t>Timeline and List of Symptoms - 26F Presumed Positive</t>
        </is>
      </c>
      <c r="C752" t="inlineStr">
        <is>
          <t>I wanted to write this to help inform anyone who might be in a similar situation. Here’s my timeline from first onset and a list of symptoms. I have not been tested but I was officially diagnosed as positive by a doctor based on my symptoms – she said it’s highly unlikely that I don’t have it. They’re apparently only testing health care workers in my province so I’m not eligible. I just turned 26 and I’m quite healthy and fit with no risk factors. 
April 28: 
Woke up tired and feeling “off” with a slightly sore throat and swollen lymph nodes in my neck. I coughed every now and then but nothing serious. In the evening, I suddenly got *extremely* fatigued – it was difficult to stand up without support. At the same time, I developed severe muscle and joint pain. It was the worst in my lower back and legs. It was weird how rapid the onset was. The pain became so bad that I couldn’t sleep for hours and I also had the chills. I just couldn’t get warm.
April 29: Woke up with the same pain and the feeling that something was wrong. I had a dull headache and this weird pain behind my eyes. I could only look straight ahead; if I moved my eyes in any other direction it was extremely painful. I continued to feel like garbage throughout the day. Then during supper, I suddenly felt quite feverish and when I checked my temperature was 38.6 C/102 F. I called the COVID hotline to see if I could get tested, they said they’d get back to me. My condition kept getting worse from there; the fever, fatigue, and muscle/joint pain was unbearable. I went to lie down and I was unable to even get up to brush my teeth - it literally took me an hour to work up the strength to get back up and I had to hold on to the walls. After that it was basically a blur; I was in and out of sleep in a state of delirium, literally sopping wet with sweat. I’ve never produced that volume of sweat before. Just horrific. 
April 30: Woke up at 5 AM feeling like I’d been hit by a truck, I couldn’t get up to use the bathroom because it took too much effort. Small movements felt insurmountable. I was unable to smell temporarily despite having no congestion. Very weird sensation – luckily my smell came back shortly after. I woke up again at 7 still with a raging fever and with severe pain in my eyes, muscles, and joints - especially my back. I took a Tylenol at 7 and by 8 my symptoms had improved. I could get up fairly easily and my temperature was just below 38 C/100 F. I legitimately thought I was in the clear until the Tylenol wore off 4 hours later. All of my symptoms came back at the same time. This time the Tylenol couldn’t keep the fever down and it stayed at 39 C/102 F for the rest of the day. The room was warm and my skin was burning but I was still freezing. Truly unpleasant. I had another night like the previous night; in and out of sleep and waking up soaked in sweat. I could only sleep about 4 hours.
May 1: I’d woken up and taken a Tylenol in the night so I felt ok when I woke up. As soon as the meds wore off the symptoms came back. My fever stayed between 39-40 C/102-104 F all day. The Tylenol would take it down for a couple of hours but it would come right back up. During the time when it was highest I felt like I was dying; just completely unable to function. I also experienced some shortness of breath and chest tightness and just extreme fatigue. It was just a really tough day. I had a phone appointment with a doctor and I was diagnosed as officially positive - she’s certain I have it based on my symptoms. I was told to pay closest attention to the shortness of breath and chest pain and seek medical attention if they get worse. My throat was pretty sore and I started coughing more than before but still nothing serious. 
May 2: Woke up every hour last night in pain and sweating. Temperature was 39.5 C/103 F at 5 AM so I took a Tylenol and it helped significantly. I developed a weird sharp pain in my upper thigh that hurts a lot when I walk. Otherwise, today I’m able to move around more comfortably and the symptoms aren’t as severe. It could be because I’m taking Tylenol at regular intervals before things have a chance to get bad. My brain is also extremely foggy today and I feel a little dizzy and lightheaded.The eye pain and dull headache is still present - I can still only look straight ahead. The lack of sleep is also getting to me but it’s impossible to sleep properly with such discomfort. 
Overall, I’m very stressed about this diagnosis. I’ve taken the stay at home orders very seriously and I’ve been extremely cautious - I have not set foot in public in over 6 weeks so I really cannot believe I got it. I did not think this was a possibility because I've been so careful. My family members recently went to a grocery store that we later learned had confirmed positive employees so we’re guessing I caught it from them or from something they brought into the house like groceries or a package. Weirdly enough no one else in the house has symptoms, so either they’re positive and asymptomatic or they’ll get sick soon too. Very stressful. 
Taking Tylenol every 4 hours seems to be the key to keeping symptoms at bay so I’ll keep doing this and hope for the best. I really regret reading so many articles about people suddenly dying of strokes or young people without pre-existing conditions dying. What a nightmare. I hope everyone else is coping ok and that you all start feeling better as soon as possible. This virus sucks. 
A list of my symptoms:
* Severe muscle and joint pain, mostly in back, legs, feet, neck
* Intense pain behind eyes, can’t look up, down or to the side. Also burning eyes/feeling of pressure
* Extreme fatigue
* Sustained fever between 38-40 C/100-104 F
* Chills
* Persistent dull headache
* Intermittent shortness of breath and mild chest pain 
* Brief loss of smell
* Mild cough and stuffy nose
* Brain fog, difficulty thinking straight</t>
        </is>
      </c>
      <c r="D752" t="n">
        <v>1</v>
      </c>
      <c r="E752" t="n">
        <v>33</v>
      </c>
      <c r="F752">
        <f>HYPERLINK("https://www.reddit.com/r/COVID19positive/comments/gc7g24/timeline_and_list_of_symptoms_26f_presumed/")</f>
        <v/>
      </c>
      <c r="G752" t="inlineStr">
        <is>
          <t>2020-05-02 07:34:40</t>
        </is>
      </c>
      <c r="H752" t="inlineStr">
        <is>
          <t>Presumed Positive - From Doctor</t>
        </is>
      </c>
    </row>
    <row r="753">
      <c r="A753" t="inlineStr">
        <is>
          <t>gc8668</t>
        </is>
      </c>
      <c r="B753" t="inlineStr">
        <is>
          <t>Antibody test negative?</t>
        </is>
      </c>
      <c r="C753" t="inlineStr">
        <is>
          <t>Hey guys, if you checked my history, I’ve tested Covid on 3/25 and positive test came back 4/4. Been having fatigue, SOB, chest tightness/pain and aches for the entire time though it’s a lot better right now. I took an IGG anti-body test in CITYMD a few days ago and it came back negative though. Anyone else have the same thing?
And if you guys don’t know, CITYMD and some other urgent care is providing walk in antibody test for everyone at this point of time. They take a vial of blood instead of the finger prick one, and results takes a few days.</t>
        </is>
      </c>
      <c r="D753" t="n">
        <v>1</v>
      </c>
      <c r="E753" t="n">
        <v>24</v>
      </c>
      <c r="F753">
        <f>HYPERLINK("https://www.reddit.com/r/COVID19positive/comments/gc8668/antibody_test_negative/")</f>
        <v/>
      </c>
      <c r="G753" t="inlineStr">
        <is>
          <t>2020-05-02 08:20:30</t>
        </is>
      </c>
      <c r="H753" t="inlineStr">
        <is>
          <t>Tested Positive - Me</t>
        </is>
      </c>
    </row>
    <row r="754">
      <c r="A754" t="inlineStr">
        <is>
          <t>gc9p4q</t>
        </is>
      </c>
      <c r="B754" t="inlineStr">
        <is>
          <t>Foods i can't eat at all</t>
        </is>
      </c>
      <c r="C754" t="inlineStr">
        <is>
          <t>Apples - (This is sad, but of i eat this, my face goes numb, my lips tingle and im out of breath, insane heart pounding and numbness in chest, feels like im about to pass out)
Cheese/Dairy - this is bad dont be tempted (no ice cream or silk milk)
Nutrigrain bars - Cant eat these anymore
Pasta/RICE/Carbohydrates - ( holy shit THIS. this hurt so bad, white rice is bad don't eat it, too afraid to try basmati)
Right now i can only eat Raw carrots with almond butter, Corn on the cob(no sweet canned  corn)
Broccoli, veggied, mashed potatoes, small peice of salmon, oatmeal with no sugar)
I'm too afraid to try to eat now because every fucking time i feel faint, lung breathing becomes impossible and my chest pounds rapidly and it makes me unable to rest like im going through some heart racing panic attack near seizure episode. 
Idk if i have diabetes now or some high blood pressure but i cant eat sugar.  I'm a healthy college with no diabetics in my family, but now my urine is crystal clear like water and my mouth in dry. I'm so scared because my PCP doesn't do shit and i been to the hospital 4 times and they just send me home with no fucking help.  
I'm so hungry but I'm afraid to eat because its not worth the pain all day for 2-3 days. What do i do 🤕</t>
        </is>
      </c>
      <c r="D754" t="n">
        <v>1</v>
      </c>
      <c r="E754" t="n">
        <v>20</v>
      </c>
      <c r="F754">
        <f>HYPERLINK("https://www.reddit.com/r/COVID19positive/comments/gc9p4q/foods_i_cant_eat_at_all/")</f>
        <v/>
      </c>
      <c r="G754" t="inlineStr">
        <is>
          <t>2020-05-02 09:53:27</t>
        </is>
      </c>
      <c r="H754" t="inlineStr">
        <is>
          <t>Tested Positive</t>
        </is>
      </c>
    </row>
    <row r="755">
      <c r="A755" t="inlineStr">
        <is>
          <t>gca7kp</t>
        </is>
      </c>
      <c r="B755" t="inlineStr">
        <is>
          <t>Over the counter medications - a guide for discussions with your doctor (NOT medical advice)</t>
        </is>
      </c>
      <c r="C755" t="inlineStr">
        <is>
          <t>I am not a doctor and this is not medical advice. It's a collection of info gleaned from news articles. 
Possible Do's
* Famotidine - The heartburn medication is currently being studied as possibly helpful in fighting Covid 19. [article](https://www.cnbc.com/2020/04/28/heartburn-drug-trial-shows-reasonable-confidence-famotidine-could-help-treat-coronavirus-hospital-ceo-says-.html) 
* Melatonin - The sleep aid has been identified as a "possible adjuvant treatment" in one study. [article](https://www.sciencedirect.com/science/article/pii/S0024320520303313)
* Pedialyte - Just from personal experience, dehydration can be an issue with Covid-19. There is no harm in staying hydrated.
* Tylenol - No findings of adverse effects, to my knowledge.
* Vitamin C - A moderate amount of vitamin C supplementation may be a way to prevent COVID-19. [article](https://www.sciencedirect.com/science/article/pii/S0924857920300984)
* Vitamin D - A new observational study from the United States indicates that vitamin D insufficiency may play a significant role in the progression of COVID-19.[article](https://www.news-medical.net/news/20200429/Low-levels-of-vitamin-D-may-be-linked-to-severe-COVID-19.aspx)
* Zinc - Various scientific studies have shown zinc lozenges to be effective in shortening the misery phase of common colds (caused by non-Covid-19 coronaviruses).[article](https://www.uchealth.org/today/zinc-could-help-diminish-extent-of-covid-19/)
Possible Don'ts
* Dextromethorphan - While not confirmed, one group of researchers found it worsened Covid-19 symptoms. [article](https://www.nytimes.com/2020/04/30/health/coronavirus-antiviral-drugs.html?algo=identity&amp;amp;fellback=false&amp;amp;imp_id=612831872&amp;amp;imp_id=519407426)
* Ibuprofen - It's controversial, but initially the World Health Organization recommended against Ibuprofen, before walking it back. [article](https://www.healthline.com/health-news/what-to-know-about-ibuprofen-and-covid-19)</t>
        </is>
      </c>
      <c r="D755" t="n">
        <v>1</v>
      </c>
      <c r="E755" t="n">
        <v>6</v>
      </c>
      <c r="F755">
        <f>HYPERLINK("https://www.reddit.com/r/COVID19positive/comments/gca7kp/over_the_counter_medications_a_guide_for/")</f>
        <v/>
      </c>
      <c r="G755" t="inlineStr">
        <is>
          <t>2020-05-02 10:24:10</t>
        </is>
      </c>
      <c r="H755" t="inlineStr">
        <is>
          <t>Tested Positive - Me</t>
        </is>
      </c>
    </row>
    <row r="756">
      <c r="A756" t="inlineStr">
        <is>
          <t>gcaa97</t>
        </is>
      </c>
      <c r="B756" t="inlineStr">
        <is>
          <t>This is really wearing me down</t>
        </is>
      </c>
      <c r="C756" t="inlineStr">
        <is>
          <t>It feels endless. I’m so so so tired of this fever. Whenever it spikes, everything feels weird, like I’m loopy and confused, and my whole body hurts, just waves of full body pain. It’s starting to become a daily thing. My temp stays above 100 all day. I avoid Tylenol as much as I can until the pain and disorientation becomes intolerable, because if I took it to reduce fever most of the day, my liver would probably end up damaged. Wouldn’t want that. I don’t know how good it is to sit with a fever for so long, though.
I took a 10min walk the other night because I was desperate to feel some amount of normalcy, and the cool night air felt really really good, but I paid for it because the rest of the night and the entire next day, my whole body ached and my temp stuck around 101. Won’t be doing that again for a while.
8 weeks of this. I hate it. I *hate* it. 8 weeks of *fever*. No breaks. No good days. No waves of symptoms where I feel ok for a day or two. I’d be ok with the fever going away and just dealing with the fatigue and weakness. I think I could deal with that better. The fever sucks and it doesn’t stop. I’ve stopped feeling anxious about it a while ago. Now I’m just depressed, and that’s ok because this is depressing. My body isn’t able to do what it used to 2 months ago, and I’ve had a fever for so long, and I’m stuck in quarantine because I have to be fever free for 72hrs before I can go to the store and feel like I’m a person. It’s depressing, so being depressed is an appropriate emotional state for this. 
I’m trying to entertain myself the best I can, but there’s no substitute for human connection. I’m not an extroverted person, not a social butterfly in the least, but I’m not suited for prolonged isolation. I like being around select folk, like a partner or a friend, and giving/receiving hugs, or sitting close to someone on a couch, or hell, being in the same room as someone for longer than a few seconds. Just *one* person is fine. Seeing someone on a video call doesn’t help in the slightest. I don’t know what it is, but the actual physical presence of someone I want to be around is fulfilling enough, don’t even have to be interacting the whole time or anything. I need a gd hug, if anything. One hug a day from someone else would be great, like hug for a few seconds once a day, and then whoever can go somewhere else and leave me to my quarantining. It sounds silly, but thinking about it is like...really wonderful. 
I don’t want any advice. I’m taking a daily vitamin. I go outside every day and sit for a bit on the porch. I expose myself to the sun when the sun is out. I drink a lot of water. I’m not deficient on electrolytes. My bloodwork is fine. No pneumonia whatsoever. No bacterial infection. No bronchitis or sinusitis or whatever -itis. I’ve been to the ER. I’ve been to the clinic. There isn’t much else I can do. I’m sad. Thanks for listening to my sad rambling.</t>
        </is>
      </c>
      <c r="D756" t="n">
        <v>3</v>
      </c>
      <c r="E756" t="n">
        <v>107</v>
      </c>
      <c r="F756">
        <f>HYPERLINK("https://www.reddit.com/r/COVID19positive/comments/gcaa97/this_is_really_wearing_me_down/")</f>
        <v/>
      </c>
      <c r="G756" t="inlineStr">
        <is>
          <t>2020-05-02 10:28:41</t>
        </is>
      </c>
      <c r="H756" t="inlineStr">
        <is>
          <t>Tested Positive - Me</t>
        </is>
      </c>
    </row>
    <row r="757">
      <c r="A757" t="inlineStr">
        <is>
          <t>gcayc6</t>
        </is>
      </c>
      <c r="B757" t="inlineStr">
        <is>
          <t>Does anyone have sharp muscular pain, like a pinch, that comes and goes?</t>
        </is>
      </c>
      <c r="C757" t="inlineStr">
        <is>
          <t>I’ve gone through a pretty bad reactivation and I’m out the other side but I’m tired all the time and there’s a sharp pinch that comes and goes in different muscles. In my forearm just now, yesterday thigh, calves.</t>
        </is>
      </c>
      <c r="D757" t="n">
        <v>1</v>
      </c>
      <c r="E757" t="n">
        <v>39</v>
      </c>
      <c r="F757">
        <f>HYPERLINK("https://www.reddit.com/r/COVID19positive/comments/gcayc6/does_anyone_have_sharp_muscular_pain_like_a_pinch/")</f>
        <v/>
      </c>
      <c r="G757" t="inlineStr">
        <is>
          <t>2020-05-02 11:08:47</t>
        </is>
      </c>
      <c r="H757" t="inlineStr">
        <is>
          <t>Presumed Positive - From Doctor</t>
        </is>
      </c>
    </row>
    <row r="758">
      <c r="A758" t="inlineStr">
        <is>
          <t>gcdr17</t>
        </is>
      </c>
      <c r="B758" t="inlineStr">
        <is>
          <t>A month and counting: those with extra long COVID-19, please share what helps you!</t>
        </is>
      </c>
      <c r="C758" t="inlineStr">
        <is>
          <t>29F here, no previous health conditions.
On March 29th I got real bad back and neck stiffness, then on March 30th I got feverish (37.6-37.9), the fever lasted 2 days. Since then my symptoms include: 
-some coughing (especially in the morning, it disappeared about 2 weeks ago)
-pressure in my chest (constant pressure disappeared about 2 weeks ago though it still re-emerges sometimes)
-upper back/neck pain (real pain disappeared about a week ago, though some stiffness remains)
-shortness of breath (it comes it goes: as I’m typing this I definitely feel NOT ok with my breath)
-GI issues (unusually gassy sometimes + A LOT of burping)
-fatigue - it comes and goes as well: one minute I feel perfectly fine, and the next minute I feel exhausted
- some chills
- sometimes feeling heat in my face (no other ways to explain it-it’s kinda like the thing a city dweller feels after spending the whole day in the countryside)
-simply not feeling ok sometimes - as if I’m about to faint
The worst thing about all this is having no one to talk to. ER told me that I’m “just nervous”. Now my husband thinks so too. For the first couple of weeks he didn’t leave my side, always worried something really bad may happen to me, which exhausted him mentally. I’ve stopped discussing my symptoms with him since he had a major meltdown. I can’t tell my parents about this as well - I simply can’t put them through it. At first some doctors told me it can be a mild COVID-19 case, now (as so much time has passed) no one believes me, saying it’s just anxiety. So it’s just you, guys. 
I know there’re a lot of people who suffer from this thing for so long as well. Let’s share our experience - how are you coping with it? Is there ANYTHING that actually helped you? Some supplements, vitamins, maybe certain foods? At this point I’m ready to do anything!</t>
        </is>
      </c>
      <c r="D758" t="n">
        <v>1</v>
      </c>
      <c r="E758" t="n">
        <v>59</v>
      </c>
      <c r="F758">
        <f>HYPERLINK("https://www.reddit.com/r/COVID19positive/comments/gcdr17/a_month_and_counting_those_with_extra_long/")</f>
        <v/>
      </c>
      <c r="G758" t="inlineStr">
        <is>
          <t>2020-05-02 13:54:16</t>
        </is>
      </c>
      <c r="H758" t="inlineStr">
        <is>
          <t>Presumed Positive - From Doctor</t>
        </is>
      </c>
    </row>
    <row r="759">
      <c r="A759" t="inlineStr">
        <is>
          <t>gcfg0b</t>
        </is>
      </c>
      <c r="B759" t="inlineStr">
        <is>
          <t>Sense of smell</t>
        </is>
      </c>
      <c r="C759" t="inlineStr">
        <is>
          <t>Is it going to return?</t>
        </is>
      </c>
      <c r="D759" t="n">
        <v>1</v>
      </c>
      <c r="E759" t="n">
        <v>13</v>
      </c>
      <c r="F759">
        <f>HYPERLINK("https://www.reddit.com/r/COVID19positive/comments/gcfg0b/sense_of_smell/")</f>
        <v/>
      </c>
      <c r="G759" t="inlineStr">
        <is>
          <t>2020-05-02 15:37:56</t>
        </is>
      </c>
      <c r="H759" t="inlineStr">
        <is>
          <t>Tested Positive</t>
        </is>
      </c>
    </row>
    <row r="760">
      <c r="A760" t="inlineStr">
        <is>
          <t>gcgoxr</t>
        </is>
      </c>
      <c r="B760" t="inlineStr">
        <is>
          <t>Severe GI issues and high fever for 6 days...any other folks with similar experiences?</t>
        </is>
      </c>
      <c r="C760" t="inlineStr">
        <is>
          <t>My father has been having severe diarrhea, nausea and vomiting for 6 days straight. He is 64 years old and is a previous smoker and has high blood pressure issues. He had to travel for work within our country and has been at home in self isolation for over a week now. His fever peaks at 102 and has consistently been at 100-102 range when not on tylenol. He has been absolutely beaten down by this, complete exhaustion, barely can speak for more than a minute or so and sleeps for hours and hours a day. At the onset of fever, he has sever chills and full body aches -- his voice shakes and can barely speak. Received a negative on the IgG antibody test and we have STILL not received results for the COVID19 diagnostic test that he took 5 days ago. Given his symptoms, his doctor gave a presumed diagnosis of COVID-19. 
He has a minor infrequent cough and no other respiratory symptoms. Consistently his oxygen levels have been at 97%-98% via a pulse oximeter. We have been trying to make sure he is replenishing his electrolytes with Gatorade, Pedialyte, and non-dairy Glucerna/Ensure. He is struggling to eat any solid food. 
Has anyone experienced similar symptoms and can offer any additional information or suggestions for when to hospitalize? Any help or advice is greatly appreciated, thank you.</t>
        </is>
      </c>
      <c r="D760" t="n">
        <v>1</v>
      </c>
      <c r="E760" t="n">
        <v>8</v>
      </c>
      <c r="F760">
        <f>HYPERLINK("https://www.reddit.com/r/COVID19positive/comments/gcgoxr/severe_gi_issues_and_high_fever_for_6_daysany/")</f>
        <v/>
      </c>
      <c r="G760" t="inlineStr">
        <is>
          <t>2020-05-02 16:57:54</t>
        </is>
      </c>
      <c r="H760" t="inlineStr">
        <is>
          <t>Presumed Positive - From Doctor</t>
        </is>
      </c>
    </row>
    <row r="761">
      <c r="A761" t="inlineStr">
        <is>
          <t>gck9ja</t>
        </is>
      </c>
      <c r="B761" t="inlineStr">
        <is>
          <t>Sharing an apartment presumed positive</t>
        </is>
      </c>
      <c r="C761" t="inlineStr">
        <is>
          <t>Hey guys, I want to start this out by stating that we haven't been tested, but were calling a spade a spade and assuming we are both positive. My girlfriend can't taste anything and has a low grade fever and sore throat. I've got a bit of a sore throat and a on again off again headache. This started on either Tuesday or Wednesday. We are both in our 20s so we will be just fine, I was just wondering if anyone knew if viral load could be an issue with us both living in the same apartment right now. its a 1 bedroom, 1 bath, so there isn't really a way for us to section ourselves off from each other.</t>
        </is>
      </c>
      <c r="D761" t="n">
        <v>1</v>
      </c>
      <c r="E761" t="n">
        <v>6</v>
      </c>
      <c r="F761">
        <f>HYPERLINK("https://www.reddit.com/r/COVID19positive/comments/gck9ja/sharing_an_apartment_presumed_positive/")</f>
        <v/>
      </c>
      <c r="G761" t="inlineStr">
        <is>
          <t>2020-05-02 21:05:47</t>
        </is>
      </c>
      <c r="H761" t="inlineStr">
        <is>
          <t>Presumed Positive - From Doctor</t>
        </is>
      </c>
    </row>
    <row r="762">
      <c r="A762" t="inlineStr">
        <is>
          <t>gckfs7</t>
        </is>
      </c>
      <c r="B762" t="inlineStr">
        <is>
          <t>Apparently Positive</t>
        </is>
      </c>
      <c r="C762" t="inlineStr">
        <is>
          <t>First of all, I'm so glad this sub exists.  The quarantine isolation was bad enough, but now that I'm sick, it's lonelier than ever. 
I'm 42M.  I have an underlying heart condition- arrhythmias.  I've been paranoid about catching the coronavirus  ever since I first heard about it, so I was social distancing to the max- staying home, ordering everything in, quarantining packages, washing groceries.  Then on Tuesday, I have a tachycardia attack.  The worst one in 10 years.  I couldn't breathe.  I was turning blue.  I couldn't talk.  I was on the verge of passing out.  So I had to call 911.  The paramedics offered me a mask, but I couldn't wear it because I couldn't even breathe without a mask, let alone with one.  The emergency room was packed with covid cases.  The halls were lined with them.  I was sharing a bathroom with them, and airspace.  When I stabilized, I did put a mask on, but even the masks aren't 100% airtight.  
That was 4 days ago, now I have a fever of 100.4.  I told my doctor, and he thinks I might be covid positive.  I'm just waiting to see if he can get me tested.  If not, I may go to the National Guard's testing facility. 
Being a pretty anxious dude under normal circumstances, if the virus doesn't kill me, the anxiety will.  
I'm not old, but I'm not young.  I'm not obese, but I'm the furthest thing from fit.  I don't smoke.  Rarely drink.  But I do have the underlying heart condition.  Anyone know what I can expect?  The range of symptoms, and their severity, is just crazy with this virus.  
Thanks for listening.</t>
        </is>
      </c>
      <c r="D762" t="n">
        <v>1</v>
      </c>
      <c r="E762" t="n">
        <v>37</v>
      </c>
      <c r="F762">
        <f>HYPERLINK("https://www.reddit.com/r/COVID19positive/comments/gckfs7/apparently_positive/")</f>
        <v/>
      </c>
      <c r="G762" t="inlineStr">
        <is>
          <t>2020-05-02 21:19:13</t>
        </is>
      </c>
      <c r="H762" t="inlineStr">
        <is>
          <t>Presumed Positive - From Doctor</t>
        </is>
      </c>
    </row>
    <row r="763">
      <c r="A763" t="inlineStr">
        <is>
          <t>gckga4</t>
        </is>
      </c>
      <c r="B763" t="inlineStr">
        <is>
          <t>Just got re-tested for the all clear to go back to work and.....</t>
        </is>
      </c>
      <c r="C763" t="inlineStr">
        <is>
          <t>I’m still positive. BOOOOOOO! 
Onset of sx: April 20.
Tested positive: April 20.
Re-test: April 30. 
I knew it was too soon damnit...</t>
        </is>
      </c>
      <c r="D763" t="n">
        <v>1</v>
      </c>
      <c r="E763" t="n">
        <v>22</v>
      </c>
      <c r="F763">
        <f>HYPERLINK("https://www.reddit.com/r/COVID19positive/comments/gckga4/just_got_retested_for_the_all_clear_to_go_back_to/")</f>
        <v/>
      </c>
      <c r="G763" t="inlineStr">
        <is>
          <t>2020-05-02 21:20:18</t>
        </is>
      </c>
      <c r="H763" t="inlineStr">
        <is>
          <t>Tested Positive - Me</t>
        </is>
      </c>
    </row>
    <row r="764">
      <c r="A764" t="inlineStr">
        <is>
          <t>gckx1n</t>
        </is>
      </c>
      <c r="B764" t="inlineStr">
        <is>
          <t>Just hit six weeks since I have showed symptoms.</t>
        </is>
      </c>
      <c r="C764" t="inlineStr">
        <is>
          <t>I stated feeling symptoms 6 weeks ago. I had a fever, chest tightness, body aches, GI issues, fatigue, and no smell/taste. The worst of the virus was the first 2-3 weeks.
However, once things got better and the fever/fatigue went away, I still had the other symptoms.
To this day I still get body aches, GI issues, and have limited smell/taste. Im better than I was but I haven’t been symptom free.
Why am I still having some symptoms after 6 weeks? My family recovered after 2-4 weeks. 
Any advice would help a lot.</t>
        </is>
      </c>
      <c r="D764" t="n">
        <v>1</v>
      </c>
      <c r="E764" t="n">
        <v>114</v>
      </c>
      <c r="F764">
        <f>HYPERLINK("https://www.reddit.com/r/COVID19positive/comments/gckx1n/just_hit_six_weeks_since_i_have_showed_symptoms/")</f>
        <v/>
      </c>
      <c r="G764" t="inlineStr">
        <is>
          <t>2020-05-02 21:58:35</t>
        </is>
      </c>
      <c r="H764" t="inlineStr">
        <is>
          <t>Tested Positive - Me</t>
        </is>
      </c>
    </row>
    <row r="765">
      <c r="A765" t="inlineStr">
        <is>
          <t>gcmyh3</t>
        </is>
      </c>
      <c r="B765" t="inlineStr">
        <is>
          <t>7 weeks and I’m debating if I go to the hospital or not. Will more exposure possibly make me worse? or the fact that I’ve already had this for 7 weeks mean it doesn’t matter ?</t>
        </is>
      </c>
      <c r="C765" t="inlineStr">
        <is>
          <t>This is driving me mad. I just can’t find enough evidence either way. I still feel crap, sometimes better but by this point I need to get some more tests done.</t>
        </is>
      </c>
      <c r="D765" t="n">
        <v>1</v>
      </c>
      <c r="E765" t="n">
        <v>14</v>
      </c>
      <c r="F765">
        <f>HYPERLINK("https://www.reddit.com/r/COVID19positive/comments/gcmyh3/7_weeks_and_im_debating_if_i_go_to_the_hospital/")</f>
        <v/>
      </c>
      <c r="G765" t="inlineStr">
        <is>
          <t>2020-05-03 01:08:52</t>
        </is>
      </c>
      <c r="H765" t="inlineStr">
        <is>
          <t>Presumed Positive - From Doctor</t>
        </is>
      </c>
    </row>
    <row r="766">
      <c r="A766" t="inlineStr">
        <is>
          <t>gcowk2</t>
        </is>
      </c>
      <c r="B766" t="inlineStr">
        <is>
          <t>Unable to sleep 22m</t>
        </is>
      </c>
      <c r="C766" t="inlineStr">
        <is>
          <t>I’m unable to sleep because of cotton mouth I also constantly vomit out water any tips to stop this from happening?</t>
        </is>
      </c>
      <c r="D766" t="n">
        <v>1</v>
      </c>
      <c r="E766" t="n">
        <v>7</v>
      </c>
      <c r="F766">
        <f>HYPERLINK("https://www.reddit.com/r/COVID19positive/comments/gcowk2/unable_to_sleep_22m/")</f>
        <v/>
      </c>
      <c r="G766" t="inlineStr">
        <is>
          <t>2020-05-03 04:15:22</t>
        </is>
      </c>
      <c r="H766" t="inlineStr">
        <is>
          <t>Tested Positive - Me</t>
        </is>
      </c>
    </row>
    <row r="767">
      <c r="A767" t="inlineStr">
        <is>
          <t>gcqtw0</t>
        </is>
      </c>
      <c r="B767" t="inlineStr">
        <is>
          <t>Day 17. My relationship to food has changed.</t>
        </is>
      </c>
      <c r="C767" t="inlineStr">
        <is>
          <t>My story is best summed up as this: I began having a dry cough and lost sense of smell / taste around two weeks ago. Docs said it was a good possibility that it was COVID, but there was no way to safely test me. With this, I also had persistent GI issues and shortness of breath. I was completely lightheaded, and felt as if I couldn’t do something as simple as walk to the kitchen without feeling as though I was taking in extra air. Complete vertigo came on as well.
I’m 22F, BMI 39, and about 5’7.
It’s been a good 16 days since the initial onset of a dry cough. While that and generally feeling awful cleared up around day 8, I’ve noticed that symptoms generally come on / back with certain foods. If I drink coffee, no matter how regularly I drink it, I become an anxious mess. I took a break from coffee for a while, drank a cup in the morning for three days when I began to feel better, and the result was always the same. When I cut coffee out, my anxiety left.
I’ve also noticed that eating foods with carbs tend to trigger symptoms. I had a couple of heavy meals this weekend, and now I am paying the price for it with persistent gas and waking up in a bit of a sweat. I got extremely scared when I woke up sweating this morning - I thought I developed a fever. I woke up with my temperature at baseline. I still have chills and GI troubles.
Anyone else’s relation to food completely change after the virus?</t>
        </is>
      </c>
      <c r="D767" t="n">
        <v>1</v>
      </c>
      <c r="E767" t="n">
        <v>22</v>
      </c>
      <c r="F767">
        <f>HYPERLINK("https://www.reddit.com/r/COVID19positive/comments/gcqtw0/day_17_my_relationship_to_food_has_changed/")</f>
        <v/>
      </c>
      <c r="G767" t="inlineStr">
        <is>
          <t>2020-05-03 06:45:25</t>
        </is>
      </c>
      <c r="H767" t="inlineStr">
        <is>
          <t>Presumed Positive - From Doctor</t>
        </is>
      </c>
    </row>
    <row r="768">
      <c r="A768" t="inlineStr">
        <is>
          <t>gcqxez</t>
        </is>
      </c>
      <c r="B768" t="inlineStr">
        <is>
          <t>Presumed positive yesterday. Test tomorrow. Question on how to know what day we are on?</t>
        </is>
      </c>
      <c r="C768" t="inlineStr">
        <is>
          <t>i gather that days 7 - 14 are the big days.  I’ve had odd leg pain on and off for... I’m not sure, a little while.  Still do now, but more severe, so would that mean I’m already in my second week, or do you count from when you got sick?  I’m either on dat 6(clearly sick) or day 13.
I know this hardly matters just nervous.  Wife still hasn’t showed any symptoms yet, so I am very thankful for that.  Hope everybody is enjoying their Sunday, G-d bless.</t>
        </is>
      </c>
      <c r="D768" t="n">
        <v>1</v>
      </c>
      <c r="E768" t="n">
        <v>3</v>
      </c>
      <c r="F768">
        <f>HYPERLINK("https://www.reddit.com/r/COVID19positive/comments/gcqxez/presumed_positive_yesterday_test_tomorrow/")</f>
        <v/>
      </c>
      <c r="G768" t="inlineStr">
        <is>
          <t>2020-05-03 06:53:07</t>
        </is>
      </c>
      <c r="H768" t="inlineStr">
        <is>
          <t>Presumed Positive - From Doctor</t>
        </is>
      </c>
    </row>
    <row r="769">
      <c r="A769" t="inlineStr">
        <is>
          <t>gcra6o</t>
        </is>
      </c>
      <c r="B769" t="inlineStr">
        <is>
          <t>Can’t tell if lingering symptoms or just me being stupid</t>
        </is>
      </c>
      <c r="C769" t="inlineStr">
        <is>
          <t>So I had coronavirus, started showing symptoms on March 31st, was sick for about 2 weeks, then felt completely better, except for one day where my fever and diarrhea briefly came back. It’s now been over a month and I’ve been feeling fine, so I decided to give myself a little stick and poke tattoo. I noticed while I was doing it that I felt lightheaded and lost circulation in my feet pretty easily. All week I’ve been dealing with losing circulation easily in my hands and feet, so I just put my foot back down and wiggled my toes, then continued. By the time I was done I was really shaky and dizzy and my heart rate was up. After that I drank water and rested, but when I tried to go to bed I still had a fast heart rate, and no matter how hard I tried to sleep, I just couldn’t. I ended up staying up all night with my heart pounding, feeling feverish occasionally and overall pretty gross. I also have a really dry mouth/throat even after drinking plenty of water. I don’t feel short of breath (and never really have with the virus) and other than being exhausted, I feel fine getting up and going about my day. I can’t tell if I’m still having COVID symptoms (since this is similar to what I felt when I had that one short flare up about a week ago), if this is from the tattoo (I’ve never really had issues with feeling sick while/after getting a tattoo and I have plenty of seedy stick and pokes), or if this is from a prolonged panic attack or a combination of those things. I’d just like some reassurance, really, especially because I’m set to go back to work on Thursday and risk losing my job if I need to take more time off.</t>
        </is>
      </c>
      <c r="D769" t="n">
        <v>1</v>
      </c>
      <c r="E769" t="n">
        <v>10</v>
      </c>
      <c r="F769">
        <f>HYPERLINK("https://www.reddit.com/r/COVID19positive/comments/gcra6o/cant_tell_if_lingering_symptoms_or_just_me_being/")</f>
        <v/>
      </c>
      <c r="G769" t="inlineStr">
        <is>
          <t>2020-05-03 07:14:10</t>
        </is>
      </c>
      <c r="H769" t="inlineStr">
        <is>
          <t>Tested Positive - Me</t>
        </is>
      </c>
    </row>
    <row r="770">
      <c r="A770" t="inlineStr">
        <is>
          <t>gcrfla</t>
        </is>
      </c>
      <c r="B770" t="inlineStr">
        <is>
          <t>Covid19 Rollercoaster</t>
        </is>
      </c>
      <c r="C770" t="inlineStr">
        <is>
          <t>On March 16 I got my first symptoms: burning eyes, body aches, constricted breathing, brain fog, low grade fever. The next day my husband experienced his: burning eyes, head ache, body and joint aches, brain fog, sore throat, coughing. Over the course of about a week I could add head ache, sore throat, coughing, conjunctivitis, intense sweating, and an asthmatic response. My husband could add the conjunctivitis, a soaking sweating as well as loss of smell. Neither of us ever experienced anything than more of a low grade fever, though. We saw and talked with Doctors. The flu was ruled out. Pneumonia was ruled out. There were not enough Covid19 tests for either of us to be tested. After about a week a Doctor on the Covid line told me to presume I was positive. After about 2 weeks or so it seemed we were starting to get better. At about day 12 or 13 though, due to my history of having had allergy induced asthma (which had not been problematic for years) I was tested. It came back negative.  My asthma got much worse. Coughing got much worse. Then, when the inhaler failed to provide relief I was prescribed a nebulizer. When the nebulizer failed to provide relief I was prescribed a steroid inhaler. When the steroid stopped working effectively I was sent to a respiratory clinic and an X-ray determined that I had developed a large hernia that was pressing on my lung (probably due to the coughing). No signs of pneumonia, though, which was relieving.  Still, a few days later, “miraculously”, we felt well! We had some days of really feeling well again and thought we were over this thing. As far as the hernia, through doing manipulation exercises it was actually moved back into place. Things really started to feel like we were done with this whole ordeal. Then, it was beyond frustrating when the day came when we felt we were relapsing...sore throats, conjunctivitis, terrible fatigue, sweating was back. We have since been on this rollercoaster ride of ups and feeling hopeful and so much better and wrenching downs feeling rebounds of symptoms of primarily sore throat, conjunctivitis, fatigue, intense sweating. It is maddening how this thing just hasn’t let go of us. We will probably be tested for antibodies at some time and are hopeful that we might be loaded with them after all of this. 
I am very grateful for this group. It had been awful to feel “what is wrong with us?! Nobody else is having this much trouble!”  And worse, not even been certain to what extent we were being believed. I am sorry that for some of us this is such a beast. But, I do believe that we will beat it down in the end.</t>
        </is>
      </c>
      <c r="D770" t="n">
        <v>1</v>
      </c>
      <c r="E770" t="n">
        <v>0</v>
      </c>
      <c r="F770">
        <f>HYPERLINK("https://www.reddit.com/r/COVID19positive/comments/gcrfla/covid19_rollercoaster/")</f>
        <v/>
      </c>
      <c r="G770" t="inlineStr">
        <is>
          <t>2020-05-03 07:24:09</t>
        </is>
      </c>
      <c r="H770" t="inlineStr">
        <is>
          <t>Presumed Positive - From Doctor</t>
        </is>
      </c>
    </row>
    <row r="771">
      <c r="A771" t="inlineStr">
        <is>
          <t>gcsjvp</t>
        </is>
      </c>
      <c r="B771" t="inlineStr">
        <is>
          <t>Tested Positive for Antibodies!</t>
        </is>
      </c>
      <c r="C771" t="inlineStr">
        <is>
          <t>Some good (?) news; I got bloodwork done to test for coronavirus antibodies a few days ago at CityMD, and the test came back positive today! It’s very scary to know that I had the virus at some point, especially because my mother, who had pneumonia as a child, exhibited very similar symptoms around the same time; but we are both functioning at 100% now.
Around the end of March, I started feeling very sick- almost like the flu, but with weirder symptoms. Being the neurotic person that I am, I kept a very detailed Google docs open to log my symptoms by the hour, and I wanted to share so people can see another set of symptoms experienced. I shortened it for the sake of the post. I was tired and sick for about 2 weeks total, but the first week was when all the major symptoms showed.
Day 1: Began feeling a massive, throbbing headache, pressure in my head, mild body aches and chills. Body temperature going up. Hard to sleep; tossed and turned. 
Day 2: Woke up in the middle of the night with aches and chills. Still have immense pressure in head with icepick migraines. Slight cough, but no pressure in chest. Could not sleep. Progressively got worse throughout the day, even though there were moments I felt fine, like when I logged in for work and attended a dance livestream. Developed a high fever towards the evening. Felt nauseous and vomit-y. Lots of chills and aches, with a little bit of a cough. Took Tylenol throughout the day. Soaked through my shirt with sweat from fever. Did not catch any sleep. Super cranky at this point, wanted to fight coronavirus with my bare fists.
Day 3: Fever going down. Less headaches. Had severe diarrhea at this point; no food stayed down, and I felt like vomiting every time I sat down on the toilet. Felt a little pressure on my chest when I lied down, but this might have been placebo. No appetite at all. Cried a lot from feeling fatigued. Told myself to get over it and stop being so emotional over a virus.
Day 4: Migraines are mostly gone. A lot less head tension and pressure than a few days ago. Lost a total of 6 lbs from lack of food and constant diarrhea. This is the point where I lost my sense of smell and taste completely. I will never take smell and taste for granted again.
Day 5: Developed really painful canker sores in my mouth that prevented me from eating further. No fever or headaches at this point, and diarrhea seems to have stopped as well. 
It took until Day 10 to recover my sense of taste and smell, and for the sores in my mouth to go away. The whole time, I took a concoction of Tylenol and antibiotics to help with the pain. I don’t know if it helped, but it certainly did seem to relieve symptoms faster.  I lost a total of 7 lbs from this (although it bounced back just as quickly once I started being able to eat normally again). The presence of diarrhea made me think this was a stomach bug at first, but the loss of smell and taste definitely raised warning bells for me. Anyway, I’m glad that this was as bad as it got and I am looking into donating blood/plasma now that I know I have antibodies. Hopefully some good news comes out about the prospect of cures from antibodies!</t>
        </is>
      </c>
      <c r="D771" t="n">
        <v>1</v>
      </c>
      <c r="E771" t="n">
        <v>105</v>
      </c>
      <c r="F771">
        <f>HYPERLINK("https://www.reddit.com/r/COVID19positive/comments/gcsjvp/tested_positive_for_antibodies/")</f>
        <v/>
      </c>
      <c r="G771" t="inlineStr">
        <is>
          <t>2020-05-03 08:34:34</t>
        </is>
      </c>
      <c r="H771" t="inlineStr">
        <is>
          <t>Tested Positive - Me</t>
        </is>
      </c>
    </row>
    <row r="772">
      <c r="A772" t="inlineStr">
        <is>
          <t>gcszxf</t>
        </is>
      </c>
      <c r="B772" t="inlineStr">
        <is>
          <t>Husband/Wife we tested positive for COVID19, 1br apt, do we need to isolate from each other anymore?</t>
        </is>
      </c>
      <c r="C772" t="inlineStr">
        <is>
          <t>My wife is a first responder and showed symptoms a week after her shift in the COVID unit at her hospital. She literally treated 17 patients for 40hrs and spent all day in their rooms (feeding, changing, bathing them). Her positive result came in 3 days ago. She has been a mess of all week and has every single symptom except for shortness of breath so far.
My positive results came back today. I just have a fever and a bit of a stomach ache so far.
I have been diligent in isolating my wife in our room, sleeping on the couch and wearing PPE to leave food outside the door.
Question: now that I am positive, can we interact like we did before testing positive? Can she walk around the apartment and we both just quarantine normally now instead of freaking out and wiping down every inch every second since we’re both positive?</t>
        </is>
      </c>
      <c r="D772" t="n">
        <v>1</v>
      </c>
      <c r="E772" t="n">
        <v>25</v>
      </c>
      <c r="F772">
        <f>HYPERLINK("https://www.reddit.com/r/COVID19positive/comments/gcszxf/husbandwife_we_tested_positive_for_covid19_1br/")</f>
        <v/>
      </c>
      <c r="G772" t="inlineStr">
        <is>
          <t>2020-05-03 09:01:41</t>
        </is>
      </c>
      <c r="H772" t="inlineStr">
        <is>
          <t>Tested Positive - Me</t>
        </is>
      </c>
    </row>
    <row r="773">
      <c r="A773" t="inlineStr">
        <is>
          <t>gct84l</t>
        </is>
      </c>
      <c r="B773" t="inlineStr">
        <is>
          <t>My mom is going on 6 weeks of a fever. This is scary</t>
        </is>
      </c>
      <c r="C773" t="inlineStr">
        <is>
          <t>My mom is 58 and in good health. She has a normal BMI, blood pressure, no pre-existing conditions etc. She got sick at the end of March. It started with losing her smell. Then a low grade fever. She’s had all the classic symptoms relatively mildly. The cough has gone away and chest tightness has persisted, but it’s now very minimal. But the fever. She’s had a non-stop 99-100 degree fever for almost a month and a half. Her doctor had her tested for covid, but only recently so the doctor thinks that’s why it came back negative. Her blood work is normal including inflammation markers. They put her on an antibiotic just in case she had a secondary infection and it didn’t change anything. The fever really makes her feel like crap and it’s going on so long. I’m just hoping she gets better soon. You don’t hear about a fever being this persistent for this long. Has anyone else? After she is symptom free her doctor is going to get her antibody tested because she is so certain she has it.</t>
        </is>
      </c>
      <c r="D773" t="n">
        <v>1</v>
      </c>
      <c r="E773" t="n">
        <v>27</v>
      </c>
      <c r="F773">
        <f>HYPERLINK("https://www.reddit.com/r/COVID19positive/comments/gct84l/my_mom_is_going_on_6_weeks_of_a_fever_this_is/")</f>
        <v/>
      </c>
      <c r="G773" t="inlineStr">
        <is>
          <t>2020-05-03 09:14:59</t>
        </is>
      </c>
      <c r="H773" t="inlineStr">
        <is>
          <t>Presumed Positive - From Doctor</t>
        </is>
      </c>
    </row>
    <row r="774">
      <c r="A774" t="inlineStr">
        <is>
          <t>gcu1o4</t>
        </is>
      </c>
      <c r="B774" t="inlineStr">
        <is>
          <t>Has anyone had a similar experience?</t>
        </is>
      </c>
      <c r="C774" t="inlineStr">
        <is>
          <t>First off I want to state my father (58) was tested and it came back negative, but he is now presumed positive. His symptoms started with just a dry cough two weeks ago, which got worse and then he got tested. The test was negative but then he seemed to be getting better but two days ago he suddenly developed a fever, muscle pain, and weakness. The cough now seems more severe and he cannot talk without coughing, but he isn’t coughing constantly all day. I am concerned and not sure at which point we would need to take him to an urgent care or hospital. 
So far my mother (55) and I (20F) seem to be okay so far. I am concerned we all are sick and going to be severely sick in the near future. Has anyone had a family member have the same symptoms as my father, and if so how did it progress? Also if your whole family has been exposed to it, were you all very sick or were there varying levels between family members? We are taking every precaution and he is isolated but we were very likely exposed, because we thought he was fine due to the negative test and temporarily improving symptoms.</t>
        </is>
      </c>
      <c r="D774" t="n">
        <v>1</v>
      </c>
      <c r="E774" t="n">
        <v>3</v>
      </c>
      <c r="F774">
        <f>HYPERLINK("https://www.reddit.com/r/COVID19positive/comments/gcu1o4/has_anyone_had_a_similar_experience/")</f>
        <v/>
      </c>
      <c r="G774" t="inlineStr">
        <is>
          <t>2020-05-03 10:03:35</t>
        </is>
      </c>
      <c r="H774" t="inlineStr">
        <is>
          <t>Tested Positive - Family</t>
        </is>
      </c>
    </row>
    <row r="775">
      <c r="A775" t="inlineStr">
        <is>
          <t>gcx1dr</t>
        </is>
      </c>
      <c r="B775" t="inlineStr">
        <is>
          <t>I wish they created centres for long term positive symptoms free</t>
        </is>
      </c>
      <c r="C775" t="inlineStr">
        <is>
          <t>I can't take it no more.
Still positive at day 54. No symptoms.
Have to self isolate in my apartment alone.
I would pay anything to go in a center and socialize with other people in my same situation.
Why nobody talks about this?</t>
        </is>
      </c>
      <c r="D775" t="n">
        <v>1</v>
      </c>
      <c r="E775" t="n">
        <v>28</v>
      </c>
      <c r="F775">
        <f>HYPERLINK("https://www.reddit.com/r/COVID19positive/comments/gcx1dr/i_wish_they_created_centres_for_long_term/")</f>
        <v/>
      </c>
      <c r="G775" t="inlineStr">
        <is>
          <t>2020-05-03 12:55:59</t>
        </is>
      </c>
      <c r="H775" t="inlineStr">
        <is>
          <t>Tested Positive - Me</t>
        </is>
      </c>
    </row>
    <row r="776">
      <c r="A776" t="inlineStr">
        <is>
          <t>gcxn8o</t>
        </is>
      </c>
      <c r="B776" t="inlineStr">
        <is>
          <t>These antibody tests are garbage. Positive one day, negative the very next day.</t>
        </is>
      </c>
      <c r="C776" t="inlineStr">
        <is>
          <t>I was on a list for instant antibody test for about 2 weeks. Thursday I had an opportunity to get a test done from another place so I did. 
Came back positive for IGM but not IGG. 
Which ok I guess. 
My doctor is positive I had it at the end of February, so am I.  I checked every single box, fever, insane cough, breathing problems, not responsive to antibiotic or steroids, developed  pneumonia, lost all sense of smell. It ripped through my entire house at the same time.  
I though it was weird that I only had IGM this much later.
So Friday, one day later my other tests come in so I keep the appointment and think why the hell not. Took my daughter with me. She was just as sick as me in February.  
Both negative for both IGG and IGM. 
Both test were the instant pregnancy type.  
I don't think they work.</t>
        </is>
      </c>
      <c r="D776" t="n">
        <v>1</v>
      </c>
      <c r="E776" t="n">
        <v>27</v>
      </c>
      <c r="F776">
        <f>HYPERLINK("https://www.reddit.com/r/COVID19positive/comments/gcxn8o/these_antibody_tests_are_garbage_positive_one_day/")</f>
        <v/>
      </c>
      <c r="G776" t="inlineStr">
        <is>
          <t>2020-05-03 13:31:36</t>
        </is>
      </c>
      <c r="H776" t="inlineStr">
        <is>
          <t>Tested Positive - Me</t>
        </is>
      </c>
    </row>
    <row r="777">
      <c r="A777" t="inlineStr">
        <is>
          <t>gcyt8a</t>
        </is>
      </c>
      <c r="B777" t="inlineStr">
        <is>
          <t>Positive sent Home after 3 days in hospital now a wreck</t>
        </is>
      </c>
      <c r="C777" t="inlineStr">
        <is>
          <t>39m, no underlying conditions, sick only once in the last 13 years. Have to summarize my experience. 
So this last Tuesday I felt a tickle in my throat. It escalated continually, but without much of a fever at all, till Thursday morning when I felt very dizzy, like right before fainting, but not fainting. Shallow, fast breathing. Collapsed in the hallway, threw up, sweating profusely, both hands tingled then went numb and tensed up like claws. Feet went numb soon after, then legs and arms. Couldn’t move. No control. Panic. I think I am dying and my 9yo is witnessing it. Ambulance. Emergency Room. Positive for Covid19. Good oxygen saturation. Thinking about a will, and not even seeing my kids and wife again before I die slowly.
During my two nights there I never felt as bad again, sometimes completely healthy, most of the time one or two different symptoms. Not much sleep past 20min here and there. Sent home, with 4 weeks worth of anti coagulant shots, on third day since all blood tests after Thursday had come back good/excellent.
First day home, good, a little cold sweat. Slept great. Second day (today), stomach upset in the morning, then good, but tired. Around 9pm started feeling chest pain, both like a pressure and as something going on inside my lungs maybe. it escalates, maybe, might be me worrying. Very hard to not focus completely on the pain and scaring the hell out of myself.
I know about the roller coaster ride of symptoms, I know it gets worse in the mornings and evenings, but I also know that no one actually knows anything, it could come back worse, it could go away. So it’s like I’m running through every scenario and the ones that feel feasible are the ones where the whole ordeal starts over from the beginning and ends with me dying.
Wish there was a hotline to call, where I could talk to others who have gone through it all. That could calm me or just talk to me because I can’t stop worrying or worse. Reading post after post about people with severe symptoms after week 8 is not helping. 
Stay safe everyone, support anyone and everyone who needs it. And ask for help if you feel lost.</t>
        </is>
      </c>
      <c r="D777" t="n">
        <v>1</v>
      </c>
      <c r="E777" t="n">
        <v>80</v>
      </c>
      <c r="F777">
        <f>HYPERLINK("https://www.reddit.com/r/COVID19positive/comments/gcyt8a/positive_sent_home_after_3_days_in_hospital_now_a/")</f>
        <v/>
      </c>
      <c r="G777" t="inlineStr">
        <is>
          <t>2020-05-03 14:39:42</t>
        </is>
      </c>
      <c r="H777" t="inlineStr">
        <is>
          <t>Tested Positive - Me</t>
        </is>
      </c>
    </row>
    <row r="778">
      <c r="A778" t="inlineStr">
        <is>
          <t>gczigx</t>
        </is>
      </c>
      <c r="B778" t="inlineStr">
        <is>
          <t>Journal.</t>
        </is>
      </c>
      <c r="C778" t="inlineStr">
        <is>
          <t>Guess I thought I’d start a journal on here, many of these posts have been helpful in what to expect.  Doctor presumed positive yesterday.
I believe I am just finishing up day....6 or 7.  I’ll say 7 because it makes me feel better.
First week symptoms include: fizzing, stabbing pains in different parts of my body and felt heart attack.  Er said it was ok.  Odd dreams, breathing trouble, nausea, diarrhea, dry heave, maybe minor fever cough, burning throat/scratchy throat, ear ache, muscle twitches, weakness, fatigue , left eye pain, body pains(left arm pit, etc) tooth pain, neuropathy, fast heart beat.  Think that’s about everything, it all comes and goes besides fatigue.  I hope week 2 and 3 are ok!  My presentation of symptoms has me a bit worried, only in week one.  Wish me luck!  Have a good Sunday, god bless!</t>
        </is>
      </c>
      <c r="D778" t="n">
        <v>1</v>
      </c>
      <c r="E778" t="n">
        <v>11</v>
      </c>
      <c r="F778">
        <f>HYPERLINK("https://www.reddit.com/r/COVID19positive/comments/gczigx/journal/")</f>
        <v/>
      </c>
      <c r="G778" t="inlineStr">
        <is>
          <t>2020-05-03 15:22:11</t>
        </is>
      </c>
      <c r="H778" t="inlineStr">
        <is>
          <t>Presumed Positive - From Doctor</t>
        </is>
      </c>
    </row>
    <row r="779">
      <c r="A779" t="inlineStr">
        <is>
          <t>gd01xr</t>
        </is>
      </c>
      <c r="B779" t="inlineStr">
        <is>
          <t>Week 7 - mucus is back, blurry vision, sinus pain</t>
        </is>
      </c>
      <c r="C779" t="inlineStr">
        <is>
          <t>Im a 27F and was 100% symptom free (Minus red toes) for the entire month of April (tested positive March 24, last day of symptoms March 31) and now all of sudden it seems my mucus and chest tightness are starting to come back. It doesn’t feel as bad as before (yet) but it’s exactly the same feeling. I’m also definitely more tired every day, have blurry vision / tired eyes, and have an occasional sinus headache. I had the sinus pain before when I couldn’t taste or smell back in March, but the blurry vision is new. Is it possible I got it again? Or maybe it’s the 2nd wave of symptoms people were talking about? This is pretty crazy.</t>
        </is>
      </c>
      <c r="D779" t="n">
        <v>1</v>
      </c>
      <c r="E779" t="n">
        <v>36</v>
      </c>
      <c r="F779">
        <f>HYPERLINK("https://www.reddit.com/r/COVID19positive/comments/gd01xr/week_7_mucus_is_back_blurry_vision_sinus_pain/")</f>
        <v/>
      </c>
      <c r="G779" t="inlineStr">
        <is>
          <t>2020-05-03 15:55:23</t>
        </is>
      </c>
      <c r="H779" t="inlineStr">
        <is>
          <t>Tested Positive - Me</t>
        </is>
      </c>
    </row>
    <row r="780">
      <c r="A780" t="inlineStr">
        <is>
          <t>gd12gp</t>
        </is>
      </c>
      <c r="B780" t="inlineStr">
        <is>
          <t>Sneezing</t>
        </is>
      </c>
      <c r="C780" t="inlineStr">
        <is>
          <t>Does anyone else sneeze infrequently, but when they do, it brings relief for multiple symptoms at once? Weird.</t>
        </is>
      </c>
      <c r="D780" t="n">
        <v>1</v>
      </c>
      <c r="E780" t="n">
        <v>10</v>
      </c>
      <c r="F780">
        <f>HYPERLINK("https://www.reddit.com/r/COVID19positive/comments/gd12gp/sneezing/")</f>
        <v/>
      </c>
      <c r="G780" t="inlineStr">
        <is>
          <t>2020-05-03 17:00:44</t>
        </is>
      </c>
      <c r="H780" t="inlineStr">
        <is>
          <t>Presumed Positive - From Doctor</t>
        </is>
      </c>
    </row>
    <row r="781">
      <c r="A781" t="inlineStr">
        <is>
          <t>gd195y</t>
        </is>
      </c>
      <c r="B781" t="inlineStr">
        <is>
          <t>Possible second wave of symptoms: 1 week after “recovery”</t>
        </is>
      </c>
      <c r="C781" t="inlineStr">
        <is>
          <t>I thought felt my first symptoms of the virus around April 12. Was tired for a day, nasal congestion, some mucus back of my throat. That disappeared within the first two days, and from day 2-14 was lack of smell/taste with no cough or any symptoms. I tested positive the first week into my symptoms. 
So I got my smell back day 14 and have been feeling normal since. Now, 1 whole week after my recovery, I’m getting the random nasal congestion back and mucus when I woke up today. I thought the congestion/mucus at the beginning of my case was normal cold, but now I know what to look for bc I eventually tested positive.
My mom is also positive, and I recovered faster and better than her. Overall I thought I had a mild case, but wondering if this is “reactivation” of the virus or I could’ve caught it from her again (I help her take temps). I don’t know if my symptoms now could be bc I finally turned on the a/c in my house or what. Taste and smell is still here though. Sigh I don’t even know what a mild case is anymore if I’m gonna keep having it...guess I will have to keep watch extra longer now. I planned on getting an antibody test “symptom free” in couple of weeks.</t>
        </is>
      </c>
      <c r="D781" t="n">
        <v>1</v>
      </c>
      <c r="E781" t="n">
        <v>3</v>
      </c>
      <c r="F781">
        <f>HYPERLINK("https://www.reddit.com/r/COVID19positive/comments/gd195y/possible_second_wave_of_symptoms_1_week_after/")</f>
        <v/>
      </c>
      <c r="G781" t="inlineStr">
        <is>
          <t>2020-05-03 17:13:00</t>
        </is>
      </c>
      <c r="H781" t="inlineStr">
        <is>
          <t>Tested Positive - Family</t>
        </is>
      </c>
    </row>
    <row r="782">
      <c r="A782" t="inlineStr">
        <is>
          <t>gd25vk</t>
        </is>
      </c>
      <c r="B782" t="inlineStr">
        <is>
          <t>You can do it too.</t>
        </is>
      </c>
      <c r="C782" t="inlineStr">
        <is>
          <t>[if you are going through it](https://imgur.com/gallery/CmKcaM4)</t>
        </is>
      </c>
      <c r="D782" t="n">
        <v>1</v>
      </c>
      <c r="E782" t="n">
        <v>9</v>
      </c>
      <c r="F782">
        <f>HYPERLINK("https://www.reddit.com/r/COVID19positive/comments/gd25vk/you_can_do_it_too/")</f>
        <v/>
      </c>
      <c r="G782" t="inlineStr">
        <is>
          <t>2020-05-03 18:12:41</t>
        </is>
      </c>
      <c r="H782" t="inlineStr">
        <is>
          <t>Tested Positive - Me</t>
        </is>
      </c>
    </row>
    <row r="783">
      <c r="A783" t="inlineStr">
        <is>
          <t>gd277s</t>
        </is>
      </c>
      <c r="B783" t="inlineStr">
        <is>
          <t>Dad is on comfort care.</t>
        </is>
      </c>
      <c r="C783" t="inlineStr">
        <is>
          <t>For those following my story, thank you for all the wishes, prayers and good vibes. My father, Jesus Flores, received plasma Wednesday and it didn’t change his condition. He has been in the hospital for a month and been on the ventilator as well. As we speak my family is using facetime in the living room to talk him through til he passes. All he does is open his eyes and does not respond. They tried everything to get him to but he just won’t. A nurse with hospice care is continuing to give him morphine so he does not feel pain. Im locked in my room because i refuse to see my father that way. I dont want that to be my last memory, i made sure to say my goodbyes prior. He is 54 and no underlying conditions. My worst fear came true today and I’m in immense pain. A man who was in my life for all 22 years of my life is about to leave me..everyone stay safe and thank you all for following. ❤️</t>
        </is>
      </c>
      <c r="D783" t="n">
        <v>1</v>
      </c>
      <c r="E783" t="n">
        <v>97</v>
      </c>
      <c r="F783">
        <f>HYPERLINK("https://www.reddit.com/r/COVID19positive/comments/gd277s/dad_is_on_comfort_care/")</f>
        <v/>
      </c>
      <c r="G783" t="inlineStr">
        <is>
          <t>2020-05-03 18:15:21</t>
        </is>
      </c>
      <c r="H783" t="inlineStr">
        <is>
          <t>Tested Positive - Family</t>
        </is>
      </c>
    </row>
    <row r="784">
      <c r="A784" t="inlineStr">
        <is>
          <t>gd35zs</t>
        </is>
      </c>
      <c r="B784" t="inlineStr">
        <is>
          <t>Random heart rate spikes and neck/face pressure.</t>
        </is>
      </c>
      <c r="C784" t="inlineStr">
        <is>
          <t>Background
31M
Symptom Duration : 52 days 
No known prior health issues 
Most of my symptoms have cleared up and overall I’ve been feeling better however I have two symptoms that persists and have been troubling me. 
First is elevated heart rate (will hit the 90s) but more specifically my heart rate will randomly spike to 130+ from time to time, almost always when I’m at rest, doing nothing at all. Is this common? It doesn’t feel like a panic attack, I have no sense of dread or worry. I’m usually totally chill before it happens. 
Second, I feel a weird “pressure” in my neck face and ears. Specifically, it feels like the lymph nodes under my jaw are swollen alongside a persistent tension in my neck. It almost feels like I’m wearing a tight scarf and the pressure extends up into the ears. The best way I can describe it is imagine the blood pressure higher in your head than your body. It feels slightly like I’m bent over and then blood rushes to your head. That same feeling. This feeling is greatly enhanced when I have the above referenced heart rate spike. Feels like the throat closes up a bit as well. 
Anyone else having these issues?</t>
        </is>
      </c>
      <c r="D784" t="n">
        <v>1</v>
      </c>
      <c r="E784" t="n">
        <v>23</v>
      </c>
      <c r="F784">
        <f>HYPERLINK("https://www.reddit.com/r/COVID19positive/comments/gd35zs/random_heart_rate_spikes_and_neckface_pressure/")</f>
        <v/>
      </c>
      <c r="G784" t="inlineStr">
        <is>
          <t>2020-05-03 19:23:23</t>
        </is>
      </c>
      <c r="H784" t="inlineStr">
        <is>
          <t>Presumed Positive - From Doctor</t>
        </is>
      </c>
    </row>
    <row r="785">
      <c r="A785" t="inlineStr">
        <is>
          <t>gd38x4</t>
        </is>
      </c>
      <c r="B785" t="inlineStr">
        <is>
          <t>How long till I can see my girlfriend again?</t>
        </is>
      </c>
      <c r="C785" t="inlineStr">
        <is>
          <t>So her mom tested Positive and her whole family got sick. She only had symptoms like loss of smell and taste and a runny nose but it’s been 2 weeks or 14 days since initial symptoms and she feels better except the smelling part. I told her I want her to get tested before I see her again. I haven’t had contact with her at all in those times. Would it be fine to do things again with her on day 16 or should I wait for her to get tested?</t>
        </is>
      </c>
      <c r="D785" t="n">
        <v>1</v>
      </c>
      <c r="E785" t="n">
        <v>8</v>
      </c>
      <c r="F785">
        <f>HYPERLINK("https://www.reddit.com/r/COVID19positive/comments/gd38x4/how_long_till_i_can_see_my_girlfriend_again/")</f>
        <v/>
      </c>
      <c r="G785" t="inlineStr">
        <is>
          <t>2020-05-03 19:29:12</t>
        </is>
      </c>
      <c r="H785" t="inlineStr">
        <is>
          <t>Tested Positive - Friends</t>
        </is>
      </c>
    </row>
    <row r="786">
      <c r="A786" t="inlineStr">
        <is>
          <t>gd3rsr</t>
        </is>
      </c>
      <c r="B786" t="inlineStr">
        <is>
          <t>Okay I just want to help out for my fellow "Do I really have the virus or not?" folks.</t>
        </is>
      </c>
      <c r="C786" t="inlineStr">
        <is>
          <t>Im a foreign student studying in the UK. Since the UK went into lockdown, I've self isolated myself and only had deliveries and such. Never went out once. 
Everything felt fine until one day suddenly I get a sore throat. Gargled some saltwater and it went away. Again I get it the next day, took some paracetamol cuz apparently ibuprofen does jack shit against this virus. At this point I'm suspecting something but not fully convinced. 
Then I fucked up...
To catch up with Uni work I invited my friend over (who was and is fine btw) and we sat down across the table and did some work. The next day was particularly beautiful so I went for a jog and did some light exercises in the park. 
Then it started happening. My chest felt tight. I couldn't breathe. Sore throat. At this point I'm panicking. Holy shit, do I have the virus? How did I catch it? When did I catch it? 
I had a nasty flu back in February. All of the symptoms matched Covid-19 but my GP told me it wasn't the virus. Again the cases were much lower back then in the UK. Didn't get tested as well. 
But damn the flu almost killed me. Couldn't stop coughing and my taste and smell disappeared for a solid month. Mucus buildup was permanent. High fever gave me insomnia as well. 
Okay now back to the present day. I'm convinced that the flu was actually the virus itself. But due to lack of testing and the general chill atmosphere the UK was portraying, nobody panicked. But now I was. 
Called my GP and he told me to self isolate and get an appointment for testing ASAP. But I couldn't do the latter so I was fucked indefinitely. 
Okay here's the good news to you people who are going through the same scenario, presumably:
I am back home. Left the UK three days ago. Got tested yesterday and it came back negative. I was just feeling anxious about the whole thing and that maybe contributed to my chest and breathing problems. The flu was just a nasty flu thats it. Will get tested again in mid May. Will keep you guys updated.</t>
        </is>
      </c>
      <c r="D786" t="n">
        <v>1</v>
      </c>
      <c r="E786" t="n">
        <v>11</v>
      </c>
      <c r="F786">
        <f>HYPERLINK("https://www.reddit.com/r/COVID19positive/comments/gd3rsr/okay_i_just_want_to_help_out_for_my_fellow_do_i/")</f>
        <v/>
      </c>
      <c r="G786" t="inlineStr">
        <is>
          <t>2020-05-03 20:06:30</t>
        </is>
      </c>
      <c r="H786" t="inlineStr">
        <is>
          <t>Presumed Positive - From Doctor</t>
        </is>
      </c>
    </row>
    <row r="787">
      <c r="A787" t="inlineStr">
        <is>
          <t>gd55om</t>
        </is>
      </c>
      <c r="B787" t="inlineStr">
        <is>
          <t>My Mild Covid19 story</t>
        </is>
      </c>
      <c r="C787" t="inlineStr">
        <is>
          <t>Hello.  
The antibody test(IgG serology) I got at City MD for free suggested that I have antibodies for SARS-COV-2.  This is not necessarily a true positive nor can I assume I have immunity to reinfection for various reasons.
What were my symptoms?
Headaches starting March 12
Lost smell/taste March 20
Nose and Sinus Inflamed but no mucus or drip whatsoever Normally I get sinusistis often and there of buckets of postnatal drips. Yeah it’s nasty af. I was shocked that my nose was completely blocked but snotless and no clearing of the throat.
Cough- slightly? I used my inhaler more than normal during this time.  
No fever - but the weekend of March 20 I was extremely sleepy.  Not like “oh boy I am tired” like I could not NOT fall asleep and napped on and off. 
My roomates had no symptoms.  A close friend I hang with often had the same symptoms at the same time. 
I took allergra and Sudafed daily bc I believed I had allergies.  I stopped taking these on March 28 when I smelled garlic finally.  I stopped taking these and I was fine.. just the normal pollen Induced itchiness. I haven’t used my inhaler since April 5th or so...
Bio nerds: 
I am also on xolair which blocks IgE, this is regarded by some professionals as “immunosuppressive” however some say it would help with covid19 bc it can block interluekin 3/4 that can produces cytokines. 
I believe I got this disease when I rubbed my eyes on the subway on March 10.  But who knows. 12 years old cough in my face all year long. 
TL;DR:  City MD said I probably had corona-lite
AMA
I am a science nerd and I read medical journals for fun.  I am very in tune with my body and symptoms.  However I am not a doctor or medical so interpret with the appropriate level of skepticism.</t>
        </is>
      </c>
      <c r="D787" t="n">
        <v>1</v>
      </c>
      <c r="E787" t="n">
        <v>4</v>
      </c>
      <c r="F787">
        <f>HYPERLINK("https://www.reddit.com/r/COVID19positive/comments/gd55om/my_mild_covid19_story/")</f>
        <v/>
      </c>
      <c r="G787" t="inlineStr">
        <is>
          <t>2020-05-03 21:48:01</t>
        </is>
      </c>
      <c r="H787" t="inlineStr">
        <is>
          <t>Presumed Positive - From Test</t>
        </is>
      </c>
    </row>
    <row r="788">
      <c r="A788" t="inlineStr">
        <is>
          <t>gd5i18</t>
        </is>
      </c>
      <c r="B788" t="inlineStr">
        <is>
          <t>Leg pain</t>
        </is>
      </c>
      <c r="C788" t="inlineStr">
        <is>
          <t>I noticed so many people said leg pain.  Do we think it’s the actual virus or our bodies mad the we are suddenly sedentary?
I had leg pain in both legs - quads and chalie horses</t>
        </is>
      </c>
      <c r="D788" t="n">
        <v>1</v>
      </c>
      <c r="E788" t="n">
        <v>14</v>
      </c>
      <c r="F788">
        <f>HYPERLINK("https://www.reddit.com/r/COVID19positive/comments/gd5i18/leg_pain/")</f>
        <v/>
      </c>
      <c r="G788" t="inlineStr">
        <is>
          <t>2020-05-03 22:15:51</t>
        </is>
      </c>
      <c r="H788" t="inlineStr">
        <is>
          <t>Tested Positive - Me</t>
        </is>
      </c>
    </row>
    <row r="789">
      <c r="A789" t="inlineStr">
        <is>
          <t>gd5tfv</t>
        </is>
      </c>
      <c r="B789" t="inlineStr">
        <is>
          <t>My mom is slowly recovering, next person up on the virus watch list is my dad.</t>
        </is>
      </c>
      <c r="C789" t="inlineStr">
        <is>
          <t>Anyone who is dealing with family infections, I *feel* you. As the only child in the house with older parents, I constantly wake up in fear that they might not be okay a few weeks from now. I seem more scared than they are, it’s crazy. I tested positive first, my mom 2 weeks later, and my dad is yet to be positive but isn’t showing symptoms yet. He is still most likely positive. 
As I had the most mild case, I recovered within 14 days when I got my senses back. I never experienced a cough but my mom did. She was way more fatigue. Got the family pulse oximeter, forehead thermometer, zinc, etc. My dad watches a lot of foreign news stations and believes since he isn’t showing symptoms he’s okay, but I’m gonna still try to get him a test anyway. Masks and gloves do NOT prevent everything, I wish they understood that more. My mom tested positive a week ago but had some symptoms before. 
Most likely she’s around day 12 in that range. Has diabetes and her worse days we mainly the 7-9 range. No constant cough, just very fatigue. I hope it says a mild case, she says she’s feeling better but the news say diabetes people are largely at risk. I have noticed my dad cough more than usual while doing his daily activities, but he said he coughed like this before the virus even came around. I think he’s a little in denial but I hope to get him tested soon. 
If you guys have recovery families or mild cases within your families, when did you all start interacting again considering we can’t get a second test? Antibody test the only way to go??</t>
        </is>
      </c>
      <c r="D789" t="n">
        <v>1</v>
      </c>
      <c r="E789" t="n">
        <v>5</v>
      </c>
      <c r="F789">
        <f>HYPERLINK("https://www.reddit.com/r/COVID19positive/comments/gd5tfv/my_mom_is_slowly_recovering_next_person_up_on_the/")</f>
        <v/>
      </c>
      <c r="G789" t="inlineStr">
        <is>
          <t>2020-05-03 22:42:27</t>
        </is>
      </c>
      <c r="H789" t="inlineStr">
        <is>
          <t>Tested Positive - Family</t>
        </is>
      </c>
    </row>
    <row r="790">
      <c r="A790" t="inlineStr">
        <is>
          <t>gd67am</t>
        </is>
      </c>
      <c r="B790" t="inlineStr">
        <is>
          <t>My bf keeps hanging out with my older brother (even though my bf has been exposed to COVID) and my brother has a severe underlying condition. I’m worried</t>
        </is>
      </c>
      <c r="C790" t="inlineStr">
        <is>
          <t>My boyfriend and I are currently living together. He and I, in the past two weeks, have been exposed to COVID (I had a severe case and was in and out of the hospital and he was sick as well beforehand). My older brother and him are best friends. My older brother lives alone in an apartment nearby, but has been somewhat trying to self isolate during this pandemic due to his serious heart condition - known as brugada syndrome. If he were to get
sick, he’d be very high risk for complications. My boyfriend nevertheless has been hanging out with him, and dropping by. He says it’s because he misses him, but every time he does this I get so terrified and upset. I usually end up panicking and crying that they are increasing the risk of something bad happening to my brother. My brother thinks that because they wear masks together they’ll be fine, but they also smoke together and eat together (so they inevitably take off the mask). And my boyfriend has been lying to me about when he goes out and hangs out with him, so that I will calm down. But I always find out later :-/ I’m not sure what to do, I am very afraid.</t>
        </is>
      </c>
      <c r="D790" t="n">
        <v>1</v>
      </c>
      <c r="E790" t="n">
        <v>2</v>
      </c>
      <c r="F790">
        <f>HYPERLINK("https://www.reddit.com/r/COVID19positive/comments/gd67am/my_bf_keeps_hanging_out_with_my_older_brother/")</f>
        <v/>
      </c>
      <c r="G790" t="inlineStr">
        <is>
          <t>2020-05-03 23:15:18</t>
        </is>
      </c>
      <c r="H790" t="inlineStr">
        <is>
          <t>Tested Positive - Me</t>
        </is>
      </c>
    </row>
    <row r="791">
      <c r="A791" t="inlineStr">
        <is>
          <t>gd6vfe</t>
        </is>
      </c>
      <c r="B791" t="inlineStr">
        <is>
          <t>Starting week 8!</t>
        </is>
      </c>
      <c r="C791" t="inlineStr">
        <is>
          <t>Still have annoying GI noise and bloating, a slightly elevated heart rate, and tingling in both my feet. 
This seems like it will NEVER END!!</t>
        </is>
      </c>
      <c r="D791" t="n">
        <v>1</v>
      </c>
      <c r="E791" t="n">
        <v>24</v>
      </c>
      <c r="F791">
        <f>HYPERLINK("https://www.reddit.com/r/COVID19positive/comments/gd6vfe/starting_week_8/")</f>
        <v/>
      </c>
      <c r="G791" t="inlineStr">
        <is>
          <t>2020-05-04 00:13:36</t>
        </is>
      </c>
      <c r="H791" t="inlineStr">
        <is>
          <t>Presumed Positive - From Doctor</t>
        </is>
      </c>
    </row>
    <row r="792">
      <c r="A792" t="inlineStr">
        <is>
          <t>gd7luy</t>
        </is>
      </c>
      <c r="B792" t="inlineStr">
        <is>
          <t>SOB relapse after 6 weeks...what the hell is this?</t>
        </is>
      </c>
      <c r="C792" t="inlineStr">
        <is>
          <t>I haven't been tested so of course people may be sceptical, but I had a flu-like illness which turned to shortness of breath after 9-10 days and there's a plausible chain of transmission, also my wife had symptoms at the same time. Doctor certainly thinks it's highly likely.
I've been working under the assumption this is basically a nasty viral pneumonia, and the shortness of breath would just take 6-12 weeks to clear up (based on normal pneumonia recovery length, I'm not a doctor but I know that's pretty common). Personally I've had no other symptoms since day 12 except respiratory (cough and SOB) and everything I'd experienced was consistent with that.
But starting on Friday I started to get worse again. Today I'm having to take extra large breaths about every 3rd breath, and even lying down it's not completely normal. I'd say I'm back to being about 50-75% of where I was at my worse, whereas for the last 2 weeks I'd got back to being about 95% better (only real lingering symptom was a bronchial-sounding cough, and even that seemed to be getting better).
Now...is this consistent with pneumonia, i.e. 10 slow steps forward, about 8 quick ones back, even this far in? Or is something stranger going on with this illness? I just don't understand how lungs that are slowly recovering (but no longer infected, assuming they're not), can relapse to that degree. And the weirdest thing is, my lungs themselves don't feel that tight any more, the cough isn't that bad or anything, I just "need" to breathe extra heavily.
I've noticed my heart rate is up a bit too, which hasn't happened since the first couple of weeks. I'm wondering about heart stuff, which is apparently quite common with Covid.
Thanks everyone for reading anyway.</t>
        </is>
      </c>
      <c r="D792" t="n">
        <v>1</v>
      </c>
      <c r="E792" t="n">
        <v>27</v>
      </c>
      <c r="F792">
        <f>HYPERLINK("https://www.reddit.com/r/COVID19positive/comments/gd7luy/sob_relapse_after_6_weekswhat_the_hell_is_this/")</f>
        <v/>
      </c>
      <c r="G792" t="inlineStr">
        <is>
          <t>2020-05-04 01:18:34</t>
        </is>
      </c>
      <c r="H792" t="inlineStr">
        <is>
          <t>Presumed Positive - From Doctor</t>
        </is>
      </c>
    </row>
    <row r="793">
      <c r="A793" t="inlineStr">
        <is>
          <t>gdc7lv</t>
        </is>
      </c>
      <c r="B793" t="inlineStr">
        <is>
          <t>covid-19 has fucked up my last grade card for the year.</t>
        </is>
      </c>
      <c r="C793" t="inlineStr">
        <is>
          <t>What can i do about this? pretty straightforward, does anyone know if Covid-19 (USA) is a reason to not have my last grades counted? It is important for my college courses. I do have proof that i am ill with the virus. (Public High school student)</t>
        </is>
      </c>
      <c r="D793" t="n">
        <v>1</v>
      </c>
      <c r="E793" t="n">
        <v>8</v>
      </c>
      <c r="F793">
        <f>HYPERLINK("https://www.reddit.com/r/COVID19positive/comments/gdc7lv/covid19_has_fucked_up_my_last_grade_card_for_the/")</f>
        <v/>
      </c>
      <c r="G793" t="inlineStr">
        <is>
          <t>2020-05-04 07:05:42</t>
        </is>
      </c>
      <c r="H793" t="inlineStr">
        <is>
          <t>Tested Positive - Me</t>
        </is>
      </c>
    </row>
    <row r="794">
      <c r="A794" t="inlineStr">
        <is>
          <t>gdccpw</t>
        </is>
      </c>
      <c r="B794" t="inlineStr">
        <is>
          <t>Antibody test negative. What gives? Was it in my head?</t>
        </is>
      </c>
      <c r="C794" t="inlineStr">
        <is>
          <t>Hi there. I started suffering from Covid like symptoms at the beginning of April and had a zoom appointment with my doctor, and was diagnosed with likely Covid19. And I have to say, it was the roughest illness I have ever had and I was considering going to the ER more than once because I was so short of breath that I was getting very dizzy and I was afraid of suffocating in my sleep. 
While I never did develop a fever, my other symptoms included 
- very dry cough that still lingers to this day, was so bad that I had to use an inhaler
- gastrointestinal distress, food and drink that I used to have no issue with gave me, well, distress
- extreme fatigue on the worst days, I slept like 16 hours one day, but that could have been the z-pac I started taking
- chest tightness and pressure, like someone was sitting on my chest and I could not take a full breath 
- lower back pain
- headache
- swollen lymph nodes
I was sure I had it. I haven’t had to use an inhaler since I was a kid and had severe asthma. My husband took care of me and my 1 year old daughter for nearly 3 weeks.
My doctor offered me an antibody test a few days ago, and now it has come back negative. It was the one where they draw your blood and you get the results over email within a few days. I know none of you are doctors, but I can’t get it out of my head that I really didn’t have it, when I told my work and close family that I had the virus, I feel like a big liar and I’m still at risk. I almost wish I had never taken the test because I still would have practiced social distancing but maybe I placebo’d myself into making myself worse. I don’t know. Argh!</t>
        </is>
      </c>
      <c r="D794" t="n">
        <v>1</v>
      </c>
      <c r="E794" t="n">
        <v>14</v>
      </c>
      <c r="F794">
        <f>HYPERLINK("https://www.reddit.com/r/COVID19positive/comments/gdccpw/antibody_test_negative_what_gives_was_it_in_my/")</f>
        <v/>
      </c>
      <c r="G794" t="inlineStr">
        <is>
          <t>2020-05-04 07:14:22</t>
        </is>
      </c>
      <c r="H794" t="inlineStr">
        <is>
          <t>Presumed Positive - From Doctor</t>
        </is>
      </c>
    </row>
    <row r="795">
      <c r="A795" t="inlineStr">
        <is>
          <t>gdcmf7</t>
        </is>
      </c>
      <c r="B795" t="inlineStr">
        <is>
          <t>Blood test</t>
        </is>
      </c>
      <c r="C795" t="inlineStr">
        <is>
          <t>Hey guys.
So after 47 days of symptoms (all GI at this point) I had a blood test done last night (mom is a hero phlebotomist at a local hospital).
My liver enzymes are slightly elevated and my CRP is 0.52 which is a sign of inflammation. And my cholesterol is low.
I recently was running on the idea that my mag levels are low but the tests show normal levels. Still am supplementing 200mg a day.
Just wanted to know if anyone here had any abnormalities on their tests if they had them.</t>
        </is>
      </c>
      <c r="D795" t="n">
        <v>1</v>
      </c>
      <c r="E795" t="n">
        <v>3</v>
      </c>
      <c r="F795">
        <f>HYPERLINK("https://www.reddit.com/r/COVID19positive/comments/gdcmf7/blood_test/")</f>
        <v/>
      </c>
      <c r="G795" t="inlineStr">
        <is>
          <t>2020-05-04 07:30:52</t>
        </is>
      </c>
      <c r="H795" t="inlineStr">
        <is>
          <t>Tested Positive - Me</t>
        </is>
      </c>
    </row>
    <row r="796">
      <c r="A796" t="inlineStr">
        <is>
          <t>gdcutt</t>
        </is>
      </c>
      <c r="B796" t="inlineStr">
        <is>
          <t>Day 47 - Coronavirus out? Impact on cardiac health?</t>
        </is>
      </c>
      <c r="C796" t="inlineStr">
        <is>
          <t>Hi all,
I wanted to share an update from my case. I got the results from my test (nose swab), and it came back negative, without much surprise (it was taken on day 41). My symptoms are still there (fatigue, fever, oppression in the chest, headaches), although they seem to be diminishing slowly. I am wondering if this means that the virus is out of my body? Or if it just means it is not as active anymore, or was a false negative or something? They are not doing antibodies tests in my area, and my GP is pretty sure that I had (have?) indeed the coronavirus.
The only things that worry me now are the weird chest pains (mostly on the left side, not moving, and wakes me up at night), did any of you suffer from that one too? Do you know what are the signs that the virus had impact on your heart? For a bit of background, cardiac disease runs high in my family, so I am slightly anxious about them.
But anyway, keeping my fingers crossed that this is just my anxiety expressing itself and that I will be perfectly fine in a couple of days or a week or so. When that happens at least I'll know the virus is completely out!
Best wishes to you all and thanks for reading my post.</t>
        </is>
      </c>
      <c r="D796" t="n">
        <v>1</v>
      </c>
      <c r="E796" t="n">
        <v>26</v>
      </c>
      <c r="F796">
        <f>HYPERLINK("https://www.reddit.com/r/COVID19positive/comments/gdcutt/day_47_coronavirus_out_impact_on_cardiac_health/")</f>
        <v/>
      </c>
      <c r="G796" t="inlineStr">
        <is>
          <t>2020-05-04 07:44:33</t>
        </is>
      </c>
      <c r="H796" t="inlineStr">
        <is>
          <t>Presumed Positive - From Doctor</t>
        </is>
      </c>
    </row>
    <row r="797">
      <c r="A797" t="inlineStr">
        <is>
          <t>gdczkx</t>
        </is>
      </c>
      <c r="B797" t="inlineStr">
        <is>
          <t>Complete recovery (mild case)</t>
        </is>
      </c>
      <c r="C797" t="inlineStr">
        <is>
          <t>Just not a lot of people posting about recovery, so wanted to come back and say I’m fairly certain I’m completely over it. Had mild symptoms (headache, fatigue, mild chest discomfort, shakey nights) for 2 and a half weeks. Tested positive at 10days in. Couple day resurgence at week 3 but only lasted a day or two. Got my negative test at day 23, symptom free for over a week, went for a bike ride, feel great. Keep up the healthy practices and don’t get complacent and lazy. You’ll get through it everyone!</t>
        </is>
      </c>
      <c r="D797" t="n">
        <v>1</v>
      </c>
      <c r="E797" t="n">
        <v>98</v>
      </c>
      <c r="F797">
        <f>HYPERLINK("https://www.reddit.com/r/COVID19positive/comments/gdczkx/complete_recovery_mild_case/")</f>
        <v/>
      </c>
      <c r="G797" t="inlineStr">
        <is>
          <t>2020-05-04 07:52:22</t>
        </is>
      </c>
      <c r="H797" t="inlineStr">
        <is>
          <t>Tested Positive - Me</t>
        </is>
      </c>
    </row>
    <row r="798">
      <c r="A798" t="inlineStr">
        <is>
          <t>gdd91r</t>
        </is>
      </c>
      <c r="B798" t="inlineStr">
        <is>
          <t>COVID STORY ASKING FOR ADVICE</t>
        </is>
      </c>
      <c r="C798" t="inlineStr">
        <is>
          <t>my names jay in February I was at a music festival when I got back my father was unwell he was or is a taxi driver anyway I came home got on about my normal day to day work as I could see my father feeling a bit weak but not sick a week later I felt unwell when I started hearing about corona virus I rang the number locked myself away and was told to isolate so I did it felt like there was a war in my lungs like bombs dropping felt like really bad chest pain and breathing problems I was in bed I found myself very weak coughing and as I’m not well my father becomes the same but difference is I’m a 27 year old man and my father is over 50 he has ( sorry if I get this wrong I’m dyslexic ) diluted cardiomyopathy as me and him lay in bed 2/3 weeks later I’m up but my body is weak like it fought a war also not tested yet btw after telling the doc I was in another country at the start of feb I stayed isolated so as I’m starting to move I can see my father isn’t getting better but worse at the time this is going on it’s March 22nd I get a phone call from my boss to say I’m fired for not turning into a hr meeting when I’ve been told to self isolate I couldn’t get sick lines I couldn’t put others at risk even tho there was sick lines like I exsplained to my boss on March 23rd the company I worked for closed I put a appeal in but because of closer I won’t get word till it reopens again I’m currently jobless with no income my father can’t leave his room at this stage one night I heard him get up and cough in the bathroom my mother told me a hour or two later as I was still awake due to nightmares of car crash I had that it was blood he was coughing I went and checked on him and he said he wasn’t feeling well at all he was white in the face I asked him does he think he should go to the hospital he said yeah so the whole family is terrified my father gets in the ambulance us thinking it’s something to do with his heart condition my father tested positive for corona then he was told down there that In January he tested for being diabetic type two which my father knew nothing and was never told about he was so confused and scared at the same time he didn’t know what to think so he rings to tell us they are moving him into a covId ward all us at home r still self isolated he said in a chilling call a day or two later  that the doc says he has to breath on his own without using oxygen in the next  24 hours or he wont make it so we are telling him he can do it while on FaceTime to him that his wife two sons and grandchild need him as the call went on I said and what they say about being diabetic from January and my father said to me supposedly he’s not and was told he wasn’t diabetic me and my mother confused ended the phone call with my father it got to April my father and brothers birthday is on the same day in bits and me still recovering my mother asked me can u help me with your brothers 21st birthday present in the car ( no money broke worrying not only for my dad my brothers birthday my mother how we going to get money not seeing my child so much shit ) I walked out to help her in the car as I got round to the side of the car I seen a arm with my fathers tattoo on it in the passagnrr seat and there he was looking at me with a mask on on his birthday after being told if he didn’t recover in 24 hours he wasn’t going to make it my dad spent 78 hours in a covId ward with dilated cardiomyopathy a claim of a doctor that he was diabetic from January and his gp knew and then told of another doc he wasn’t and also covid19 I mean to see him sitting in that car I broke down in tears while my mum videoed and then I hugged my father brought him into the house. My brother unaware was in bed my father and brother share there birthday on the same day so we gather the family on zoom as we are self isolated and ask my brother to come down for his present while all the family thought they were coming on to wish my brother a happy 21st my mother said we are all going to see his present so while videoing my mother walked him into the living room we’re my father sat all us including everyone on zoom shared a emotional call off joy my father still barely able to speak much worse than he left explained that the nurses of the ward he was on came down made a Line and clapped him as he exited the hospital he told me about the morning he was realised on his birthday seeing a body bag of someone who was in the same ward just being drove away he said in that moment he thought he was never going to get to see any of us again so happy to get him home we got to work with the cleaning of the house while he isolated in the room he was sent home with just a mask we didn’t have a clue how to monitor him what we should do how do u check his blood pressure what if his thin breathing gets worse anyway me being in a kind of mind set we’re nothing has went right for me in the last five years quick recap I got my flat flooded by a tenant up the stairs my fiancé at the time was pregnant I worked three jobs living in her single bed finally after a long fight with housing ex over that my son has to be born for me to get any points of them even tho they made me basically homeless 9 months later it came to the best day of my life the birth of my son he was born after a really hard labour for my ex which that I will always show my love for. the only thing I could do now was provide a house a home and try and build my family I’m a very start to finish guy no in between we went from labour straight to the certificate center and got my childs certificate I dropped my fiancé to her mothers with the light of my life and then went into what I would call daddy mode I worked so hard three jobs and my rising own business I couldn’t get a mortgage due to past debt so I went straight to the housing with the certificate as I knew they were building property’s in the town my ex fiancé grew up and still we had to go for two months with a new born in a single bed I thought I was tired when I partied this was on a hole knew level I was feeding the child in my sleep hearing him every peep eventually housing contacted me to inform me that I successfully got one of the property’s so moved in straight away it was a blank canvis but I can see my fiancé isn’t like she used to be she’s yelling and angry annoyed at everything and everyone she didn’t want to pick floors wallpaper fridges freezers carpet anything she changed as I’m still working I put everything I had into building this home calling in favours from friends and family that without them I could never had done what was down the house was painted furnished floored within a week for the hole week I slept on the floor of the half built house no bed yet or anything while the ex had the child in her mums the house got up and running but I could see my fiancé wasn’t the same I googled a lot about her reactions towards the child me and everyone to that matter postnatal depression kept arising I tryed to understand it in many many forms of reading I would get calls while I’m work the childs not well u need to get home 3 in the morning get home now the childs sick I worked night shifts  day shifts and some weekends the housing building costed the ups of 15 grand which for me is a hell of lot of money my fiancé one morning handed me my son while I was working in a sales place I had to get a 7 am bus as I didn’t drive so I was up at half 6 my ex fiancé came down the stairs handed me my son who was about 5/6 months and jumped in another mans car outside my house i had to ring my boss and tell him I was so much all about being a good dad and being the best for him maybe I didn’t do enough for her that is just a we tale into that so i got depressed and because I wasn’t from her town her family made sure to let me no that it should be her in the house as her family lived in the street I sat for about three months with no job  and a gorgeous child who I just wanted to protect so I asked her if she’s signs to give me my son 3 a half days a week she can keep the house she made a deal moved into the house and never signed anything to give me my child for half the week her reasons was she will lose her benefit I moved to my mother and fathers I fought in court for three years maybe 4 with no job as I couldn’t afford the fees of going thru court when court passed I got my son for 2 and half days a week I got back to work straight away in new hopes of getting a mortgage after long struggles with depression I was doing well as vaulter in a big company things were looking up and then was in a horrible car crash that I have never recovered from mentally at nights it’s crazy I think it’s more that the guy who did it had his full beam and the hole way on my approach I pass this guy and go head first into a stock car in a dark road then the car with beams takes off did he know that the stock car was on my side of the road did he try and kill me all these unanswered questions that still play on me by the way I came into information that the guy who drove away is my ex’s uncle yeah crazy I know anyway months went by my back neck sleep bones felt so weak I couldn’t vault no more so I moved to a new job just driving I thought which was actually more labour for less money and all I kept thinking was move forward this is the job I was in up to 22nd March when they fired me..So my head with a sick father who’s out of work is layin in bed my mother out of work my brother and me and I’m 27 so I’m expected to be a provider days go on after my fathers birthdays and I could see him getting weaker and weaker instead of better the docs were ment to come out on a Friday and check on him but they didn’t have the equipment to come out to him on that Friday  night early hours we had to had to ring an ambulance my dad couldn’t lift his head his breathing was now a wezz his hand was laying there  hanging of the bed I was holding his hand he tryed to squeeze it back but it was like a child gripping ur finger I told him daddy we need to ring the ambulance he was trying to say no but he couldn’t talk I knew he could hear me he just couldn’t speak I thought I was losing my father there I broke I told him ur grandson needs u and I need u we still need to do something for him please daddy as I’m in bits holding my father my mother is outside crying waiting on the ambulance a concerned neighbour who works for the nhs was asking what he’s ate and drank which was next to nothing he could barely swallow so she ran in the house and lifted honey she said hear i soaked at in a bit of hot water try give him even a spoon full just to try get something in him so I’m trying to tell my dad the ambulance is coming I’m scarred so I’m telling him I’m not letting him go on his own I’m going to be with him but we have to go he’s grunting no but that wezz I’ve only ever heard in my grandmothers last breath who is his mother he also lost his father to cancer recently who were the best people anyone could ever meet my mother comes up the stairs and asked me to leave and wait on the ambulance as she could see my held back tears with water and honey my mother told my father he has to drink this and try a spoon of this I went out for a smoke while my younger brother was there we sat silently beside each other looking at the road that could potentially be the last time we see our father family gather in cars and concerned neighbours outside my mother came down the stairs and said he da said he’s not going my dad got really freaked out the last time he got put in hospital by getting told he might not make 24 hours the doc actually told him to tell the family to make preparations I said to my mum what hows he speaking I went up and there was my father with his eyes open telling me he’s not going I was in shock It was like he just found this new lease of life so the ambulance came up and ran tests on him to hear him talk to the ambulance man when he couldn’t even lift his head to me was so baffling I was asked to leave from the ambulance man and then he came down the stairs and I asked him how is he the doc says his breathing is better than it was when he first went into hospital that his blood pressure was fine we weee in shock the next day we found out that wa the doctor said to my daddy in hospital was true and he was diabetic they knew from January it’s now April and this is when he gets told I had to go get heart monitors sugar level reader everything my father is now on the mend but we are still recovering they usejng his antibodies to fight the virus but can someone give me advice on the firing of my job 
My fathers gp not telling him about being diabetic  and not bringing anyone to check on him a week later after testing positive for covId 
What help is out there 
I don’t know what to do I haven’t seen my son in weeks when I’ve only missed one week without seeing him his whole life my father is on the mend he inspired me to stop thinking of what the world owes me and instead of what I owe it if anyone can help I would much appreciate ur opinions much love stay safe   I am so afraid of posting this because this is actually the shortened version and I hope someone will read this I’m not making videos helping in the house trying to train my broken body again instead of just living with pain I’m trying to over come it and that’s all to the inspiration of my father not only battling covId but battling all odds against him im just looking for advice</t>
        </is>
      </c>
      <c r="D798" t="n">
        <v>1</v>
      </c>
      <c r="E798" t="n">
        <v>4</v>
      </c>
      <c r="F798">
        <f>HYPERLINK("https://www.reddit.com/r/COVID19positive/comments/gdd91r/covid_story_asking_for_advice/")</f>
        <v/>
      </c>
      <c r="G798" t="inlineStr">
        <is>
          <t>2020-05-04 08:07:03</t>
        </is>
      </c>
      <c r="H798" t="inlineStr">
        <is>
          <t>Tested Positive - Family</t>
        </is>
      </c>
    </row>
    <row r="799">
      <c r="A799" t="inlineStr">
        <is>
          <t>gddtjr</t>
        </is>
      </c>
      <c r="B799" t="inlineStr">
        <is>
          <t>Normal bloodwork COVID symptoms</t>
        </is>
      </c>
      <c r="C799" t="inlineStr">
        <is>
          <t>Hello everyone, I hope y’all are doing well! 
I started with having very bad heart palpitations about 23 days ago! A few days after that I started to feel dizzy or off balance as if I was being pushed in one direction. I also had a low grade fever that would go in the hundreds a few times but usually would stay low grade (99.7) the highest my temperature went was 102. I went to the hospital for my heart palpitations and they said everything was fine but to monitor it. (These palpitations lasted for a while.) for the past 23 days I’ve been having body aches like crazy. No cough just the fever and sometimes a itchy throat. Recently the chest pressure has been unbearable and I was also feeling pain in my upper back the chest pressure was very noticeable especially when I’m about to go to sleep or laying down. I went to the hospital again for this, my blood work came back normal, the took a ct scan and ekg! They diagnosed me with tachycardia which is crazy because I honestly was unaware that my heart was beating that fast. Now I’m on my 23rd day and my heart is still beating fast and I’m still having body aches. Since my blood work came back fine I am starting to wonder if this is even COVID ....</t>
        </is>
      </c>
      <c r="D799" t="n">
        <v>1</v>
      </c>
      <c r="E799" t="n">
        <v>10</v>
      </c>
      <c r="F799">
        <f>HYPERLINK("https://www.reddit.com/r/COVID19positive/comments/gddtjr/normal_bloodwork_covid_symptoms/")</f>
        <v/>
      </c>
      <c r="G799" t="inlineStr">
        <is>
          <t>2020-05-04 08:38:35</t>
        </is>
      </c>
      <c r="H799" t="inlineStr">
        <is>
          <t>Presumed Positive - From Doctor</t>
        </is>
      </c>
    </row>
    <row r="800">
      <c r="A800" t="inlineStr">
        <is>
          <t>gde3tb</t>
        </is>
      </c>
      <c r="B800" t="inlineStr">
        <is>
          <t>Is lost voice a sign of coronavirus?</t>
        </is>
      </c>
      <c r="C800" t="inlineStr">
        <is>
          <t>Hey so i’m 23 years old and have had a lowgrade fever and dry cough for a few days now...my voice has been gradually weakening and I woke up this morning with most of my voice gone. I video conferenced with my doctor on Saturday and he told me to just self isolate for now and to assume that I have the virus (I don’t have the means of transportation to get tested right now). I haven’t heard of laryngitis being a symptom of covid but have any of you experienced this?</t>
        </is>
      </c>
      <c r="D800" t="n">
        <v>1</v>
      </c>
      <c r="E800" t="n">
        <v>9</v>
      </c>
      <c r="F800">
        <f>HYPERLINK("https://www.reddit.com/r/COVID19positive/comments/gde3tb/is_lost_voice_a_sign_of_coronavirus/")</f>
        <v/>
      </c>
      <c r="G800" t="inlineStr">
        <is>
          <t>2020-05-04 08:54:13</t>
        </is>
      </c>
      <c r="H800" t="inlineStr">
        <is>
          <t>Presumed Positive - From Doctor</t>
        </is>
      </c>
    </row>
    <row r="801">
      <c r="A801" t="inlineStr">
        <is>
          <t>gde7p8</t>
        </is>
      </c>
      <c r="B801" t="inlineStr">
        <is>
          <t>Positive Antibody Test (never was tested for the virus) extremely mild case</t>
        </is>
      </c>
      <c r="C801" t="inlineStr">
        <is>
          <t>Hi all, I recently took an antibody test at CityMD because I was curious to know if I ever had the virus as I live in NYC. I felt what I thought was a mild cold after coming back from Miami on March 1st. My only symptoms were runny nose and sore throat for one day. Nothing else that would distinguish the virus from a common cold or cause me any alarm to go get tested. My symptoms went away fully around 5 days later. I did experience very mild SOB about 2 weeks ago but I think it was more related to anxiety about being cooped up inside vs a lingering effect from COVID-19. 
I went to get the antibody test last Wednesday evening and received my results yesterday as positive. I was quite relieved to know that I had already had such a mild case. I believe that CityMD uses the Abbott labs test which has been shown to be very accurate in identifying false positives. For context I’m a mid 20s male in good shape, work out regularly with a BMI of 24 and no underlying conditions. 
Stay safe everyone we can all beat this!</t>
        </is>
      </c>
      <c r="D801" t="n">
        <v>1</v>
      </c>
      <c r="E801" t="n">
        <v>111</v>
      </c>
      <c r="F801">
        <f>HYPERLINK("https://www.reddit.com/r/COVID19positive/comments/gde7p8/positive_antibody_test_never_was_tested_for_the/")</f>
        <v/>
      </c>
      <c r="G801" t="inlineStr">
        <is>
          <t>2020-05-04 09:00:07</t>
        </is>
      </c>
      <c r="H801" t="inlineStr">
        <is>
          <t>Tested Positive - Me</t>
        </is>
      </c>
    </row>
    <row r="802">
      <c r="A802" t="inlineStr">
        <is>
          <t>gdei5o</t>
        </is>
      </c>
      <c r="B802" t="inlineStr">
        <is>
          <t>I tested positive, unusual symptoms</t>
        </is>
      </c>
      <c r="C802" t="inlineStr">
        <is>
          <t>I did the test this weekend and they called me today to say I’m positive. My symptoms are pretty mild and kinda unusual I think. They started a week ago, they’re on and off headaches and dizziness, almost no coughing. Today I also feel like I have a little bit of a sore throat. Don’t hesitate to do the test if you can, I was pretty surprised by my positive result since I have no idea where I got it and my symptoms could have been totally unrelated to covid.
For those who tested positive, am I good after a week of mild symptoms or could it still get worst?</t>
        </is>
      </c>
      <c r="D802" t="n">
        <v>1</v>
      </c>
      <c r="E802" t="n">
        <v>5</v>
      </c>
      <c r="F802">
        <f>HYPERLINK("https://www.reddit.com/r/COVID19positive/comments/gdei5o/i_tested_positive_unusual_symptoms/")</f>
        <v/>
      </c>
      <c r="G802" t="inlineStr">
        <is>
          <t>2020-05-04 09:15:16</t>
        </is>
      </c>
      <c r="H802" t="inlineStr">
        <is>
          <t>Tested Positive - Me</t>
        </is>
      </c>
    </row>
    <row r="803">
      <c r="A803" t="inlineStr">
        <is>
          <t>gdf638</t>
        </is>
      </c>
      <c r="B803" t="inlineStr">
        <is>
          <t>Did/does anyone get a 'white' mucusy tongue during Covid waves?</t>
        </is>
      </c>
      <c r="C803" t="inlineStr">
        <is>
          <t>During attacks of throat/lung mucus congestion which I'm sure many of you have experienced, have you noticed your tongue going whiter than usual?
This first happened on day 6-7 and I've had it happen again in waves on day 20 and then day 40.</t>
        </is>
      </c>
      <c r="D803" t="n">
        <v>1</v>
      </c>
      <c r="E803" t="n">
        <v>11</v>
      </c>
      <c r="F803">
        <f>HYPERLINK("https://www.reddit.com/r/COVID19positive/comments/gdf638/diddoes_anyone_get_a_white_mucusy_tongue_during/")</f>
        <v/>
      </c>
      <c r="G803" t="inlineStr">
        <is>
          <t>2020-05-04 09:50:13</t>
        </is>
      </c>
      <c r="H803" t="inlineStr">
        <is>
          <t>Presumed Positive - From Doctor</t>
        </is>
      </c>
    </row>
    <row r="804">
      <c r="A804" t="inlineStr">
        <is>
          <t>gdfhti</t>
        </is>
      </c>
      <c r="B804" t="inlineStr">
        <is>
          <t>My grandfather got diagnosed, but his symptoms went away</t>
        </is>
      </c>
      <c r="C804" t="inlineStr">
        <is>
          <t>So my grandfather had mild symptoms for 4-5 days and then tested positive. Shortly before the test results came back, all the symptoms went away. Right now he's in the hospital just as a protocol and he's perfectly fine.
 I want to know what to expect for his condition. Does symptoms going away mean he's in the last phases of the virus? He's a 74 Male.
Thank you</t>
        </is>
      </c>
      <c r="D804" t="n">
        <v>1</v>
      </c>
      <c r="E804" t="n">
        <v>5</v>
      </c>
      <c r="F804">
        <f>HYPERLINK("https://www.reddit.com/r/COVID19positive/comments/gdfhti/my_grandfather_got_diagnosed_but_his_symptoms/")</f>
        <v/>
      </c>
      <c r="G804" t="inlineStr">
        <is>
          <t>2020-05-04 10:06:29</t>
        </is>
      </c>
      <c r="H804" t="inlineStr">
        <is>
          <t>Tested Positive - Family</t>
        </is>
      </c>
    </row>
    <row r="805">
      <c r="A805" t="inlineStr">
        <is>
          <t>gdfiu9</t>
        </is>
      </c>
      <c r="B805" t="inlineStr">
        <is>
          <t>Looking for hope - dad on vent for 40+ days</t>
        </is>
      </c>
      <c r="C805" t="inlineStr">
        <is>
          <t>I &amp;lt;a href=[https://www.reddit.com/r/COVID19\_support/comments/fxxi7l/dad\_on\_vent\_for\_over\_two\_weeks\_just\_got\_a\_scary/](https://www.reddit.com/r/COVID19_support/comments/fxxi7l/dad_on_vent_for_over_two_weeks_just_got_a_scary/)"&amp;gt;posted&amp;lt;/a&amp;gt; previously about my dad in another sub, but am moving over to this one as it seems to have more firsthand accounts. Here's his timeline so far - 
Prior to COVID-19 my dad in his late 60s was very healthy - worked out jumping rope 4 times a week - but did have interstitial lung disease and scarring in his lungs. He was functioning normally, but he did have a chronic cough. 
March 12 - started showing symptoms of COVID-19  
March 19 - admitted to hospital   
March 21 - received positive test result for COVID-19  
March 23 - intubated and put on ventilator   
April 10, 11, 15 - tested again for COVID-19, all three come back negative - though he's still in the COVID ICU at this point  
April 20 - transitioned to tracheostomy, still on vent. Throughout that week, he started to wake up and was practicing on pressure support and doing breathing trials, overall showing gradual improvements   
April 26 - dad went into septic shock (we think). His blood pressure went way down and they had to paralyze him and turn the vent back up to fio2 100% (it was previously at 35%). They changed all his lines and started him on broad-spectrum antibiotics, to which he responded fairly quickly, within 24 hours. Vitals have been stable since then   
May 3 - hospital calls us and tells us he's not waking up the way they want him to, did a CT scan of his brain to check for stroke/bleeding and don't see it which was a huge relief to us.
Today is May 4, about a week since his septic setback and I think his 43rd day on the ventilator. The staff at the hospital don't sound overly optimistic about his prognosis so really we are looking for any reasons to hope that he can come back from this. His fio2 is down to 40% now and his oxygen saturation is 98%. He also developed a low-grade fever today, his white blood cell count went up slightly, and his inflammation markers are up a bit as well, so we are scared about another potential infection :( 
Basically we are just really worried and looking for some support and hopeful stories that my dad can pull through. He is a super tough guy with a very strong will to live. We miss him like crazy in the house and just want him to come home. Thanks for reading if you made it this far.</t>
        </is>
      </c>
      <c r="D805" t="n">
        <v>1</v>
      </c>
      <c r="E805" t="n">
        <v>56</v>
      </c>
      <c r="F805">
        <f>HYPERLINK("https://www.reddit.com/r/COVID19positive/comments/gdfiu9/looking_for_hope_dad_on_vent_for_40_days/")</f>
        <v/>
      </c>
      <c r="G805" t="inlineStr">
        <is>
          <t>2020-05-04 10:08:03</t>
        </is>
      </c>
      <c r="H805" t="inlineStr">
        <is>
          <t>Tested Positive - Family</t>
        </is>
      </c>
    </row>
    <row r="806">
      <c r="A806" t="inlineStr">
        <is>
          <t>gdg11o</t>
        </is>
      </c>
      <c r="B806" t="inlineStr">
        <is>
          <t>27 days and I am worried</t>
        </is>
      </c>
      <c r="C806" t="inlineStr">
        <is>
          <t>My symptoms started of with heart palpitations after having heart palpitations, I went to the doctor for this and they said everything was fine! (EKG and bloodwork and chest X-ray was fine) I started to feel dizzy (off balance and swaying)  and ran a low grade fever. My body felt completely weak and I was not in the mood to do much despite me trying to be. I always wanted to be in my bed! I lost my appetite completely I’d try to eat but just couldn’t. I was drinking water like crazy and had one pedialyte and a few gatorades. My legs felt weak, my body was shaking, I could NOT sleep I also was getting jerks when I tried to sleep so I said okay this is anxiety despite me never experiencing anxiety like this. (I also work at a grocery store btw) the off balance feeling was everyday standing up or laying down. My chest has also had a weird pressure to it. My legs were tingling bad. After a few days of this mess I called my doctor and he said I should be self isolating and that it’s weird for it to be anything but COVID because flu season isn’t here anymore. It has been 23 days with most of these symptoms. Throughout I have to say my nose has been very dry and I somewhat feel like I can’t hear as well as I use to. Honestly everything is just dry. A few days ago the chest tightness was unbearable and i was experiencing upper back pain around where I think my kidneys are. I went to the hospital. (It still feels like same but the doctor said that everything looked fine.) I was experiencing tachycardia when I was at the hospital. (Got ct scan, blood work, and ekg) 
I’m starting to wonder if this is really COVID but staying safe since my doctor thinks it is. He told me I can’t go back to work until 7 days of no symptoms. 
I’ve been around my family but no one is showing symptoms. My mom did have weird hives though. My brother has experienced chest tightness a bit. 
Another big thing is I’ve had insane dreams since this has started 
Anyways came here to ask if anyone can relate to me and how you are dealing with this!</t>
        </is>
      </c>
      <c r="D806" t="n">
        <v>1</v>
      </c>
      <c r="E806" t="n">
        <v>17</v>
      </c>
      <c r="F806">
        <f>HYPERLINK("https://www.reddit.com/r/COVID19positive/comments/gdg11o/27_days_and_i_am_worried/")</f>
        <v/>
      </c>
      <c r="G806" t="inlineStr">
        <is>
          <t>2020-05-04 10:33:23</t>
        </is>
      </c>
      <c r="H806" t="inlineStr">
        <is>
          <t>Presumed Positive - From Doctor</t>
        </is>
      </c>
    </row>
    <row r="807">
      <c r="A807" t="inlineStr">
        <is>
          <t>gdg5ij</t>
        </is>
      </c>
      <c r="B807" t="inlineStr">
        <is>
          <t>My bf keeps hanging out with my brother who has a severe underlying condition (even though he’s been exposed to covid)</t>
        </is>
      </c>
      <c r="C807" t="inlineStr">
        <is>
          <t>My boyfriend and I are currently living together. He and I, in the past two weeks, have been exposed to COVID (I had a severe case and was in and out of the hospital and he was sick as well beforehand). My older brother and him are best friends. My older brother lives alone in an apartment nearby, but has been somewhat trying to self isolate during this pandemic due to his serious heart condition - known as brugada syndrome. If he were to get
sick, he’d be very high risk for complications. My boyfriend nevertheless has been hanging out with him, and dropping by. He says it’s because he misses him, but every time he does this I get so terrified and upset. I usually end up panicking and crying that they are increasing the risk of something bad happening to my brother. My brother thinks that because they wear masks together they’ll be fine, but they also smoke together and eat together (so they inevitably take off the mask). And my boyfriend has been lying to me about when he goes out and hangs out with him, so that I will calm down. But I always find out later :-/ I’m not sure what to do, I am very afraid.</t>
        </is>
      </c>
      <c r="D807" t="n">
        <v>1</v>
      </c>
      <c r="E807" t="n">
        <v>2</v>
      </c>
      <c r="F807">
        <f>HYPERLINK("https://www.reddit.com/r/COVID19positive/comments/gdg5ij/my_bf_keeps_hanging_out_with_my_brother_who_has_a/")</f>
        <v/>
      </c>
      <c r="G807" t="inlineStr">
        <is>
          <t>2020-05-04 10:39:48</t>
        </is>
      </c>
      <c r="H807" t="inlineStr">
        <is>
          <t>Tested Positive - Me</t>
        </is>
      </c>
    </row>
    <row r="808">
      <c r="A808" t="inlineStr">
        <is>
          <t>gdgffk</t>
        </is>
      </c>
      <c r="B808" t="inlineStr">
        <is>
          <t>Relapse time horizon - when was your latest relapse?</t>
        </is>
      </c>
      <c r="C808" t="inlineStr">
        <is>
          <t>Answer with your latest relapse timing, for lots of people you may have relapsed a while ago but have lingering symptoms from that relapse. Would be interested to see how late in the game people are still experiencing full blown relapses.
[View Poll](https://www.reddit.com/poll/gdgffk)</t>
        </is>
      </c>
      <c r="D808" t="n">
        <v>1</v>
      </c>
      <c r="E808" t="n">
        <v>6</v>
      </c>
      <c r="F808">
        <f>HYPERLINK("https://www.reddit.com/r/COVID19positive/comments/gdgffk/relapse_time_horizon_when_was_your_latest_relapse/")</f>
        <v/>
      </c>
      <c r="G808" t="inlineStr">
        <is>
          <t>2020-05-04 10:53:37</t>
        </is>
      </c>
      <c r="H808" t="inlineStr">
        <is>
          <t>Tested Positive</t>
        </is>
      </c>
    </row>
    <row r="809">
      <c r="A809" t="inlineStr">
        <is>
          <t>gdgn4f</t>
        </is>
      </c>
      <c r="B809" t="inlineStr">
        <is>
          <t>Dad Tested Positive for Antibodies</t>
        </is>
      </c>
      <c r="C809" t="inlineStr">
        <is>
          <t>Last week my Dad (53 y/o) went into City MD (A walk-in clinic here in NYC) to get an antibody test. He said that he's felt fine the last few months but wanted to get tested anyway just in case the city decides to open back up and he goes back to work. 5 days later and he's notified that his test came back positive. Really weird considering the only time he felt kind of "off" was some fatigue for a few days around mid-March. Everyone else in my family has been feeling okay, but now we're wondering if we should all get tested as well. 
My Dad says he's planning to donate plasma.
Also he smokes cigars occasionally, yet this didn't seem to negatively impact him.</t>
        </is>
      </c>
      <c r="D809" t="n">
        <v>1</v>
      </c>
      <c r="E809" t="n">
        <v>5</v>
      </c>
      <c r="F809">
        <f>HYPERLINK("https://www.reddit.com/r/COVID19positive/comments/gdgn4f/dad_tested_positive_for_antibodies/")</f>
        <v/>
      </c>
      <c r="G809" t="inlineStr">
        <is>
          <t>2020-05-04 11:04:29</t>
        </is>
      </c>
      <c r="H809" t="inlineStr">
        <is>
          <t>Tested Positive - Family</t>
        </is>
      </c>
    </row>
    <row r="810">
      <c r="A810" t="inlineStr">
        <is>
          <t>gdidbu</t>
        </is>
      </c>
      <c r="B810" t="inlineStr">
        <is>
          <t>Nosebleed?</t>
        </is>
      </c>
      <c r="C810" t="inlineStr">
        <is>
          <t>Hi guys - Day 52 here and still have some lingering symptoms. Mostly low grade fever and off and on shortness of breath. I’m sitting here at my computer and I just got a bit of a nose bleed. Nothing crazy, I wiped my nose and there was a little blood and then there was some dry and some wet blood in my nose when I cleaned up with a tissue. Not a ton of blood but I’ve never had a nose bleed before. Anything to worry about? Anybody had them with COVID?</t>
        </is>
      </c>
      <c r="D810" t="n">
        <v>1</v>
      </c>
      <c r="E810" t="n">
        <v>6</v>
      </c>
      <c r="F810">
        <f>HYPERLINK("https://www.reddit.com/r/COVID19positive/comments/gdidbu/nosebleed/")</f>
        <v/>
      </c>
      <c r="G810" t="inlineStr">
        <is>
          <t>2020-05-04 12:32:42</t>
        </is>
      </c>
      <c r="H810" t="inlineStr">
        <is>
          <t>Presumed Positive - From Doctor</t>
        </is>
      </c>
    </row>
    <row r="811">
      <c r="A811" t="inlineStr">
        <is>
          <t>gdise8</t>
        </is>
      </c>
      <c r="B811" t="inlineStr">
        <is>
          <t>My friend has antibodies but I don’t? But we are always together.</t>
        </is>
      </c>
      <c r="C811" t="inlineStr">
        <is>
          <t>My best friend who basically is with me every day for many hours went with me to get an antibody test at a certified testing site in my state... She had recently lost her sense of smell/taste for 2 weeks, and I thought I may have come across COVID in mid March. Surprisingly, her test came back positive for IgG and my test came back negative for all antibody tests (IgG,IgA,IgM)
I am honestly confused at how she contracted the disease but did not pass it on to me despite being in very close proximity for the past few weeks? I typically do not get sick often but I don’t know if that could affect my susceptibility...
COVID19 is seriously such an odd illness. Any ideas af why this might be?</t>
        </is>
      </c>
      <c r="D811" t="n">
        <v>1</v>
      </c>
      <c r="E811" t="n">
        <v>13</v>
      </c>
      <c r="F811">
        <f>HYPERLINK("https://www.reddit.com/r/COVID19positive/comments/gdise8/my_friend_has_antibodies_but_i_dont_but_we_are/")</f>
        <v/>
      </c>
      <c r="G811" t="inlineStr">
        <is>
          <t>2020-05-04 12:54:38</t>
        </is>
      </c>
      <c r="H811" t="inlineStr">
        <is>
          <t>Tested Positive - Friends</t>
        </is>
      </c>
    </row>
    <row r="812">
      <c r="A812" t="inlineStr">
        <is>
          <t>gdj1xk</t>
        </is>
      </c>
      <c r="B812" t="inlineStr">
        <is>
          <t>Tested positive, nervous and scared.</t>
        </is>
      </c>
      <c r="C812" t="inlineStr">
        <is>
          <t>I started showing symptoms six days ago. Had a fever, slight pressure in chest, very clogged sinuses and a headache. Went to the doctor and got tested right away. Been "okay" for the last six days. Fevers been up and down, very slight shortness of breath from stairs (though I haven't gone up or down in days), achy body, but I'm just SO tired. Very hard to stay awake even during the day after a full nights rest. Test results came back today positive, but I've been isolating since the start just in case. I'm 29 years old, FtM transmale, and I have Crohns and PCOS. I'm overweight, but have been steadily losing the last few months. We are thinking it came from my partner, as he's an essential worker, he has no symptoms but is going to get tested today to be sure. I have tenants, they've been sanitizing the downstairs area, and I haven't left my room. Everyone's been helping me by caring for the dog and getting me the things I need (it's left in the hallway and I open the door to get it. My bedroom and private bathroom is the only thing up stairs so there's no reason for anyone to be up here except to deliver things).  I had pneumonia last year and it was worse than this, but this is still tiresome.
I'm scared, I don't know what's going to happen, I worry I'll wake up crashing tomorrow, or not breathing.  I tried so very hard to be safe and to be watchful, and a string of bad luck got me anyway. I suppose I'm venting at this point, I just needed a place to get my thoughts down.</t>
        </is>
      </c>
      <c r="D812" t="n">
        <v>1</v>
      </c>
      <c r="E812" t="n">
        <v>12</v>
      </c>
      <c r="F812">
        <f>HYPERLINK("https://www.reddit.com/r/COVID19positive/comments/gdj1xk/tested_positive_nervous_and_scared/")</f>
        <v/>
      </c>
      <c r="G812" t="inlineStr">
        <is>
          <t>2020-05-04 13:08:11</t>
        </is>
      </c>
      <c r="H812" t="inlineStr">
        <is>
          <t>Tested Positive - Me</t>
        </is>
      </c>
    </row>
    <row r="813">
      <c r="A813" t="inlineStr">
        <is>
          <t>gdj2x1</t>
        </is>
      </c>
      <c r="B813" t="inlineStr">
        <is>
          <t>Does anything think covid is chronic. Do people recover?</t>
        </is>
      </c>
      <c r="C813" t="inlineStr">
        <is>
          <t>How long does this stay in your system? 
I’ve heard 12 weeks max</t>
        </is>
      </c>
      <c r="D813" t="n">
        <v>1</v>
      </c>
      <c r="E813" t="n">
        <v>10</v>
      </c>
      <c r="F813">
        <f>HYPERLINK("https://www.reddit.com/r/COVID19positive/comments/gdj2x1/does_anything_think_covid_is_chronic_do_people/")</f>
        <v/>
      </c>
      <c r="G813" t="inlineStr">
        <is>
          <t>2020-05-04 13:09:37</t>
        </is>
      </c>
      <c r="H813" t="inlineStr">
        <is>
          <t>Presumed Positive - From Doctor</t>
        </is>
      </c>
    </row>
    <row r="814">
      <c r="A814" t="inlineStr">
        <is>
          <t>gdj9fg</t>
        </is>
      </c>
      <c r="B814" t="inlineStr">
        <is>
          <t>Heavy Anxiety is what’s left, from what it seems</t>
        </is>
      </c>
      <c r="C814" t="inlineStr">
        <is>
          <t>It’s been since April 20th since I had the virus and honestly I don’t feel any symptoms anymore, but what’s seems to be left with me is anxiety at all times. 
I’m 23 from New York and I’ve never suffered from anxiety. I feel nervous all the time and once I’m in my head it gets worse. I just want to feel normal again. Nurse prescribed me to .5 Xanax but I really don’t want to take it cause I know how addictive those can be, I don’t even want to get into that, I’m afraid Mx 
I had a week to where I couldn’t sleep cause of heart palpitations and it only raised my anxiety and I was exhausted. I’ve feel like I’ve gotten more sleep with melatonin and NyQuil here and there and I hope to progress. 
What my mind keeps thinking about is having and anxiety attack like I think I  did last week. As I was starting to feel better , I feel to have had an attack but I don’t know if that was the virus or anxiety.  I feel like if I get better that episode will come again 
What do you guys advise ? Any recommendations?  
I noticed talking neutralizes the feeling , past few days I’ve been getting sleep and I’ve woken up with slight improvement , but as the day progresses it eases back. I feel a lot of it is mental</t>
        </is>
      </c>
      <c r="D814" t="n">
        <v>1</v>
      </c>
      <c r="E814" t="n">
        <v>24</v>
      </c>
      <c r="F814">
        <f>HYPERLINK("https://www.reddit.com/r/COVID19positive/comments/gdj9fg/heavy_anxiety_is_whats_left_from_what_it_seems/")</f>
        <v/>
      </c>
      <c r="G814" t="inlineStr">
        <is>
          <t>2020-05-04 13:18:58</t>
        </is>
      </c>
      <c r="H814" t="inlineStr">
        <is>
          <t>Presumed Positive - From Doctor</t>
        </is>
      </c>
    </row>
    <row r="815">
      <c r="A815" t="inlineStr">
        <is>
          <t>gdjioy</t>
        </is>
      </c>
      <c r="B815" t="inlineStr">
        <is>
          <t>Anyone else with almost-periodic bouts of shortness of breath for multiple weeks?</t>
        </is>
      </c>
      <c r="C815" t="inlineStr">
        <is>
          <t>I'm at day 42. My main symptom is recurrent shortness of breath, at rest, without any effort. But it doesn't really come in multi-day "waves", like I've read from others on here. Rather, it comes up for a bit less than a day, oscillating between "annoying" and "gasping for air", and then it goes away for a similar period (a day or less). And then it starts again!
I'm asking: has anyone experience something like this, from Covid or from anything else (anxiety? asthma? allergies?) At this stage I'd be happy with any explanation, as long as it helps me find out how to get rid of it!
In between these periods, I have totally different symptoms - bouts of sore throat and tingling/burning nose, and occasional cough. I also have occasional chest pains a diarrhea, but these are all very mild and tolerable. The shortness of breath is completely debilitating - especially when it comes at night!
Tested negative 9 days into the symptoms from the Abbott PCR test at a drive-through, but the doctor and the nurse practitioner both told me it was likely Covid anyway.</t>
        </is>
      </c>
      <c r="D815" t="n">
        <v>1</v>
      </c>
      <c r="E815" t="n">
        <v>11</v>
      </c>
      <c r="F815">
        <f>HYPERLINK("https://www.reddit.com/r/COVID19positive/comments/gdjioy/anyone_else_with_almostperiodic_bouts_of/")</f>
        <v/>
      </c>
      <c r="G815" t="inlineStr">
        <is>
          <t>2020-05-04 13:32:06</t>
        </is>
      </c>
      <c r="H815" t="inlineStr">
        <is>
          <t>Presumed Positive - From Doctor</t>
        </is>
      </c>
    </row>
    <row r="816">
      <c r="A816" t="inlineStr">
        <is>
          <t>gdjvx4</t>
        </is>
      </c>
      <c r="B816" t="inlineStr">
        <is>
          <t>Family tested positive</t>
        </is>
      </c>
      <c r="C816" t="inlineStr">
        <is>
          <t>Me and my entire family got tested positive but it seems like my dad is the only one who’s getting affected really bad he gets super high fevers for hours, also he barely has any headaches, does anyone know any solutions to reduce the fever a bit?</t>
        </is>
      </c>
      <c r="D816" t="n">
        <v>1</v>
      </c>
      <c r="E816" t="n">
        <v>8</v>
      </c>
      <c r="F816">
        <f>HYPERLINK("https://www.reddit.com/r/COVID19positive/comments/gdjvx4/family_tested_positive/")</f>
        <v/>
      </c>
      <c r="G816" t="inlineStr">
        <is>
          <t>2020-05-04 13:51:12</t>
        </is>
      </c>
      <c r="H816" t="inlineStr">
        <is>
          <t>Tested Positive - Family</t>
        </is>
      </c>
    </row>
    <row r="817">
      <c r="A817" t="inlineStr">
        <is>
          <t>gdjw4q</t>
        </is>
      </c>
      <c r="B817" t="inlineStr">
        <is>
          <t>UPDATE: DAY 55... symptoms still lingering</t>
        </is>
      </c>
      <c r="C817" t="inlineStr">
        <is>
          <t>UPDATE: had a relapse five days ago that floored me. Chest pain lung pain. Just went in to get a test and the test was negative. Getting an antibody test in a few hours.
Hey everyone! me and my wife both got corona symptoms on March 5 and 6 respectively. Quarantined immediately. My wife is a professional dancer, and I'm a daily exerciser. In reading what felt like all of the internet, until this board I realized that there didn't seem to be a lot being said about what it felt like to be sick, and that complicated our feelings about our own recovery. Should we still be feeling sick? Do we go to the ER? Are there even tests available? Is this even a symptom?
Breaking out our symptoms for those who want a roadmap of what it has looked like for us. For the duration we've abstained from any and all alcohol. At the time of our symptoms outset, no tests were being given for people who had non-contact.
DAY 1 and 2-- slight fever. chills. body ache. (oh shit, quarantine)
DAY 3-7 - fever gone, but fatigue, sore back of throat. type of days where getting off the couch to get your own water felt like running a marathon.
DAY 8 - Add Gastrointestinal problems and abdominal pain to my symptoms. Talk to my physician cousin via facetime. He says, this sounds like COVID. stay put, monitor.
DAY 12 - here's where it got scary. chest pain and lightness of breath. began the solid week of "Do we get a test? Oh none available, emergency room?!". shortage of tests still happening (HOW?!)
Our decision hinged on being able to consult with cousin physician. We took the trio of heart rate (below 100 bpm resting), breath rate (below 30 breaths per minute resting) and temperature (no fever). Oximeter would've been helpful but they're sold out here. But basically, our operating theory was, if we're not sure if they'll admit us into the hospital, then it is best to stay home and spare us and them the additional exposure and overload.
DAY 17 - my gastroproblems are gone. thank god.
DAY 19 - signs recovery for my wife... she starts light computer work, trying to train. i myself am feeling better. i'm able to sit AT my computer instead of the couch or bed.
DAY 20 - just kidding, relapse for me. back to the couch. the fatigue feels overwhelming. i try to explain it to my cousin physician-- it feels like there's a soft, dull, sickness, behind my eyes and just in my blood and every breath.
DAY 22 - my wife is starting her cycle. for one day, she takes her ibuprofen, before i catch her and switch her to tylenol. It's enough to where our resumed in mask dog walks (live in a private area) around the block felt like it might floor us.
DAY 25 - i'm slowly getting better, but my wife appears to have completely new symptoms. this starts a week where every time she stands, she gets light-headed to the verge of passing out.
DAY 28 - wife on verge of tears because of the duration of the illness, chest pain and acute back pain. said her symptoms felt different than her first fights. finally see a doctor at urgent care, because ERs slammed. Her oximeter says she has full 99% oxygen. vitals are strong. But a weird thing, when she stands up or down, her heart rate shoots from her normal resting of 60 bpm, to over 125 bpm. Anything more than a 30 bpm jump is considered abnormal.
The poor urgent care doctor tries to diagnose her in addition to COVID with virally induced POTS or Postural Orthostatic Tachycardia Syndrome. They're not administering tests except in the emergency room. I know about that syndrome and for a dancer who spends her life getting up and down from the floor, that seems highly unlikely. My wife points out that it seems, that doctors really don't have experience dealing with this. We decide that we're safe enough to not go to the ER, and that this is likely due to COVID.
DAY 30 - turning point. wife feels like the illness has moved down her body. Pain moved to her ribs. Im able to do light housework and stretching.
DAY 31- tried a light 45 stretch class on instagram live. Absolutely floored me. Had to go to sleep after. Still having fatigue and a weird feeling in my chest.
DAY 33 - both of us can have full but inactive days aka computer work actually able to do chores. was able to walk a mile and a half. still feel it, the inability to have endurance or any well of strength.
Anyway, thanks for reading. Hang in there. We're going to keep taking care of ourselves. We hope you do the same.
DAY 37- wife has relapse of chest pain. Decide to urgent care physician. She presumes us both positive, but no tests available.
DAY 38 Successfully went on a jog.
DAY 39- 41 Lung pain and chest pain returned. Obviously too much too soon 
DAY 44 Able to resume daily dog walks, wife able to make it through light ballet class
DAY 45 Instead of cardio tried light weight work. Didn’t seem to affect covid, walks getting longer. Getting stronger.
DAY 48 Wife has weird pain behind both of her knees. Gets checked out by a doctor to make sure not a clotting issue.
DAY 50 split a beer. Doing light work outs, pull ups pushups etc. trying to not to get heart rate too high.
DAY 51 Celebrated anniversary too vigorously too many times
DAY 52 fatigue and weakness returned 
DAY 53 full melt down. Unable to leave couch
DAY 54 Feeling slightly better but wanting to rule out any infections on top of covid symptoms. Accessible testing available in my area. Consult with doctor via videoconference. Drive thru testing sight. The testing is super efficient and quick. Less than 5 minutes Nose swab and then opt into a clinical trial testing extra alternative swabs for the cause (apparently they’re running out of the primary use swabs)
DAY 55 tears come back negative. Heading into appointment for doctor follow up and antibody test soon. Wife taking a moderated ballet class</t>
        </is>
      </c>
      <c r="D817" t="n">
        <v>1</v>
      </c>
      <c r="E817" t="n">
        <v>10</v>
      </c>
      <c r="F817">
        <f>HYPERLINK("https://www.reddit.com/r/COVID19positive/comments/gdjw4q/update_day_55_symptoms_still_lingering/")</f>
        <v/>
      </c>
      <c r="G817" t="inlineStr">
        <is>
          <t>2020-05-04 13:51:31</t>
        </is>
      </c>
      <c r="H817" t="inlineStr">
        <is>
          <t>Presumed Positive - From Doctor</t>
        </is>
      </c>
    </row>
    <row r="818">
      <c r="A818" t="inlineStr">
        <is>
          <t>gdk177</t>
        </is>
      </c>
      <c r="B818" t="inlineStr">
        <is>
          <t>Here is a 100% legal website where you can have a licensed physician prescribe hydroxychloroquine</t>
        </is>
      </c>
      <c r="C818" t="inlineStr">
        <is>
          <t>I was tested today. Having swollen lymph nodes in neck sore throat and diarrhea, I live in VA and you need to be hospitalized to have hydroxychloroquine prescribed, which defeats the purpose of treating the infection early. I saw on Twitter there is a doctor who made a website where a licensed physician that has been licensed in YOUR state.. will have a teledoc appointment over the phone with you and hear your symptoms, they will call in a prescription of hydroxychloroquine and Azithromycin to a pharmacy that is able to fill it, then it will be shipped to your front door within 24 hours. 100% legal. If you don’t believe it’s legit, you can look up on Twitter Dr Jerome Corsi and he has a video talking about the website. I believe the video is on the linked website as well. Take care everyone!! 
[Here it is ](https://corsination.com/covid-19/)</t>
        </is>
      </c>
      <c r="D818" t="n">
        <v>1</v>
      </c>
      <c r="E818" t="n">
        <v>6</v>
      </c>
      <c r="F818">
        <f>HYPERLINK("https://www.reddit.com/r/COVID19positive/comments/gdk177/here_is_a_100_legal_website_where_you_can_have_a/")</f>
        <v/>
      </c>
      <c r="G818" t="inlineStr">
        <is>
          <t>2020-05-04 13:59:07</t>
        </is>
      </c>
      <c r="H818" t="inlineStr">
        <is>
          <t>Presumed Positive - From Doctor</t>
        </is>
      </c>
    </row>
    <row r="819">
      <c r="A819" t="inlineStr">
        <is>
          <t>gdldme</t>
        </is>
      </c>
      <c r="B819" t="inlineStr">
        <is>
          <t>Here is my list of symptoms: AMA you want</t>
        </is>
      </c>
      <c r="C819" t="inlineStr">
        <is>
          <t>Monday April 27. 
Slept all day 
Mild cough
No fever
Tuesday April 28. 
Slept all day
Felt very sore and achey in neck and shoulders
nausea 
Cough
headache
Night sweats 
Temp 99.4
Post nasal drip
Shaky
Wednesday April 29.  
More sore and achey than previous days (7/10 pain) and getting worse
cough getting worse 
Severe headache
Post nasal drip
Dizzy
Extremely tired 
No fever (97.7 @ 9AM)
Got tested this day
Thursday April 30. 
Severe body aches. Unable to move my neck without pain. (8/10)
Nausea 
Headache
Post nasal drip
Slept all day and still tired
Weak/shaky
No cough
Some sneezing
Friday May 1. 
Cough is back and worse (productive cough, not dry)
Body less sore but still 5/10
Hands and limbs feel cold and sweaty
Neck pain 
Severe tiredness and weakness
Temp 99.8 but doesn’t stay there, goes down pretty quickly when I lay down 
Feeling the best I have in 7 days
Saturday May 2. 
Cough is slightly worse
All symptoms the same as May 1st
Sunday May 3. 
All symptoms the same as May 1st
Today (May 4th)
All symptoms still the same 
This virus is very strong. What I mean is I can feel my body trying to fight it off but it just hasn’t quite kicked it yet. 
I’d say I’m now 50% better than I was at my worst point of the sickness. But still to sick to want to do anything other than sleep. My temp spikes when I try to move around to much. 
All in all, this wasn’t as bad as I thought it would be. I was imagining this terrible, unable to breathe and halfway dying scenario but the reality was much different. I don’t mean to say this has been easy though because it hasn’t. It felt like the flu but slightly worse. At one point I remember thinking to myself “I can see how people die from this” because I was so sore from head to toe. At one point I was unable to think clearly and felt like I was in a dream. 
Hopefully it’s smooth sailing from here on out. I hope I am over the worst part of this. Feel free to ask anything you’d like.</t>
        </is>
      </c>
      <c r="D819" t="n">
        <v>1</v>
      </c>
      <c r="E819" t="n">
        <v>19</v>
      </c>
      <c r="F819">
        <f>HYPERLINK("https://www.reddit.com/r/COVID19positive/comments/gdldme/here_is_my_list_of_symptoms_ama_you_want/")</f>
        <v/>
      </c>
      <c r="G819" t="inlineStr">
        <is>
          <t>2020-05-04 15:13:38</t>
        </is>
      </c>
      <c r="H819" t="inlineStr">
        <is>
          <t>Tested Positive - Me</t>
        </is>
      </c>
    </row>
    <row r="820">
      <c r="A820" t="inlineStr">
        <is>
          <t>gdlg7j</t>
        </is>
      </c>
      <c r="B820" t="inlineStr">
        <is>
          <t>Someone give me hope</t>
        </is>
      </c>
      <c r="C820" t="inlineStr">
        <is>
          <t>I (20f) presumably have coronavirus, despite testing negative, since I live in a household where both my brother and dad tested positive. I am on day 22 of symptoms and I have consistently had a fever of 99.7 to 100 everyday. Please someone give me hope that this is going to go away soon. I have never had a fever for so long. Everyone in my house recovered except me. This is taking a toll on my mental health.</t>
        </is>
      </c>
      <c r="D820" t="n">
        <v>1</v>
      </c>
      <c r="E820" t="n">
        <v>27</v>
      </c>
      <c r="F820">
        <f>HYPERLINK("https://www.reddit.com/r/COVID19positive/comments/gdlg7j/someone_give_me_hope/")</f>
        <v/>
      </c>
      <c r="G820" t="inlineStr">
        <is>
          <t>2020-05-04 15:17:42</t>
        </is>
      </c>
      <c r="H820" t="inlineStr">
        <is>
          <t>Presumed Positive - From Test</t>
        </is>
      </c>
    </row>
    <row r="821">
      <c r="A821" t="inlineStr">
        <is>
          <t>gdm7wv</t>
        </is>
      </c>
      <c r="B821" t="inlineStr">
        <is>
          <t>Friends mom tested positive. She felt really bad today, but refuses to go to the hospital.</t>
        </is>
      </c>
      <c r="C821" t="inlineStr">
        <is>
          <t>My friend called the paramedics because she was complaining of chest pains and shortness of breath. When he called her to tell her that they were on the way, she ran out the house and left to who knows where. The paramedics showed up to an empty house. She is 64yrs old. I am sure that the paramedics will call the police due to her being positive and out there possibly infecting others.</t>
        </is>
      </c>
      <c r="D821" t="n">
        <v>1</v>
      </c>
      <c r="E821" t="n">
        <v>15</v>
      </c>
      <c r="F821">
        <f>HYPERLINK("https://www.reddit.com/r/COVID19positive/comments/gdm7wv/friends_mom_tested_positive_she_felt_really_bad/")</f>
        <v/>
      </c>
      <c r="G821" t="inlineStr">
        <is>
          <t>2020-05-04 16:03:12</t>
        </is>
      </c>
      <c r="H821" t="inlineStr">
        <is>
          <t>Tested Positive - Friends</t>
        </is>
      </c>
    </row>
    <row r="822">
      <c r="A822" t="inlineStr">
        <is>
          <t>gdmj5p</t>
        </is>
      </c>
      <c r="B822" t="inlineStr">
        <is>
          <t>Looking for hope for Dad</t>
        </is>
      </c>
      <c r="C822" t="inlineStr">
        <is>
          <t>My dad, who’s diabetic, was admitted to the hospital on April 14th. His progress has remained a roller coaster, some days he uses the vent less, other days he needs the full assistance. He’s been sedated for a lot of his treatment.
Unfortunately, this past week the doctors have been telling us they’re not sure if he’s going to get better. He still has a large amount of lung issues, even though his oxygen use is less. We’re scared he could have brain damage. I’m just wondering if there’s anyone out there who possibly knows someone who’s been on the vent for longer than my Dad and has made it out? Each day is getting harder and harder for us to hold on.
Sorry for the vague details, my mom mostly gets the updates so I’m sharing from what I can remember.</t>
        </is>
      </c>
      <c r="D822" t="n">
        <v>1</v>
      </c>
      <c r="E822" t="n">
        <v>7</v>
      </c>
      <c r="F822">
        <f>HYPERLINK("https://www.reddit.com/r/COVID19positive/comments/gdmj5p/looking_for_hope_for_dad/")</f>
        <v/>
      </c>
      <c r="G822" t="inlineStr">
        <is>
          <t>2020-05-04 16:21:26</t>
        </is>
      </c>
      <c r="H822" t="inlineStr">
        <is>
          <t>Tested Positive - Family</t>
        </is>
      </c>
    </row>
    <row r="823">
      <c r="A823" t="inlineStr">
        <is>
          <t>gdmq9k</t>
        </is>
      </c>
      <c r="B823" t="inlineStr">
        <is>
          <t>Would love to chat with someone who has survived a major case, like me</t>
        </is>
      </c>
      <c r="C823" t="inlineStr">
        <is>
          <t>Would like to hear how people are readjusting to life after having a major case of covid. I’m slowly getting back to work after having been hospitalized for a week. I’ve had a lot of anxiety. If you relate, please comment or send a chat- thanks!</t>
        </is>
      </c>
      <c r="D823" t="n">
        <v>1</v>
      </c>
      <c r="E823" t="n">
        <v>28</v>
      </c>
      <c r="F823">
        <f>HYPERLINK("https://www.reddit.com/r/COVID19positive/comments/gdmq9k/would_love_to_chat_with_someone_who_has_survived/")</f>
        <v/>
      </c>
      <c r="G823" t="inlineStr">
        <is>
          <t>2020-05-04 16:33:19</t>
        </is>
      </c>
      <c r="H823" t="inlineStr">
        <is>
          <t>Tested Positive - Me</t>
        </is>
      </c>
    </row>
    <row r="824">
      <c r="A824" t="inlineStr">
        <is>
          <t>gdmyu7</t>
        </is>
      </c>
      <c r="B824" t="inlineStr">
        <is>
          <t>Could this be a second wave or my paranoia acting up?</t>
        </is>
      </c>
      <c r="C824" t="inlineStr">
        <is>
          <t>Didn’t have classic covid symptoms, but I did lose my senses for about a week. The first day of my symptoms I had some fatigue and nasal contention, and that went away after day 1. I tested positive around 4/16 and got my senses back day 14 or so of the virus. It’s a been a little over a week since I’ve “fully recovered” but that for me just meant getting my senses back. The past 2 days, the same sort of nasal congestion came back for a few hours. 
I drank hot water the past nights to help me clear it up, and felt myself getting very dehydrated during night time. I couldn’t sleep because I had so much cotton mouth. No matter how much I drank it would be the same, but when I wake up i don’t experience the dehydration sense and feel absolutely normal again. Because I think I had a mild case before, I try to observe every little symptom with me now because it could be due to covid. 
If this is a second wave for me, does this mean I’m contagious again? It’s probably been close to a full month since I contracted it. I didn’t get tested until almost a week into my symptoms. Asking because I’m a hope to my mom, I felt that if I got better quick she (tested positive last week) will be the same. She’s around day 12 and says she feels normal again, no fatigue etc. I’m scared if I’m gonna be getting a second wave, then we need to anticipate hers as well. I was really happy today when she said she felt fine.</t>
        </is>
      </c>
      <c r="D824" t="n">
        <v>1</v>
      </c>
      <c r="E824" t="n">
        <v>2</v>
      </c>
      <c r="F824">
        <f>HYPERLINK("https://www.reddit.com/r/COVID19positive/comments/gdmyu7/could_this_be_a_second_wave_or_my_paranoia_acting/")</f>
        <v/>
      </c>
      <c r="G824" t="inlineStr">
        <is>
          <t>2020-05-04 16:47:38</t>
        </is>
      </c>
      <c r="H824" t="inlineStr">
        <is>
          <t>Tested Positive - Family</t>
        </is>
      </c>
    </row>
    <row r="825">
      <c r="A825" t="inlineStr">
        <is>
          <t>gdn8dk</t>
        </is>
      </c>
      <c r="B825" t="inlineStr">
        <is>
          <t>Has anyone had heart issues diagnosed</t>
        </is>
      </c>
      <c r="C825" t="inlineStr">
        <is>
          <t>Has anyone had a diagnosis for the heart issues beyond tachycardia?  ECG all normal and it comes and goes with my husband. It’s terrifying. They want to do a ultra sound to check for any other issues, but he don’t have any other symptoms at week 9.</t>
        </is>
      </c>
      <c r="D825" t="n">
        <v>1</v>
      </c>
      <c r="E825" t="n">
        <v>41</v>
      </c>
      <c r="F825">
        <f>HYPERLINK("https://www.reddit.com/r/COVID19positive/comments/gdn8dk/has_anyone_had_heart_issues_diagnosed/")</f>
        <v/>
      </c>
      <c r="G825" t="inlineStr">
        <is>
          <t>2020-05-04 17:04:01</t>
        </is>
      </c>
      <c r="H825" t="inlineStr">
        <is>
          <t>Tested Positive - Family</t>
        </is>
      </c>
    </row>
    <row r="826">
      <c r="A826" t="inlineStr">
        <is>
          <t>gdoinn</t>
        </is>
      </c>
      <c r="B826" t="inlineStr">
        <is>
          <t>Vent and need advice</t>
        </is>
      </c>
      <c r="C826" t="inlineStr">
        <is>
          <t>My mom, who's a nurse, tested positive almost 2 weeks ago. And since then, she's been taking it upon herself to take care of everything to try not to infect me and my dad. She said to only give food to her and she'll take care of the rest and to continue with my school work as usual and then I said to her fine but if you need anything call me.  She's gotten worse but she doesn't want any help even though I can hear her groaning. And every time I hear it, I get nervous and go upstairs to check on her and get her the stuff she needs. A couple days ago, my dad and I noticed this smell going around and we found out all the food we gave her was all still there she hasn't eaten any of it. Not only that, she hasn't taken a shower in the last three days because she said that every time she stood she felt dizzy and on the verge of passing out. So against her protests, my dad and I took out all the trash and all the food in the room but she said to absolutely not take the laundry. A few days passed but the smell was still there. I was really worried about her and tried convince her to let me clean up everything in the room and do her laundry (at a safe distance and with a mask and gloves) to give her a cleaner environment to rest in but she says to do it tomorrow and then tomorrow comes and then she says she's tired and to give her a break and then the next day comes and repeat.  She doesn't want to go to the hospital and I don't know what to fucking do. And every time I try to force myself in the room to help her clean up it stresses her out and then she starts to have a coughing fit and starts crying and then I force myself to go away. After that time we took out the trash, I keep telling her to give me the food she doesn't finish so it doesn't pile up and then I could properly throw it away but when I do that she starts crying and says she doesn't want to infect me. I don't know when she needs my help because she never calls me but I always try to check on her in the morning, afternoon and evening.  The thing is I can only check on her between my back-to-back lectures and with finals coming up I'm stressed the fuck out and this led to me falling behind on my work and studies. How do I balance taking care of my mom and my engineering classes? What should I do?
Sorry if the post was all over the place</t>
        </is>
      </c>
      <c r="D826" t="n">
        <v>1</v>
      </c>
      <c r="E826" t="n">
        <v>58</v>
      </c>
      <c r="F826">
        <f>HYPERLINK("https://www.reddit.com/r/COVID19positive/comments/gdoinn/vent_and_need_advice/")</f>
        <v/>
      </c>
      <c r="G826" t="inlineStr">
        <is>
          <t>2020-05-04 18:26:41</t>
        </is>
      </c>
      <c r="H826" t="inlineStr">
        <is>
          <t>Tested Positive - Family</t>
        </is>
      </c>
    </row>
    <row r="827">
      <c r="A827" t="inlineStr">
        <is>
          <t>gdpq2d</t>
        </is>
      </c>
      <c r="B827" t="inlineStr">
        <is>
          <t>Week 4 of confusion, frustration, and a cough that just won't quit</t>
        </is>
      </c>
      <c r="C827" t="inlineStr">
        <is>
          <t>I thought I would finally get on here and tell my story.
I am in Central Illinois where Covid cases have been rising dramatically in the past week. This all started for me on April 3rd when I contacted my doctor out of fear of Covid due to my heart condition. I attempted to escape to southern Illinois to my parents house but as an "essential employee" was only allowed two weeks off work. When I returned to work, literally one day later, I presented with a 103 fever and a nasty phlegm producing cough. I couldn't breathe. I immediately got tested for Coronavirus at the only clinic in town that would allow it. (no anti-body tests were available at this time). The hospital refused to see me and I was doing everything via telehealth at that time. They placed me on an inhaler which I found odd. I hadn't had an asthma attack in 20+ years. Those asthma attacks were bad. I was placed on oxygen once when I almost died in the car on the way to the hospital when I was in junior high. The doctor on the phone let me know that childhood asthma has been coming back for patients with covid-19. I had to drive 20 miles outside of town at this point to find a thermometer when mine broke. 
Sure enough, three days later, I presented with asthma that morning and needed to hit the inhaler. 
Then the confusion started. I was out of work for a week more (2.5 weeks at this point) and needed to go back. My test came back NEGATIVE from the clinic for Covid. I was shocked and immediately went back to work cautiously. At this time, my job (I work in leasing) decided to close to the public, but my coworkers and vendors still had to be in our small enclosed office together for hours at a time. Our office is literally the size of a medium sized living room. Our corporate office, although promising in EMAIL, never provided us gloves, hand sanitizer, or even hand soap. They operate remotely out of Pennsylvania. (They still haven't, we had to buy it ourselves). We took it upon ourselves to not work on Saturdays anymore and adjusted our own rules in house, including no more in person viewings of apartments, and no more tenants allowed to come into the office, except for move-ins. 
When I returned to work, I felt great for a week. In this time I broke up with my ex and was forced to move into my own apartment. I had to visit 5 stores in the matter of 4 hours on that day, and the entire time I was paranoid. I had to sleep on my coworker's couch for that week and she had thrown a get together was 8 people in the house, completely non-nonchalant about the entire Covid situation. I was furious about it, but couldn't do much because I had run out of money to get a hotel room at that time. I kept my mouth shut. 
By April 18th I moved everything into my apartment by myself except big furniture (that I still haven't bought) and noticed I was having a hard time breathing going up the stairs, that day was so bad, and the next morning in my  new apartment alone, I awoke completely unable to breathe with a fever of 101. I was weak, every joint in my body hurt, and I missed that day of work as well. I looked in the mirror and my normally olive toned complexion was pale as a ghost and I had the darkest circles under my eyes I had ever seen. I had a Pulse Oximeter shipped to me after doing some research online that day about silent Hypoxia. 
Our office were all given a covert ultimatum from our corporate office that if anyone took off anymore unplanned work we would be in trouble. I went to work anyway the next day when my fever went down and have been to work ever since. 
Every morning since the 18th the tele-health doctors have placed me on several different medications including more Albuterol, Mucinex, Zyrtec, Flonaze, two cortosteroids, free Nicotine patches to stop smoking and I take otc tylenol. I went to the clinic once, where a heavily PPE'd nurse listened to my lungs and stated that my left lung has severe bronchitis "on the verge of pneumonia" and that the asthma was making it all worse. I was informed to take my inhaler more often. I asked her if I had coronavirus while tears were pouring down my cheeks and her answer was, 
"Probably, but we can't be sure. I work with patients everyday, I could have it, but we just don't know. The test you took, at that time, was only 60% accurate. Your asthma will kill you before Covid does. So let's get that under control" Mind you, again, I hadn't had an asthma attack since 1998 when I was 12 years old. She stated to me "Its a common misconception to think that childhood asthma goes away. It never does, sometimes it takes a severe illness or lung trauma to bring it back, and like in you, it did. The mixture of seasonal allergies, a virus you have, and the bronchitis brought it back. The virus may or may  not be Covid-19"
 They linked me up with a Covid symptom hotline, where they call me at 4pm everyday and find out how I'm doing. I am presumed positive by 2 different doctors at this point. They will not give me a note to get out of work, and I'm still ill. The hospital considers you to be "non-infectious" 3 days after the resolution of a fever. The fever I had spiked one last time last Saturday, and I hope that is the end of it. There are so many different "weak points" in my mind where I could have caught the virus in the past month, who knows. I am presumed positive and am at some point this week going to get an antibody test done. My childhood asthma is back for what looks like permanently (I hope that isn't true), and GOOD NEWS, I quit smoking in all of this mess, because the thought of a cigarette scares the hell out of me. The mucus I am producing is so thick in the mornings that I have to take the hottest shower possible and take a full Mucinex pill or I wouldn't be able to walk to the car for work. I have lost 10 pounds and of course, my dramatic ex wants to me to take him back after he broke up with me while I was going through the worse flu I've had in years. 
One of our maintenance techs was placed in the hospital with liver and kidney failure three days ago out of the blue for no reason and the hospital never tested him for Covid. They stabilized him quickly, had to return to work TODAY still sick, on light duty. I fear he will be back in the hospital by tomorrow. Our property manager took 10 weeks off to "be with her kids" when she took a job in Chicago and sent her kids to live with family members, and our maintenance supervisor quit unexpectedly last week and here me and my fellow leasing agent/Friend are still chugging away in the office with lingering coughs and I still have severe mucus build in my upper airways. When I get my anti-body test done, I will let everyone know here, but this has been a hell of a ride and I want off the train.
If I come back negative for the anti-bodies, I am going to literally scream WTF out-loud.</t>
        </is>
      </c>
      <c r="D827" t="n">
        <v>1</v>
      </c>
      <c r="E827" t="n">
        <v>3</v>
      </c>
      <c r="F827">
        <f>HYPERLINK("https://www.reddit.com/r/COVID19positive/comments/gdpq2d/week_4_of_confusion_frustration_and_a_cough_that/")</f>
        <v/>
      </c>
      <c r="G827" t="inlineStr">
        <is>
          <t>2020-05-04 19:48:11</t>
        </is>
      </c>
      <c r="H827" t="inlineStr">
        <is>
          <t>Presumed Positive - From Doctor</t>
        </is>
      </c>
    </row>
    <row r="828">
      <c r="A828" t="inlineStr">
        <is>
          <t>gdsix4</t>
        </is>
      </c>
      <c r="B828" t="inlineStr">
        <is>
          <t>I have really weird symptoms</t>
        </is>
      </c>
      <c r="C828" t="inlineStr">
        <is>
          <t>Hey everyone, I was confirmed positive a little over 2 weeks ago and ive had the weirdest symptoms. I had shortness of breath, taste and smell loss for the first few days. No fever no coughing but since the start my ears have been super blocked and I feel like my nose is really stuffed to the point where I can feel the "top half of my face?" I keep overthinking and thinking I have nerve damage because of this. I also have a weird feeling in my teeth at the ends it feels like my whole mouth is shrinking and have random pains in my neck too. Feels like my whole face is being sucked in. Is anybody else experiencing this and help me with my anxiety??</t>
        </is>
      </c>
      <c r="D828" t="n">
        <v>1</v>
      </c>
      <c r="E828" t="n">
        <v>10</v>
      </c>
      <c r="F828">
        <f>HYPERLINK("https://www.reddit.com/r/COVID19positive/comments/gdsix4/i_have_really_weird_symptoms/")</f>
        <v/>
      </c>
      <c r="G828" t="inlineStr">
        <is>
          <t>2020-05-04 23:25:35</t>
        </is>
      </c>
      <c r="H828" t="inlineStr">
        <is>
          <t>Tested Positive - Me</t>
        </is>
      </c>
    </row>
    <row r="829">
      <c r="A829" t="inlineStr">
        <is>
          <t>gdte48</t>
        </is>
      </c>
      <c r="B829" t="inlineStr">
        <is>
          <t>It’s eating me up to not know if my mom is in the clear</t>
        </is>
      </c>
      <c r="C829" t="inlineStr">
        <is>
          <t>She says she feels normal today and she’s about 10-13 days in (we don’t know for sure day count). She tested positive last week and had symptoms before. A few days ago, she felt really fatigue and just looked red. I know it should be relieving for me to hear that she said she feels better. Her cough is gone, she doesn’t feel severely tired anymore. I had a mild case myself but tested positive and recovered before her. 
But I can’t stop reading stories about diabetic people who fall into severe condition. She also has HBP and diabetes. She looks and sounds normal now, but I can’t help to think this can still go in so many directions because of her underlying conditions. She looked so tired just 3-4 days ago, barely ate. It looked like it was gonna get worse and I keep anticipating more symptoms for her because of “second waves” and her underlying conditions. Am I just doing this to myself? 
Can someone really make that big of a turnaround with no further fall outs? Both her and I are positive and I’m recovered but I’m very young. My dad has shown no symptoms either and I still have anxiety for him now and when he will get it considering we all live together. I can’t stop thinking of worst case scenarios because people say they feel better and then worse out of nowhere. I haven’t seen any stories about someone within underlying conditions like her (she prob has more I didn’t list) have a smooth recovery. Maybe I’ve just been reading the wrong articles that scare me too much. Would we have “known” by now if it was gonna be severe?</t>
        </is>
      </c>
      <c r="D829" t="n">
        <v>1</v>
      </c>
      <c r="E829" t="n">
        <v>1</v>
      </c>
      <c r="F829">
        <f>HYPERLINK("https://www.reddit.com/r/COVID19positive/comments/gdte48/its_eating_me_up_to_not_know_if_my_mom_is_in_the/")</f>
        <v/>
      </c>
      <c r="G829" t="inlineStr">
        <is>
          <t>2020-05-05 00:43:48</t>
        </is>
      </c>
      <c r="H829" t="inlineStr">
        <is>
          <t>Tested Positive - Family</t>
        </is>
      </c>
    </row>
    <row r="830">
      <c r="A830" t="inlineStr">
        <is>
          <t>gdthzi</t>
        </is>
      </c>
      <c r="B830" t="inlineStr">
        <is>
          <t>Days 32-39: a recovery!!</t>
        </is>
      </c>
      <c r="C830" t="inlineStr">
        <is>
          <t>My history is in my previous posts but I wanted to give people some hope that recovery is possible! I was in the ER on day 30, as I was having such bad SOB. On day 32 I felt a little better and since then every day has been a better day! 
I’m feeling cautiously optimistic. I’m able to move around the house more easily and go for walks. After weeks of struggle, where each incremental gain was quickly lost the next day, I am surprised each day to see my recovery continue and my breathing become more normal. It seems to even be speeding up. I pushed myself a little hard doing housework yesterday and then rested in the afternoon, but am fine today. 
One thing I thought was interesting - I’ve always suffered from sinus issues, and during this sickness, while I woke up feeling SO crappy, my nasal passages were unusually clear. This past week I’m waking up with a blocked nose again! I’m hoping that’s a signal that the virus has really given, and my other ailments can return! Also I did start taking zinc and vitamin C around the time my recovery started, but I don’t think it’s related. 
Don’t give up hope! You might feel crappy beginning week 5 of sickness but find yourself on a recovery path beginning week 6! Things can turn quickly for the positive!</t>
        </is>
      </c>
      <c r="D830" t="n">
        <v>1</v>
      </c>
      <c r="E830" t="n">
        <v>17</v>
      </c>
      <c r="F830">
        <f>HYPERLINK("https://www.reddit.com/r/COVID19positive/comments/gdthzi/days_3239_a_recovery/")</f>
        <v/>
      </c>
      <c r="G830" t="inlineStr">
        <is>
          <t>2020-05-05 00:53:16</t>
        </is>
      </c>
      <c r="H830" t="inlineStr">
        <is>
          <t>Presumed Positive - From Doctor</t>
        </is>
      </c>
    </row>
    <row r="831">
      <c r="A831" t="inlineStr">
        <is>
          <t>gdw822</t>
        </is>
      </c>
      <c r="B831" t="inlineStr">
        <is>
          <t>Day 37 - is there hope for me? Those who recovered after long cases, please share your experience</t>
        </is>
      </c>
      <c r="C831" t="inlineStr">
        <is>
          <t>29F here, no previous health conditions.
The only fever I got was 37.6-37.9 for 2 days at the end of March. 
The symptoms I’ve had but they are gone now:
- some coughing 
- upper back/neck pain 
-fatigue (I mostly feel fine now with standard levels of energy)
-fits of “feeling weird” (dizzy and all over off) followed by intense shaking 
-palpitations 
The symptoms I still have:
- shortness of breath: at some point I thought it was gone, but then it came back..it’s not like I’m gasping for air, it just feels like every breath I take doesn’t give as much oxygen as it normally would 
- some chest pressure 
- mucus - it feels like it’s not in my lungs, but somewhere between my nose and throat 
- GI issues (unusually gassy sometimes +a lot of burping, some loose stools)
- sometimes feeling heat in my face 
- yesterday I got nasty herpes on my lip
- weird pains in my chest and back here and there, not long-lasting
At this point I’m mentally exhausted. I don’t know if it will be over some day. I’ve never been sick for so long. I’m not the same person I used to be - happy, bubbly and chatty. I cry several times a day - it’s just really scary to be sick with something no one knows how to cure..
Have anyone here completely recovered after such long cases? Should I expect more symptoms to come? What helped you get through this?</t>
        </is>
      </c>
      <c r="D831" t="n">
        <v>1</v>
      </c>
      <c r="E831" t="n">
        <v>29</v>
      </c>
      <c r="F831">
        <f>HYPERLINK("https://www.reddit.com/r/COVID19positive/comments/gdw822/day_37_is_there_hope_for_me_those_who_recovered/")</f>
        <v/>
      </c>
      <c r="G831" t="inlineStr">
        <is>
          <t>2020-05-05 04:43:22</t>
        </is>
      </c>
      <c r="H831" t="inlineStr">
        <is>
          <t>Presumed Positive - From Doctor</t>
        </is>
      </c>
    </row>
    <row r="832">
      <c r="A832" t="inlineStr">
        <is>
          <t>gdx5v0</t>
        </is>
      </c>
      <c r="B832" t="inlineStr">
        <is>
          <t>Question for others with a similar case. Day ok, symptom night, repeat. Now symptoms night, day ok.</t>
        </is>
      </c>
      <c r="C832" t="inlineStr">
        <is>
          <t>Day 3 was scariest.  Besides that, just an hour or more of virus doing it’s thing in one area.  2 nights ago, mucus ear jaw teeth.
Last night it cycled through all my symptoms I’ve had, all over body.  Feel okish today, worse than yesterday.  Fatigue.
I’m worried the virus will overwhelm my body if I get all my issues to continue to increase all over.  It’s like it had to put out 10 small fires for 10 to 15 mins.
Anybody have this type of progression?  Looking for some anxiety relief.
I also tested yesterday, but my doctor said presume I am positive.</t>
        </is>
      </c>
      <c r="D832" t="n">
        <v>1</v>
      </c>
      <c r="E832" t="n">
        <v>9</v>
      </c>
      <c r="F832">
        <f>HYPERLINK("https://www.reddit.com/r/COVID19positive/comments/gdx5v0/question_for_others_with_a_similar_case_day_ok/")</f>
        <v/>
      </c>
      <c r="G832" t="inlineStr">
        <is>
          <t>2020-05-05 05:51:46</t>
        </is>
      </c>
      <c r="H832" t="inlineStr">
        <is>
          <t>Presumed Positive - From Doctor</t>
        </is>
      </c>
    </row>
    <row r="833">
      <c r="A833" t="inlineStr">
        <is>
          <t>gdxcs3</t>
        </is>
      </c>
      <c r="B833" t="inlineStr">
        <is>
          <t>Day 59 - Feeling a lot better, 2 symptoms still remain that let me know the virus is still in me. I'm frustrated.</t>
        </is>
      </c>
      <c r="C833" t="inlineStr">
        <is>
          <t>I started feeling symptoms the first week of March. I guess I could be classified as a "mild" case. This virus is extremely persistent though. I went through a crazy rollercoaster of symptoms and I had everything from shortness of breath to severe GI issues. I experienced most if the symptoms that people talk about in this forum. It has been the scariest 2 months of my entire life. I am planning on sharing my entire story soon.
At this point, on day 59, most symptoms have resolved... but I still have a few things going on that let's me know that the virus is still active in me.
1- Eye issues. When I wake up in the morning my left eye is always red and I get a lot crusties on that eye only (sorry for the TMI). It gets blurry throughout the day too. 
2 - Lymph node pain.The ymph nodes around my neck and collarbone area still hurt. They are not swollen, but they are sore and painful at times. It's really bothersome.
Other than thst, I'm okay. My heart rate is higher than usual, some times I have aches and pains but it's nothing compared to a month ago.
If those two symptoms would go away then I could finally believe that I am recovering. The thing is, those symptoms show me that the virus is still alive and well. I don't understand why my body hasn't killed this virus yet. It's driving me crazy. I just want to feel like my normal self!!! Why is this taking so damn long?</t>
        </is>
      </c>
      <c r="D833" t="n">
        <v>1</v>
      </c>
      <c r="E833" t="n">
        <v>23</v>
      </c>
      <c r="F833">
        <f>HYPERLINK("https://www.reddit.com/r/COVID19positive/comments/gdxcs3/day_59_feeling_a_lot_better_2_symptoms_still/")</f>
        <v/>
      </c>
      <c r="G833" t="inlineStr">
        <is>
          <t>2020-05-05 06:04:48</t>
        </is>
      </c>
      <c r="H833" t="inlineStr">
        <is>
          <t>Presumed Positive - From Doctor</t>
        </is>
      </c>
    </row>
    <row r="834">
      <c r="A834" t="inlineStr">
        <is>
          <t>gdxgbl</t>
        </is>
      </c>
      <c r="B834" t="inlineStr">
        <is>
          <t>Update: Recovered. Pneumonia cleared, lungs normal, and doctor thinks I’m no longer contagious. Medically cleared for work. Received antibody test yesterday.</t>
        </is>
      </c>
      <c r="C834" t="inlineStr">
        <is>
          <t>I’ve been fever free for almost 2 weeks already with a significant reduction of symptoms. Breathing is practically back to normal. Just got cleared by doctor yesterday. Urgent care took a blood sample from me and I’m hoping I have antibodies. They didn’t do a retest for some reason as they said it’s not accurate and getting a blood test is better. I’ll definitely donate as many times as possible to help purge this god damn virus out of this earth. I can safely say the worst is behind me. Thank you all on this community, you guys helped me get through this. I’m going to continue to comment and post here as well as check up on fellow members still fighting. I owe it to this community.</t>
        </is>
      </c>
      <c r="D834" t="n">
        <v>1</v>
      </c>
      <c r="E834" t="n">
        <v>65</v>
      </c>
      <c r="F834">
        <f>HYPERLINK("https://www.reddit.com/r/COVID19positive/comments/gdxgbl/update_recovered_pneumonia_cleared_lungs_normal/")</f>
        <v/>
      </c>
      <c r="G834" t="inlineStr">
        <is>
          <t>2020-05-05 06:11:42</t>
        </is>
      </c>
      <c r="H834" t="inlineStr">
        <is>
          <t>Tested Positive</t>
        </is>
      </c>
    </row>
    <row r="835">
      <c r="A835" t="inlineStr">
        <is>
          <t>gdxnlk</t>
        </is>
      </c>
      <c r="B835" t="inlineStr">
        <is>
          <t>Week 5 and finally a negative swab!</t>
        </is>
      </c>
      <c r="C835" t="inlineStr">
        <is>
          <t>March 31st was my onset of symptoms. I had a very mild case. My first symptom was a runny nose and sinus headache. Then my sense of smell was lost for about a week and I had some very mild shortness of breath for a day or two. For the past 3 weeks I have had absolutely no symptoms yet all 5 tests I took to return to work came back positive until yesterday. 
Giving you guys some hope that you will get through this!</t>
        </is>
      </c>
      <c r="D835" t="n">
        <v>1</v>
      </c>
      <c r="E835" t="n">
        <v>12</v>
      </c>
      <c r="F835">
        <f>HYPERLINK("https://www.reddit.com/r/COVID19positive/comments/gdxnlk/week_5_and_finally_a_negative_swab/")</f>
        <v/>
      </c>
      <c r="G835" t="inlineStr">
        <is>
          <t>2020-05-05 06:24:55</t>
        </is>
      </c>
      <c r="H835" t="inlineStr">
        <is>
          <t>Tested Positive - Me</t>
        </is>
      </c>
    </row>
    <row r="836">
      <c r="A836" t="inlineStr">
        <is>
          <t>gdyhbz</t>
        </is>
      </c>
      <c r="B836" t="inlineStr">
        <is>
          <t>Anyone elses smell/taste not 100% after a month?</t>
        </is>
      </c>
      <c r="C836" t="inlineStr">
        <is>
          <t>Been about a month now since I lost my smell and taste. Came back after about a week and since then it's slowly been recovering. Still not at 100% yet, there are still certain things a can't smell, it weird.</t>
        </is>
      </c>
      <c r="D836" t="n">
        <v>1</v>
      </c>
      <c r="E836" t="n">
        <v>26</v>
      </c>
      <c r="F836">
        <f>HYPERLINK("https://www.reddit.com/r/COVID19positive/comments/gdyhbz/anyone_elses_smelltaste_not_100_after_a_month/")</f>
        <v/>
      </c>
      <c r="G836" t="inlineStr">
        <is>
          <t>2020-05-05 07:14:10</t>
        </is>
      </c>
      <c r="H836" t="inlineStr">
        <is>
          <t>Tested Positive - Me</t>
        </is>
      </c>
    </row>
    <row r="837">
      <c r="A837" t="inlineStr">
        <is>
          <t>gdz8yg</t>
        </is>
      </c>
      <c r="B837" t="inlineStr">
        <is>
          <t>UPDATE: Finally Recovering - Now having allergic reactions (likely?) unrelated to covid 19</t>
        </is>
      </c>
      <c r="C837" t="inlineStr">
        <is>
          <t>Link to original post: https://www.reddit.com/r/COVID19positive/comments/ga1vth/finally_recovering/?utm_source=share&amp;amp;utm_medium=ios_app&amp;amp;utm_name=iossmf
Thank you to everyone that showed so much love and support! It felt great. So far I have not relapsed in any of my coronavirus symptoms, and feel great in that aspect. 
However, I now have experienced anaphylaxis-like reactions twice since 5/2 that put me in the ER. It definitely seems to be food related (I already have an easy to manage dairy allergy). My throat now gets tight and swollen, hives, hard to breathe, the whole thing. I have a short list of what I think it is and other items I’m suspicious about. I’m seeing an allergist tomorrow. 
The thing that makes it so strange is the timing. As soon as I get over corona, I now have this life threatening allergic reaction that doesn’t seem to be going away; out of left field. I’m just really curious to see if anyone else has heard of this type of thing in association with covid. With how finicky this virus is, and how little is known in the grand scheme of things, I doubt I can get an answer but thought it’d be worth checking out. 
Thanks!</t>
        </is>
      </c>
      <c r="D837" t="n">
        <v>2</v>
      </c>
      <c r="E837" t="n">
        <v>24</v>
      </c>
      <c r="F837">
        <f>HYPERLINK("https://www.reddit.com/r/COVID19positive/comments/gdz8yg/update_finally_recovering_now_having_allergic/")</f>
        <v/>
      </c>
      <c r="G837" t="inlineStr">
        <is>
          <t>2020-05-05 07:57:48</t>
        </is>
      </c>
      <c r="H837" t="inlineStr">
        <is>
          <t>Tested Positive - Me</t>
        </is>
      </c>
    </row>
    <row r="838">
      <c r="A838" t="inlineStr">
        <is>
          <t>ge0wxs</t>
        </is>
      </c>
      <c r="B838" t="inlineStr">
        <is>
          <t>Currently have it, asymptomatic. If I'm not immune and I get it again, could I get it worse the second time or is this just how my body reacts to COVID?</t>
        </is>
      </c>
      <c r="C838" t="inlineStr">
        <is>
          <t>It's basically all in the title. I know the jury's still out on whether immunity is guaranteed to begin with for people who've recovered, but do we know anything about how the virus affects people the second time around, if there's a second time around? 
I'm not struggling now. I'm 28, my only pre-existing condition is asthma, and I feel totally fine. I've probably had the virus for over 2 weeks at this point, judging from when I was exposed. (I have a fairly good idea of how I was exposed) I'm not figuring that it's going to get too much worse than this. But I'm not sold on immunity and idk, I'm worried about dying early. I don't wanna do that.
Does anyone know anything about this?</t>
        </is>
      </c>
      <c r="D838" t="n">
        <v>1</v>
      </c>
      <c r="E838" t="n">
        <v>5</v>
      </c>
      <c r="F838">
        <f>HYPERLINK("https://www.reddit.com/r/COVID19positive/comments/ge0wxs/currently_have_it_asymptomatic_if_im_not_immune/")</f>
        <v/>
      </c>
      <c r="G838" t="inlineStr">
        <is>
          <t>2020-05-05 09:26:55</t>
        </is>
      </c>
      <c r="H838" t="inlineStr">
        <is>
          <t>Tested Positive - Me</t>
        </is>
      </c>
    </row>
    <row r="839">
      <c r="A839" t="inlineStr">
        <is>
          <t>ge1dhk</t>
        </is>
      </c>
      <c r="B839" t="inlineStr">
        <is>
          <t>Would an inhaler help with shortness of breath?</t>
        </is>
      </c>
      <c r="C839" t="inlineStr">
        <is>
          <t>Trying to get some work done from home and the shortness of breath is driving me mad.
It's not too bad, I just feel like no air is going in when I breath and that my throat is closed up. Feels like someone is pressing on my chest. I also sometimes get numb feet and hands. Sometimes I have more shallow breathing, depends of the day I guess. Also have chest pains. 
7 weeks from first symptoms and SOB wasn't this bad before. I just want to be able to go back to work so would an inhaler help?</t>
        </is>
      </c>
      <c r="D839" t="n">
        <v>2</v>
      </c>
      <c r="E839" t="n">
        <v>9</v>
      </c>
      <c r="F839">
        <f>HYPERLINK("https://www.reddit.com/r/COVID19positive/comments/ge1dhk/would_an_inhaler_help_with_shortness_of_breath/")</f>
        <v/>
      </c>
      <c r="G839" t="inlineStr">
        <is>
          <t>2020-05-05 09:51:02</t>
        </is>
      </c>
      <c r="H839" t="inlineStr">
        <is>
          <t>Presumed Positive - From Doctor</t>
        </is>
      </c>
    </row>
    <row r="840">
      <c r="A840" t="inlineStr">
        <is>
          <t>ge1t75</t>
        </is>
      </c>
      <c r="B840" t="inlineStr">
        <is>
          <t>Vent. Frustration on Day 36: felt great. Light exercise = lungs burning.</t>
        </is>
      </c>
      <c r="C840" t="inlineStr">
        <is>
          <t>I (36f)  was feeling really good. Not light headed, fatigued and no lung symptoms.  Im getting frustrated because any activity is wearing me out and im gaining weight (even on keto) since this started. I rode my recumbent exercise bike  for 15 minutes or so thinking its the lightest activity possible. Itll be fine. About 10 min after my lungs were on fire and it lasted until this morning.  SpO² was okay though. 95% 
Albuterol inhaler helped for a short bursts. I guess im mostly frustrated because i will feel guilt and gross. I have a telehealth appointment this afternoon.  My dr said some activity was good but it sure feels terrible.</t>
        </is>
      </c>
      <c r="D840" t="n">
        <v>1</v>
      </c>
      <c r="E840" t="n">
        <v>19</v>
      </c>
      <c r="F840">
        <f>HYPERLINK("https://www.reddit.com/r/COVID19positive/comments/ge1t75/vent_frustration_on_day_36_felt_great_light/")</f>
        <v/>
      </c>
      <c r="G840" t="inlineStr">
        <is>
          <t>2020-05-05 10:13:17</t>
        </is>
      </c>
      <c r="H840" t="inlineStr">
        <is>
          <t>Presumed Positive - From Doctor</t>
        </is>
      </c>
    </row>
    <row r="841">
      <c r="A841" t="inlineStr">
        <is>
          <t>ge2anc</t>
        </is>
      </c>
      <c r="B841" t="inlineStr">
        <is>
          <t>Queens- Testing locations?</t>
        </is>
      </c>
      <c r="C841" t="inlineStr">
        <is>
          <t>I’m presumed positive by a doc since 4/22. I’m finally fever free for 3 days. Where can I go to get the antibody test and test to make sure I’m negative? I’m in Fresh Meadows/Kew Gardens</t>
        </is>
      </c>
      <c r="D841" t="n">
        <v>2</v>
      </c>
      <c r="E841" t="n">
        <v>9</v>
      </c>
      <c r="F841">
        <f>HYPERLINK("https://www.reddit.com/r/COVID19positive/comments/ge2anc/queens_testing_locations/")</f>
        <v/>
      </c>
      <c r="G841" t="inlineStr">
        <is>
          <t>2020-05-05 10:39:30</t>
        </is>
      </c>
      <c r="H841" t="inlineStr">
        <is>
          <t>Presumed Positive - From Doctor</t>
        </is>
      </c>
    </row>
    <row r="842">
      <c r="A842" t="inlineStr">
        <is>
          <t>ge2ih3</t>
        </is>
      </c>
      <c r="B842" t="inlineStr">
        <is>
          <t>Update : slow recovery (day ???, 1month,1week)</t>
        </is>
      </c>
      <c r="C842" t="inlineStr">
        <is>
          <t>So,I got tested for the antibodies and a swab test . Negative for both,which though I am sad about not developing antibodies (yet?), I am virus free but I’m hopefully taking another swab test before I go throwing myself a party(cautiously optimistic). I got the positive result rather quickly when first diagnosed so 🤷🏻‍♀️still am slowly eating( upgraded to beans, chicken ) GI doctor says it’ll take a few more weeks before my system returns to full services (taking Pepcid)There is a bit of pain in my upper back but oxy is at 97_98 and can breathe okay except in minor situations. Heart rate is slowly returning to regular rate. I do get occasional headaches but it’s so minor compared to my migraines. I’m only doing minor stuff like cleaning,walking around &amp;amp; yoga till the GI and upper back issue resolve.
doctor wants to repeat the antibody test in early June to see if I did get it. If I do , debating about donating plasma.I want to but there might be two things stopping me : former anemic &amp;amp; wanting to keep some for myself. It’s because My body already fights my IBD(immune already down for that)and I don’t want to see a round 2 of covid for a long while🙅🏻‍♀️no selfishness, if I could donate one/two bags would be fine by me, knowing I’m helping others worse off but I’ll keep everyone updated on what I decide.</t>
        </is>
      </c>
      <c r="D842" t="n">
        <v>3</v>
      </c>
      <c r="E842" t="n">
        <v>8</v>
      </c>
      <c r="F842">
        <f>HYPERLINK("https://www.reddit.com/r/COVID19positive/comments/ge2ih3/update_slow_recovery_day_1month1week/")</f>
        <v/>
      </c>
      <c r="G842" t="inlineStr">
        <is>
          <t>2020-05-05 10:51:18</t>
        </is>
      </c>
      <c r="H842" t="inlineStr">
        <is>
          <t>Tested Positive - Me</t>
        </is>
      </c>
    </row>
    <row r="843">
      <c r="A843" t="inlineStr">
        <is>
          <t>ge4odv</t>
        </is>
      </c>
      <c r="B843" t="inlineStr">
        <is>
          <t>After 7 weeks of mild symptom should I go to doctor?</t>
        </is>
      </c>
      <c r="C843" t="inlineStr">
        <is>
          <t>37m no real prior conditions. I hesitate to say mild symptoms, but I still have lingering chest pain, on and off coughing, tired and some other little things. I’ve had most of the symptoms in waves and went through one rough relapse at week 4. I’m a little better since then, but it seems like each day is the same... not really better, but not really worse. And each day it seems like it’s something a little different that is bothering me. I’ve had every emotion during this as well. 
This forum has really helped and I’ve read some people that are much worse and feel for them.
I keep going back and forth with trying to get blood work, more tests done to make sure I’m ok. I didn’t really have a primary doctor before this. I linked up with a doctor by phone but do not know him well. 
His advise is to stay home and not to risk going to hospital/clinic/doctors office. Says the risk of reinfection/getting something else is not worth the reward cause there are still so many unknowns with virus. And since I’m not really getting worse just to hang in there. I wasn’t even sure I could get to a doctor for blood work (not for covid testing, but to make sure heart/liver/kidneys/lungs are ok.) had two chest X-rays way back on day 1 and 10, and an ekg at day 10 that was clear.
Today I was able to schedule an appointment at a clinic for a physical/bloodwork in a few days. But after talking to him and seeing other people on day 60+ I’m nervous as hell to go.
What are your thoughts?
Also kinda new to reddit. I would like to link up with a group chat/another forum for positive patients that’s more live... anyone have suggestions on how to do that?</t>
        </is>
      </c>
      <c r="D843" t="n">
        <v>1</v>
      </c>
      <c r="E843" t="n">
        <v>28</v>
      </c>
      <c r="F843">
        <f>HYPERLINK("https://www.reddit.com/r/COVID19positive/comments/ge4odv/after_7_weeks_of_mild_symptom_should_i_go_to/")</f>
        <v/>
      </c>
      <c r="G843" t="inlineStr">
        <is>
          <t>2020-05-05 12:48:55</t>
        </is>
      </c>
      <c r="H843" t="inlineStr">
        <is>
          <t>Tested Positive - Me</t>
        </is>
      </c>
    </row>
    <row r="844">
      <c r="A844" t="inlineStr">
        <is>
          <t>ge4skc</t>
        </is>
      </c>
      <c r="B844" t="inlineStr">
        <is>
          <t>Anyone else feel like a just born calf standing on shaky legs??</t>
        </is>
      </c>
      <c r="C844" t="inlineStr">
        <is>
          <t>Weirdest symptom ever.</t>
        </is>
      </c>
      <c r="D844" t="n">
        <v>3</v>
      </c>
      <c r="E844" t="n">
        <v>17</v>
      </c>
      <c r="F844">
        <f>HYPERLINK("https://www.reddit.com/r/COVID19positive/comments/ge4skc/anyone_else_feel_like_a_just_born_calf_standing/")</f>
        <v/>
      </c>
      <c r="G844" t="inlineStr">
        <is>
          <t>2020-05-05 12:55:07</t>
        </is>
      </c>
      <c r="H844" t="inlineStr">
        <is>
          <t>Tested Positive</t>
        </is>
      </c>
    </row>
    <row r="845">
      <c r="A845" t="inlineStr">
        <is>
          <t>ge4uh8</t>
        </is>
      </c>
      <c r="B845" t="inlineStr">
        <is>
          <t>I’m an RN who had the luck of catching COVID-19, and unfortunately gave it to my parents. Here’s what happened the last two weeks.</t>
        </is>
      </c>
      <c r="C845" t="inlineStr">
        <is>
          <t>I know this can come in ebbs and flows and am prepared for this to come back but as of this week I feel really great. My mom and I both feel as though our symptoms were minor. My dad definitely got it worse than us but has been stable. Figured I’d share our experience so far! 
Apologies for the length, wanted to be thorough. 
Me - 26F, No medical history.
Days prior to 4/17 I had some chills . I also had some pretty bad heartburn which I’ve never had before this. Throughout the whole thing I’ve had no real fever, O2 97-99%. 
4/17  Sore throat got worse, very dry and felt like it was cracked open, had a mild cough. 
4/18 Had a low grade fever (99.5) with chest congestion. 
4/19 Fever gone, chest congestion was better. 
4/20 Chest congestion and cough came back. Fatigued. 
4/21 Chest congestion slightly worse.  I lost my sense of smell &amp;amp; taste. Head and sinuses throbbing. Burning sensation in one nostril that persisted for a few days. 
4/22 Smell/taste still gone, chest felt heavy/achy/congested. Got tested this day, was (+)
4/23-4/27 Headaches got more severe and I had a slight increase in shortness of breath, very fatigued these days as well. Appetite decreased &amp;amp; very nauseated. 
4/28 headache/sinus ache to end all headaches, I was incapacitated all day. 
4/29 -5/1 breathing easier, aches subsided only mild headaches. One episode of GI upset. 
5/2-5/3 Energy is back, the weird ache in my chest as almost gone. Appetite is back. Still get little episodes of shortness of breath. I was able to do a short yoga class without any issues. Heartburn is back. 
5/4-5/5 - feel 100% better. Just want out of this house! Awaiting results of retest. 
Mom - 59F, history of a narrow trachea which causes a chronic cough. Takes a steroid inhaler. Her O2 has been 96-98%, no fever besides her first day of symptoms. 
4/22 Low grade fever, 100.4 and chills. Coughing more. 
4/23 started to feel missternal chest congestion, little short of breath. 
4/24-4/30 Tested 4/24, came back (+). Up and downs every day with the chest congestion and shortness of breath, but never winded. Cough slightly worse.  She had the same chest aches/heaviness I had. Biggest complaints were nerve pain in her legs and hands, persistent dizziness, as well as some diarrhea and appetite loss. Honestly seems like she was had more neuro symptoms than anything. 
5/1-5/3 energy is back, chest heaviness/aches are gone. Her appetite is improving but the diarrhea has stayed. Has jolts of nerve pain but mostly has gone away. 
5/4-5/5 little short of breath here and there but otherwise no symptoms. 
Dad - 64M
History of high BP, heart failure, COPD, 35 year smoker - quit 12 years ago. The doctor told us his baseline O2 is between 94-96% and he’s been between 94-98% throughout this. 
4/21-4/25 dry cough and pretty intense muscle aches. Overall feeling pretty well though. Tested 4/25, came back negative but the doctors believe we tested him too early and he’s presumptive positive. 
4/26-4/27 overnight between these two days he developed a 102 degree fever, rigors, severe headache. His HR was 100-110 with the fever (came down once it was gone). Says it’s the worst he’s ever felt in his life. We weren’t able to get the fever down until midmorning on the 27th. Very, very fatigued. Fever did come back but not as high. 100.8 was the highest we got. Had a lot of diarrhea 4/27. 
4/28-5/1 fatigue was persisting but he was able to get up and do stuff around the house. His cough had gotten worse, but he denied any shortness of breath or chest pain. He just had that same weird chest heaviness that me and my mom had.  No fever at all (usually around 98.6). We had him go to the doctors cuz of the persistent cough and his chest x-ray came back clear. Very achy throughout body. 
5/2-5/3 Still coughing but it is lessening. Chest congestion has cleared. Still fatigued but not as much. Muscle aches and nerve pain is gone. Says he’s feeling a lot better. Retested, waiting for results. 
5/4 spiked a fever again, 100.4. O2 dipped slightly. Cough is nasty this day. Fatigued. 
5/5 - no fever, cough slightly improved. Very fatigued. 
Besides my dads temps and one day of low O2, we have all had stable vitals. I can honestly say that my mom and I are feeling close to 100%. Dad is on the mend but he is a few days behind us. 
Not funny but kind of funny, my brother and sister in law (she is an LPN at a nursing home that has a lot of COVID cases) actually caught COVID as well a few days before us, and we haven’t seen each other since February. Their three kids, including a 3 month old, were all asymptomatic. They are now recovered after two weeks of illness!</t>
        </is>
      </c>
      <c r="D845" t="n">
        <v>4</v>
      </c>
      <c r="E845" t="n">
        <v>72</v>
      </c>
      <c r="F845">
        <f>HYPERLINK("https://www.reddit.com/r/COVID19positive/comments/ge4uh8/im_an_rn_who_had_the_luck_of_catching_covid19_and/")</f>
        <v/>
      </c>
      <c r="G845" t="inlineStr">
        <is>
          <t>2020-05-05 12:57:59</t>
        </is>
      </c>
      <c r="H845" t="inlineStr">
        <is>
          <t>Tested Positive - Me</t>
        </is>
      </c>
    </row>
    <row r="846">
      <c r="A846" t="inlineStr">
        <is>
          <t>ge5n8i</t>
        </is>
      </c>
      <c r="B846" t="inlineStr">
        <is>
          <t>Buzzing ears and a tense/locked jaw/extra salivating?</t>
        </is>
      </c>
      <c r="C846" t="inlineStr">
        <is>
          <t>So I am on week 6 and a half, still fatigued, minor fever and the ears buzzing and a tense jaw, anyone else experience this?</t>
        </is>
      </c>
      <c r="D846" t="n">
        <v>1</v>
      </c>
      <c r="E846" t="n">
        <v>10</v>
      </c>
      <c r="F846">
        <f>HYPERLINK("https://www.reddit.com/r/COVID19positive/comments/ge5n8i/buzzing_ears_and_a_tenselocked_jawextra_salivating/")</f>
        <v/>
      </c>
      <c r="G846" t="inlineStr">
        <is>
          <t>2020-05-05 13:38:06</t>
        </is>
      </c>
      <c r="H846" t="inlineStr">
        <is>
          <t>Presumed Positive - From Doctor</t>
        </is>
      </c>
    </row>
    <row r="847">
      <c r="A847" t="inlineStr">
        <is>
          <t>ge5s0l</t>
        </is>
      </c>
      <c r="B847" t="inlineStr">
        <is>
          <t>Hypothermia?</t>
        </is>
      </c>
      <c r="C847" t="inlineStr">
        <is>
          <t>I tested positive about a week ago. I would describe my symptoms as fairly mild. Extreme fatigue and complete loss of smell, 75%loss of taste. Mild cough.
I have not had a fever above 99.8, and just for one day. BUT. I am a very active person usually, so I decided to go on a walk 2 days ago. I walked for about 1.5 hours, came back and sat down. Suddenly I felt very tired, confused and cold. 
I took my temp thinking I may have a fever. It read 93.2. I took it again (not drinking anything before you ask) and it read the same. My dad sanitized the thermometer and took his- Normal. Now back to me, 93.4. 
We put my under a heated blanket and wrote it off as a weird thing. Thing is, it happened AGAIN today. 
Anyone else having wild temp swings?</t>
        </is>
      </c>
      <c r="D847" t="n">
        <v>2</v>
      </c>
      <c r="E847" t="n">
        <v>11</v>
      </c>
      <c r="F847">
        <f>HYPERLINK("https://www.reddit.com/r/COVID19positive/comments/ge5s0l/hypothermia/")</f>
        <v/>
      </c>
      <c r="G847" t="inlineStr">
        <is>
          <t>2020-05-05 13:45:24</t>
        </is>
      </c>
      <c r="H847" t="inlineStr">
        <is>
          <t>Tested Positive - Me</t>
        </is>
      </c>
    </row>
    <row r="848">
      <c r="A848" t="inlineStr">
        <is>
          <t>ge66ll</t>
        </is>
      </c>
      <c r="B848" t="inlineStr">
        <is>
          <t>Still symptomatic after two negative tests. Anyone else?</t>
        </is>
      </c>
      <c r="C848" t="inlineStr">
        <is>
          <t>I'm 32, living in NYC, and have been symptomatic since 3/30 (so on Day 37).
Symptoms (shortness of breath, low grade fever and chills, chest pain / burning / tightness, fatigue, loss of smell and taste) were at their most severe between days 1 and 15, however I have continued to cycle through shortness of breath, occasional low grade fever, rib / chest / abdominal pains.
In the past two weeks I've had two covid tests, an EKG monitor and chest x-ray. Negative on all of the tests, and vitals looked good.
Has anyone else continued to have symptoms, even after getting multiple negative tests? If so, what has your medical assessment been? My doctor thinks that symptoms mean infection - but after 37 days and two negative tests, I kinda doubt I'm still shedding the virus. But looking for any info that might help me understand why symptoms continue to persist. Some kind of post viral syndrome maybe?</t>
        </is>
      </c>
      <c r="D848" t="n">
        <v>3</v>
      </c>
      <c r="E848" t="n">
        <v>34</v>
      </c>
      <c r="F848">
        <f>HYPERLINK("https://www.reddit.com/r/COVID19positive/comments/ge66ll/still_symptomatic_after_two_negative_tests_anyone/")</f>
        <v/>
      </c>
      <c r="G848" t="inlineStr">
        <is>
          <t>2020-05-05 14:06:53</t>
        </is>
      </c>
      <c r="H848" t="inlineStr">
        <is>
          <t>Presumed Positive - From Doctor</t>
        </is>
      </c>
    </row>
    <row r="849">
      <c r="A849" t="inlineStr">
        <is>
          <t>ge8xad</t>
        </is>
      </c>
      <c r="B849" t="inlineStr">
        <is>
          <t>Having COVID-19 antibodies right now is like having a superpower.</t>
        </is>
      </c>
      <c r="C849" t="inlineStr">
        <is>
          <t>What would one do with such powers?</t>
        </is>
      </c>
      <c r="D849" t="n">
        <v>1</v>
      </c>
      <c r="E849" t="n">
        <v>20</v>
      </c>
      <c r="F849">
        <f>HYPERLINK("https://www.reddit.com/r/COVID19positive/comments/ge8xad/having_covid19_antibodies_right_now_is_like/")</f>
        <v/>
      </c>
      <c r="G849" t="inlineStr">
        <is>
          <t>2020-05-05 16:41:36</t>
        </is>
      </c>
      <c r="H849" t="inlineStr">
        <is>
          <t>Tested Positive</t>
        </is>
      </c>
    </row>
    <row r="850">
      <c r="A850" t="inlineStr">
        <is>
          <t>ge9gc5</t>
        </is>
      </c>
      <c r="B850" t="inlineStr">
        <is>
          <t>31M, Mild Case, Day 54, 98% recovered. I logged everything.</t>
        </is>
      </c>
      <c r="C850" t="inlineStr">
        <is>
          <t>Hello!
First of all, this sub has been a great comforter, I was able to cross check several times with the experiences of others and this kept myself sane, level-headed and calm.
Here is my case, please feel free to share this information if it helps, and feel free to ask for more.
**Background:**
I started self-quarantine on March 06 as my sister arrived from Milan to visit me for my bday. She traveled from Milan to Bergamo by bus and from there took a flight here. There was people coughing on the plane (including an air steward).
She took the best precautions she could while traveling, wore a mask the whole trip, in the end we believe the mistake was either bad use of the mask or that I hugged her as we met on her arrival to the airport. Its possible I got infected first and then I infected her, given the timeline, but we still have several theories.
on March 09 Italy closed, and on March 12 the emergency situation started here. We had been in quarantine since before anyway. First symptom for me started on March 13. My sister had no symptoms until a day she felt breathless (March 18, day 14 of her travel, she described it as a panic attack or anxiety). She had it for a couple of days and then felt better and showed no more symptoms since.
I called my doctor on March 19, explained everything and our symptoms. She said it was a clear suspect case given the circumstances. We were to keep full quarantine 14 days, and call an ambulance if the breathing got worse. No test as we were not in any risk group and at that time only those at risk or at the ER were being tested. Things have changed now and I'm waiting for the antibody testing as they will test everyone here for antibodies at one point.
My case was wavy like many people here. I took no medicine whatsoever, only supplemented Vitamin D (100ug every other day) and took a daily multivitamin. My last respiratory symptom was on April 22. I felt 100% recovered between waves and went out walking 2 hours (same mistake like many here) which prompted the second wave.
Worst days were day 6, 7, 10, 31, and 32. In that order also from worse to meh.
[I logged everything I could.](https://docs.google.com/spreadsheets/d/1dhTq4X0Rbq1t3xbBimlWhhM_f-LpS53C01yxtU6f5n0/edit?usp=sharing) That is a Google Sheets with every single measurement I could trying to be as detailed as possible. Its not the best design but it gave me a lot of visibility of my health status and development, I recommend everybody with symptoms to do this if they are not already.
**Some legends to the data:**
* "BOT" was my first way to check my oxygen/breathing, I vaguely remember it meaning something breathless baseline or similar from a YouTube video which I cant find anymore. Its just breathing normal and then suspend breathing after a normal exhalation, counting time until you feel the urge to breathe again. It was helpful until I got a pulse oximeter.
* "Hold" is the amount of time I was able to hold my breath after a big inspiration.
* Rating is the subjective feeling of the day, its a scale of 0 to 5 (from "called ambulance" to "had a great day")
* You'll find "bb" somewhere in the symptoms, its short for "blue balls", I had it a couple of times (once each wave) and it sucked.
**Some extra observations:**
* Fever was taken under tongue at least 3 times a day during waves, I never felt feverish. Rest of measurements is once at evening.
* Every single time I over did it on the sugar I felt worse.
* Caffeine made me feel pretty bad on the first wave, but was helpful on the second wave.
* Hot showers and inhaling vapor helped a lot, was relaxing and made breathing easier. I used to do this back when asthma, along with coffee to help breathing. Vapor was also recommended by the doctor.
* On nights of day 7 and 8 I felt like I was going to pass out when I was drifting to sleep, this was the point where I prepared my stuff and backpack in case I needed to go to ER.
* Sometimes I felt a very marked SoB with 98% PaO2, and other times I was doing my routine check to find myself at 95% PaO2 without feeling any SoB.
* I noticed my toenails going blueish at points where I felt weird, and getting back to pink after doing some deep inhalations.
* Airway clearing exercise that was posted here made me feel very good a couple of times and helped when I felt SoB. It was also during this exercise that I noticed the pulse oximeter show 99%
**Extra data about me:**
* Overweight and Childhood Asthma (last attack I was 7yrs old).
* Rarely get sick, but, I caught a flu on December, completely different as it lasted 2 days only and had a week of thick nasty yellow phlegm. After that ended, around mid February I started getting urticaria in my arms/legs after meals and was in the process of getting that checked when the pandemic started. The urticaria is accompanied with GI issues every time, reflux which is very uncommon for me. During the first wave and recovery it disappeared completely. I've had it again a couple of times, it sucks.
* I had been doing Intermittent Fasting 16:4 and hitting the Gym pretty good before all of this started. During first wave I kept IF until the point that I felt a lot of hunger and decided to follow my cravings to help my body, kept off food that causes inflammation as much as I could but cookies cheered me up. I'm easing back into IF again.
* I only measured my weight at beginning, middle and end: started at \[March 1: 86.40kg, 29%BF, 57.4%MM\], then \[April 19: 79.1kg, 28.9%BF, 52.5%MM\] and just before posting this \[78.90kg, 28.9%BF, 52.3%MM\]. Seems like I've lost both fat and muscle, (a lot), probably fighting this thing off mixed with healthier eating and cutting off alcohol. Haven't moved much since and I feel it, looking forward to the gym/pool.
That's about it, I hope this info helps!</t>
        </is>
      </c>
      <c r="D850" t="n">
        <v>3</v>
      </c>
      <c r="E850" t="n">
        <v>40</v>
      </c>
      <c r="F850">
        <f>HYPERLINK("https://www.reddit.com/r/COVID19positive/comments/ge9gc5/31m_mild_case_day_54_98_recovered_i_logged/")</f>
        <v/>
      </c>
      <c r="G850" t="inlineStr">
        <is>
          <t>2020-05-05 17:13:07</t>
        </is>
      </c>
      <c r="H850" t="inlineStr">
        <is>
          <t>Presumed Positive - From Doctor</t>
        </is>
      </c>
    </row>
    <row r="851">
      <c r="A851" t="inlineStr">
        <is>
          <t>ge9hpi</t>
        </is>
      </c>
      <c r="B851" t="inlineStr">
        <is>
          <t>How are you dealing with family members who have been discharged from the hospital after an extended stay in terms of contagion??</t>
        </is>
      </c>
      <c r="C851" t="inlineStr">
        <is>
          <t>Family member is getting d/c soon after 3.5 weeks in the hospital. Would it be a safe bet to still presume that they’re infectious and treat them as such? They need to be on home oxygen  so they’ll just be in a separate bedroom, but in terms of giving them food etc and going into their room, how is everyone dealing with this? Thanks.</t>
        </is>
      </c>
      <c r="D851" t="n">
        <v>1</v>
      </c>
      <c r="E851" t="n">
        <v>15</v>
      </c>
      <c r="F851">
        <f>HYPERLINK("https://www.reddit.com/r/COVID19positive/comments/ge9hpi/how_are_you_dealing_with_family_members_who_have/")</f>
        <v/>
      </c>
      <c r="G851" t="inlineStr">
        <is>
          <t>2020-05-05 17:15:28</t>
        </is>
      </c>
      <c r="H851" t="inlineStr">
        <is>
          <t>Tested Positive - Family</t>
        </is>
      </c>
    </row>
    <row r="852">
      <c r="A852" t="inlineStr">
        <is>
          <t>ge9vec</t>
        </is>
      </c>
      <c r="B852" t="inlineStr">
        <is>
          <t>UPDATE DAY 56: Doctor prescribed Albuterol inhaler for chest/lung pain, seems to be helping.</t>
        </is>
      </c>
      <c r="C852" t="inlineStr">
        <is>
          <t>UPDATE: had a relapse five days ago that floored me. Chest pain lung pain. Just went in to get a test and the test was negative. Getting an antibody test in a few hours. Doctor prescribed an albuterol inhaler and said I likely had some lung damage due to covid. Thus far it seems to be helping lessen my lung and chest pain.
ORIG POST: Hey everyone! me and my wife both got corona symptoms on March 5 and 6 respectively. Quarantined immediately. My wife is a professional dancer, and I'm a daily exerciser. In reading what felt like all of the internet, until this board I realized that there didn't seem to be a lot being said about what it felt like to be sick, and that complicated our feelings about our own recovery. Should we still be feeling sick? Do we go to the ER? Are there even tests available? Is this even a symptom? Breaking out our symptoms for those who want a roadmap of what it has looked like for us. For the duration we've abstained from any and all alcohol. At the time of our symptoms outset, no tests were being given for people who had non-contact. 
DAY 1 and 2-- slight fever. chills. body ache. (oh shit, quarantine) 
DAY 3-7 - fever gone, but fatigue, sore back of throat. type of days where getting off the couch to get your own water felt like running a marathon.
DAY 8 - Add Gastrointestinal problems and abdominal pain to my symptoms. Talk to my physician cousin via facetime. He says, this sounds like COVID. stay put, monitor.
DAY 12 - here's where it got scary. chest pain and lightness of breath. began the solid week of "Do we get a test? Oh none available, emergency room?!". shortage of tests still happening (HOW?!) Our decision hinged on being able to consult with cousin physician. We took the trio of heart rate (below 100 bpm resting), breath rate (below 30 breaths per minute resting) and temperature (no fever). Oximeter would've been helpful but they're sold out here. But basically, our operating theory was, if we're not sure if they'll admit us into the hospital, then it is best to stay home and spare us and them the additional exposure and overload. 
DAY 17 - my gastroproblems are gone. thank god. 
DAY 19 - signs recovery for my wife... she starts light computer work, trying to train. i myself am feeling better. i'm able to sit AT my computer instead of the couch or bed. 
DAY 20 - just kidding, relapse for me. back to the couch. the fatigue feels overwhelming. i try to explain it to my cousin physician-- it feels like there's a soft, dull, sickness, behind my eyes and just in my blood and every breath. 
DAY 22 - my wife is starting her cycle. for one day, she takes her ibuprofen, before i catch her and switch her to tylenol. It's enough to where our resumed in mask dog walks (live in a private area) around the block felt like it might floor us. 
DAY 25 - i'm slowly getting better, but my wife appears to have completely new symptoms. this starts a week where every time she stands, she gets light-headed to the verge of passing out. DAY 28 - wife on verge of tears because of the duration of the illness, chest pain and acute back pain. said her symptoms felt different than her first fights. finally see a doctor at urgent care, because ERs slammed. Her oximeter says she has full 99% oxygen. vitals are strong. But a weird thing, when she stands up or down, her heart rate shoots from her normal resting of 60 bpm, to over 125 bpm. Anything more than a 30 bpm jump is considered abnormal. The poor urgent care doctor tries to diagnose her in addition to COVID with virally induced POTS or Postural Orthostatic Tachycardia Syndrome. They're not administering tests except in the emergency room. I know about that syndrome and for a dancer who spends her life getting up and down from the floor, that seems highly unlikely. My wife points out that it seems, that doctors really don't have experience dealing with this. We decide that we're safe enough to not go to the ER, and that this is likely due to COVID. 
DAY 30 - turning point. wife feels like the illness has moved down her body. Pain moved to her ribs. Im able to do light housework and stretching.
DAY 31- tried a light 45 stretch class on instagram live. Absolutely floored me. Had to go to sleep after. Still having fatigue and a weird feeling in my chest. 
DAY 33 - both of us can have full but inactive days aka computer work actually able to do chores. was able to walk a mile and a half. still feel it, the inability to have endurance or any well of strength. Anyway, thanks for reading. Hang in there. We're going to keep taking care of ourselves. We hope you do the same. 
UPDATE: DAY 37- wife has relapse of chest pain. Decide to urgent care physician. She presumes us both positive, but no tests available.
DAY 38 Successfully went on a jog. Didn't feel bad during but...
DAY 39- 41 Lung pain and chest pain returned. Obviously too much too soon. 
DAY 44 Able to resume daily dog walks, wife able to make it through light ballet class 
DAY 45 Instead of cardio tried light weight work. Didn’t seem to affect covid, walks getting longer. Getting stronger. 
DAY 48 Wife has weird pain behind both of her knees. Gets checked out by a doctor to make sure not a clotting issue. 
DAY 50 split a beer. Doing light work outs, pull ups pushups etc. trying to not to get heart rate too high. 
DAY 51 Celebrated anniversary too vigorously too many times 
DAY 52 fatigue and weakness returned, a lot more couch lying than desk work.
DAY 53 full melt down. Unable to leave couch 
DAY 54 Feeling slightly better but wanting to rule out any infections on top of covid symptoms. Accessible testing available in my area. Consult with doctor via videoconference. Drive thru testing sight. The testing is super efficient and quick. Less than 5 minutes Nose swab and then opt into a clinical trial testing extra alternative swabs for the cause (apparently they’re running out of the primary use swabs) 
DAY 55 tears come back negative. Heading into appointment for doctor follow up and antibody test soon. Wife taking a moderated ballet class. Doctor says that a LOT of presumed COVID patients are getting new infections on top of their old infections. Administers blood antibody test.
DAY 56 Last night was hell. Chills, fever, whole nine. Got on the video phone with the doctor. Said to hang in there with tylenol and mucinex. Says i likely have something on top of what i had before because of a weakened immune system.
Sorry for a little bit of the repost, but added the hopefully new and relevant info about the inhaler and antibody test, and fixed the terrible formatting of the last post.</t>
        </is>
      </c>
      <c r="D852" t="n">
        <v>1</v>
      </c>
      <c r="E852" t="n">
        <v>13</v>
      </c>
      <c r="F852">
        <f>HYPERLINK("https://www.reddit.com/r/COVID19positive/comments/ge9vec/update_day_56_doctor_prescribed_albuterol_inhaler/")</f>
        <v/>
      </c>
      <c r="G852" t="inlineStr">
        <is>
          <t>2020-05-05 17:38:56</t>
        </is>
      </c>
      <c r="H852" t="inlineStr">
        <is>
          <t>Presumed Positive - From Doctor</t>
        </is>
      </c>
    </row>
    <row r="853">
      <c r="A853" t="inlineStr">
        <is>
          <t>geahkv</t>
        </is>
      </c>
      <c r="B853" t="inlineStr">
        <is>
          <t>They thought my dad had Covid-19, they stopped us from seeing him in his final day before he passed away. Turns out he only had pneumonia. I wrote about the pain of that experience here.</t>
        </is>
      </c>
      <c r="C853" t="inlineStr">
        <is>
          <t>[https://southeastasiaglobe.com/family-grief-covid-19/](https://southeastasiaglobe.com/family-grief-covid-19/)</t>
        </is>
      </c>
      <c r="D853" t="n">
        <v>1</v>
      </c>
      <c r="E853" t="n">
        <v>11</v>
      </c>
      <c r="F853">
        <f>HYPERLINK("https://www.reddit.com/r/COVID19positive/comments/geahkv/they_thought_my_dad_had_covid19_they_stopped_us/")</f>
        <v/>
      </c>
      <c r="G853" t="inlineStr">
        <is>
          <t>2020-05-05 18:17:15</t>
        </is>
      </c>
      <c r="H853" t="inlineStr">
        <is>
          <t>Tested Positive - Family</t>
        </is>
      </c>
    </row>
    <row r="854">
      <c r="A854" t="inlineStr">
        <is>
          <t>gearwc</t>
        </is>
      </c>
      <c r="B854" t="inlineStr">
        <is>
          <t>Sweaty feet... anyone else?</t>
        </is>
      </c>
      <c r="C854" t="inlineStr">
        <is>
          <t>29M no underlying conditions and previously healthy and active.
I've had symptoms for 53 days, coming in waves, but throughout the ordeal I've had one constant:
1) Sweaty soles of my feet.
2) Night sweats, particularly if I eat too much sugar
I'm someone that previously would never break into a sweat, even during exercise so this is very abnormal. Anyone else have this?</t>
        </is>
      </c>
      <c r="D854" t="n">
        <v>1</v>
      </c>
      <c r="E854" t="n">
        <v>10</v>
      </c>
      <c r="F854">
        <f>HYPERLINK("https://www.reddit.com/r/COVID19positive/comments/gearwc/sweaty_feet_anyone_else/")</f>
        <v/>
      </c>
      <c r="G854" t="inlineStr">
        <is>
          <t>2020-05-05 18:36:08</t>
        </is>
      </c>
      <c r="H854" t="inlineStr">
        <is>
          <t>Presumed Positive - From Doctor</t>
        </is>
      </c>
    </row>
    <row r="855">
      <c r="A855" t="inlineStr">
        <is>
          <t>geb2hn</t>
        </is>
      </c>
      <c r="B855" t="inlineStr">
        <is>
          <t>Cracking</t>
        </is>
      </c>
      <c r="C855" t="inlineStr">
        <is>
          <t>Has anyone bones been cracking more especially with the amount of body aches this includes?</t>
        </is>
      </c>
      <c r="D855" t="n">
        <v>1</v>
      </c>
      <c r="E855" t="n">
        <v>7</v>
      </c>
      <c r="F855">
        <f>HYPERLINK("https://www.reddit.com/r/COVID19positive/comments/geb2hn/cracking/")</f>
        <v/>
      </c>
      <c r="G855" t="inlineStr">
        <is>
          <t>2020-05-05 18:55:51</t>
        </is>
      </c>
      <c r="H855" t="inlineStr">
        <is>
          <t>Presumed Positive - From Doctor</t>
        </is>
      </c>
    </row>
    <row r="856">
      <c r="A856" t="inlineStr">
        <is>
          <t>gebct6</t>
        </is>
      </c>
      <c r="B856" t="inlineStr">
        <is>
          <t>Do I have it?</t>
        </is>
      </c>
      <c r="C856" t="inlineStr">
        <is>
          <t>I went to Walmart with a face mask 2 days ago and I felt mostly fine. I have gotten some headaches but I don’t know if that’s from staring at my phone all day long, because I have strained my eyes. Then today I fell asleep and woke up with a dry throat, and I feel tired. I feel really anxious. I took my temperature and I don’t have a fever.</t>
        </is>
      </c>
      <c r="D856" t="n">
        <v>1</v>
      </c>
      <c r="E856" t="n">
        <v>5</v>
      </c>
      <c r="F856">
        <f>HYPERLINK("https://www.reddit.com/r/COVID19positive/comments/gebct6/do_i_have_it/")</f>
        <v/>
      </c>
      <c r="G856" t="inlineStr">
        <is>
          <t>2020-05-05 19:15:35</t>
        </is>
      </c>
      <c r="H856" t="inlineStr">
        <is>
          <t>Presumed Positive - From Test</t>
        </is>
      </c>
    </row>
    <row r="857">
      <c r="A857" t="inlineStr">
        <is>
          <t>gebdjm</t>
        </is>
      </c>
      <c r="B857" t="inlineStr">
        <is>
          <t>Told not to get a retest/antibody test, when am I safe to go out again?</t>
        </is>
      </c>
      <c r="C857" t="inlineStr">
        <is>
          <t>I’m getting different answers from so many doctors. They told me not enough tests for re test, wait 2 weeks til your symptoms. Understandable. Some have also said Labs are just making lots of money on antibody tests, so there’s no point of us (people who already tested positive) to get it. Sure.
But how can I be sure I am not contagious anymore? I don’t want to show up back to work, where I work patients, knowing I only tested positive a whole month ago. My timeline to leave the house is definitely delayed since my mom tested positive last week, but feels she has little to no symptoms by now. I would’ve been able to go back to work, but to be safe am waiting another 2 weeks from her recovery.
This week my dad now has to get another test (not symptomatic, but impossible he would be negative considering my mom and I are positive). So that will be a whole more 2 weeks. I don’t mind staying in, but I at least want to know when my family will be in the clear to resume normal life again. We’ve been told 10-14 days, then 14-20 days after symptoms. Sure. But should we be resuming life if there’s no sure answer that we’re “negative”? 
I don’t wanna infect anybody. I’ve been symptom free for 2 weeks but not sure if I’m still contagious still. Is anyone getting different answers on that? Do you feel confident to resume normal life after testing positive and not getting a re test? Sadly I feel like it’s the only thing to put my mind at ease.</t>
        </is>
      </c>
      <c r="D857" t="n">
        <v>1</v>
      </c>
      <c r="E857" t="n">
        <v>8</v>
      </c>
      <c r="F857">
        <f>HYPERLINK("https://www.reddit.com/r/COVID19positive/comments/gebdjm/told_not_to_get_a_retestantibody_test_when_am_i/")</f>
        <v/>
      </c>
      <c r="G857" t="inlineStr">
        <is>
          <t>2020-05-05 19:17:01</t>
        </is>
      </c>
      <c r="H857" t="inlineStr">
        <is>
          <t>Tested Positive - Family</t>
        </is>
      </c>
    </row>
    <row r="858">
      <c r="A858" t="inlineStr">
        <is>
          <t>gecjp3</t>
        </is>
      </c>
      <c r="B858" t="inlineStr">
        <is>
          <t>ELI5: As a recovered COVID patient, how does me wearing a mask in public help others?</t>
        </is>
      </c>
      <c r="C858" t="inlineStr">
        <is>
          <t>This is a serious question from someone who is admittedly not very science-minded so please be gentle. 
I tested positive for COVID 9 days ago; symptoms began 14 days ago. I am already recovered. I know I need to stay self-isolated for a while longer.
Everything I’ve seen about wearing masks depicts the act as mostly benefiting those around you; I wear a mask so you don’t get sick. That’s great, I agree with that 100%. But what if I’ve already recovered? I’m *not* sick and I’m *not going to* get sick (at least not for quite a while) so there’s no reason for me to wear a mask because I’m not catching or passing on anything. But if I don’t wear a mask, then I look like an asshole who doesn’t care about anyone else. Is that really a legitimate reason for making knee-jerk behavioral changes?
I’m not trying to get out of wearing a mask—I’ve already got a bunch of cool ones that I wore when running the occasional errand before I got sick. But I also don’t want to end up wearing one every single time I leave the house just to make other people feel safer when there’s no reason for me to do so.</t>
        </is>
      </c>
      <c r="D858" t="n">
        <v>1</v>
      </c>
      <c r="E858" t="n">
        <v>17</v>
      </c>
      <c r="F858">
        <f>HYPERLINK("https://www.reddit.com/r/COVID19positive/comments/gecjp3/eli5_as_a_recovered_covid_patient_how_does_me/")</f>
        <v/>
      </c>
      <c r="G858" t="inlineStr">
        <is>
          <t>2020-05-05 20:37:24</t>
        </is>
      </c>
      <c r="H858" t="inlineStr">
        <is>
          <t>Tested Positive - Me</t>
        </is>
      </c>
    </row>
    <row r="859">
      <c r="A859" t="inlineStr">
        <is>
          <t>gedmsl</t>
        </is>
      </c>
      <c r="B859" t="inlineStr">
        <is>
          <t>7 weeks ongoing symptoms. Developed food allergies after week 6</t>
        </is>
      </c>
      <c r="C859" t="inlineStr">
        <is>
          <t>Had low grade fever for 6 weeks which kept going up and down through the day. This week it seems to go down if I take vit C, no longer take paracetamol, about 1000 mg vit C twice a day. It doesn't go over 37 celsius, that's 98.7 F. Had really bad GERD, stomach was burning all through week 5. I suffer from gastritis. I could barely eat as I was burping all the time after a meal. I found famotidine and peppermint tea helped. The cough was persistent until week 6. This week it seems to have gone away. I was constantly clearing my throat and spitting a gel like mucus with no color. I still do now, but it's much less compared to previous weeks. I had pins and needles in my upper chest, but not when breathing, sporadically and they seem to have gone away in week 5-6. I relapsed every week for various reasons: first time is was because I was slightly dehydrated, second time because I decided to clean the house and I was out of air and tired but pushed through it, third time because of coffee, fourth workout of 10 mins on the elliptical for two days in a row, sixth because I had a green tea and a strong coffee. You get the idea, any kind of workout would  throw me off.  For some reason coffee really gives me a bad reaction, I start to get red in the face after a few hours and cough on and off for another few hours. Throughout this experience I was unable to consume caffeine as it was making things worse for me. At the moment in week 7 I'm feeling like I have no energy, like I still want to sleep it off, even though the vital signs have improved. I can walk more than in week 4 and I can withstand more physical efforts, but I'm still getting a bit loopy sometimes, my arms and legs feel kinda of shaky and numb and I get dizzy and feel like I can't focus on tasks for work. However, in spite of the improvement I seem to have developed an allergy to something, because I wake up in the morning itchy and I'm scratching all over. I've never been allergic to anything in my life. I'm waiting to see what this is all about...Today I'm getting blood tests done to see how the inflammation markers look like. I wish I could say I'm 100% myself, but some days I'm 90%, some days it's 70%. Anyone developed post viral food allergies?</t>
        </is>
      </c>
      <c r="D859" t="n">
        <v>1</v>
      </c>
      <c r="E859" t="n">
        <v>30</v>
      </c>
      <c r="F859">
        <f>HYPERLINK("https://www.reddit.com/r/COVID19positive/comments/gedmsl/7_weeks_ongoing_symptoms_developed_food_allergies/")</f>
        <v/>
      </c>
      <c r="G859" t="inlineStr">
        <is>
          <t>2020-05-05 21:55:52</t>
        </is>
      </c>
      <c r="H859" t="inlineStr">
        <is>
          <t>Tested Positive</t>
        </is>
      </c>
    </row>
    <row r="860">
      <c r="A860" t="inlineStr">
        <is>
          <t>gee59l</t>
        </is>
      </c>
      <c r="B860" t="inlineStr">
        <is>
          <t>Tired of this phlegm (Day 34)</t>
        </is>
      </c>
      <c r="C860" t="inlineStr">
        <is>
          <t>I tested positive on April 2. I've had a tight chest with constant phlegm since that day and I'm getting sick of it and losing hope that I'll get better. I keep reading about pneumonia causing permanent lung damage so I got nervous and decided to go to an Urgent care 3 weeks after testing positive to see if I had possible pneumonia and took x-rays but nothing. I kept thinking it'll go away soon. Soon since I have not developed any symptoms besides the sob and phlegm. On day 34 and I'm just so tired of this. I want to try anti biotics to see if the virus could've cause a small bacterial infection and the phlegm would go away but my doctor said to wait. I keep reading about seeing the light at the end of the tunnel but I'm just so frustrated right now. Simply talking for a while makes me short of breathe. Sometimes I feel like I'll have to breathe manually and honestly this is taking a toll on me. 
I'm sorry about the wall of text just needed to vent 😔</t>
        </is>
      </c>
      <c r="D860" t="n">
        <v>1</v>
      </c>
      <c r="E860" t="n">
        <v>11</v>
      </c>
      <c r="F860">
        <f>HYPERLINK("https://www.reddit.com/r/COVID19positive/comments/gee59l/tired_of_this_phlegm_day_34/")</f>
        <v/>
      </c>
      <c r="G860" t="inlineStr">
        <is>
          <t>2020-05-05 22:37:03</t>
        </is>
      </c>
      <c r="H860" t="inlineStr">
        <is>
          <t>Tested Positive</t>
        </is>
      </c>
    </row>
    <row r="861">
      <c r="A861" t="inlineStr">
        <is>
          <t>gef9et</t>
        </is>
      </c>
      <c r="B861" t="inlineStr">
        <is>
          <t>Is there any type of Govt compensation for people who lost a parent to COVID?</t>
        </is>
      </c>
      <c r="C861" t="inlineStr">
        <is>
          <t>So, my dad died yesterday and they are thinking it was COVID.  If it was is there any type of govt compensation?  Cover funeral costs or anything like that?  Any help would be great.</t>
        </is>
      </c>
      <c r="D861" t="n">
        <v>1</v>
      </c>
      <c r="E861" t="n">
        <v>14</v>
      </c>
      <c r="F861">
        <f>HYPERLINK("https://www.reddit.com/r/COVID19positive/comments/gef9et/is_there_any_type_of_govt_compensation_for_people/")</f>
        <v/>
      </c>
      <c r="G861" t="inlineStr">
        <is>
          <t>2020-05-06 00:14:39</t>
        </is>
      </c>
      <c r="H861" t="inlineStr">
        <is>
          <t>Tested Positive - Family</t>
        </is>
      </c>
    </row>
    <row r="862">
      <c r="A862" t="inlineStr">
        <is>
          <t>gefkxb</t>
        </is>
      </c>
      <c r="B862" t="inlineStr">
        <is>
          <t>What should I do to help my dad?</t>
        </is>
      </c>
      <c r="C862" t="inlineStr">
        <is>
          <t>I'm not sure what to do honestly, turns out that my dad tested positive for the virus, and I had doubts that he has had it for the past week and a half or so, but especially this last week due to the excessive loud dry coughing. We all live in the same room in a foreign country since we're out here to support our family back home. So me and my brother probably have it as well (which would explain my dry throat and my fever that comes and goes a lot) . 
My dad's 58 and he has diabetes (type 2?) and he hasn't been eating much in the past few days and he told me that he feels really weak and frail, we're also in ramadan and fasting though that's probably bad for him right? Should I tell him to stop fasting? What types of food should I give him to make him feel healthier and better? I really don't want to see his condition get worse and I'm really worried for him. What should I do to take care of him? 
Thanks!</t>
        </is>
      </c>
      <c r="D862" t="n">
        <v>1</v>
      </c>
      <c r="E862" t="n">
        <v>16</v>
      </c>
      <c r="F862">
        <f>HYPERLINK("https://www.reddit.com/r/COVID19positive/comments/gefkxb/what_should_i_do_to_help_my_dad/")</f>
        <v/>
      </c>
      <c r="G862" t="inlineStr">
        <is>
          <t>2020-05-06 00:43:37</t>
        </is>
      </c>
      <c r="H862" t="inlineStr">
        <is>
          <t>Tested Positive - Family</t>
        </is>
      </c>
    </row>
    <row r="863">
      <c r="A863" t="inlineStr">
        <is>
          <t>geh8yn</t>
        </is>
      </c>
      <c r="B863" t="inlineStr">
        <is>
          <t>Covid19 smell loss recovery timeline:</t>
        </is>
      </c>
      <c r="C863" t="inlineStr">
        <is>
          <t>I lost my smell due to covid19 in early March, as presumed by my doctor and health agency. Below you can find my timeline so far. Can anybody relate? 
Note: I am giving in percentages, but since smell strength is such an subjectieve concept, these are relative to my perception of how it was before. 
Week 0 - 0%
Lost sense of smell completely. 
I could not smell ammonia, bleach, perfume.
Week 1 - 0%
No change.
Week 2 - 5%
Started to smell very, very faint whiffs of things like coffee and tooth paste. Not sure if these whiffs are imaginative or real. 
Week 3 - 10%
Whiffs are increasing in strength. Definently not imaginative anymore. 
Week 4 - 40%
Regained a larger portion of my smell. Started smell training, but this had a very negative effect on my mental state. Stopped after a week with smell training.
Week 5 - 80%
Same increase as previous week. 
Week 6/7 - 80%
No clearly noticable change in sense of smell. Smell strength fluctuated day to day (decrease/increase) 
Today - 80%
Currently I am om 80%. I still have trouble to register room/body smells, and smells from a distance. I can smell strong-smelling items clearly when I am up close. 
Hoping to increase my smell to 100% in the upcoming weeks/months.</t>
        </is>
      </c>
      <c r="D863" t="n">
        <v>1</v>
      </c>
      <c r="E863" t="n">
        <v>15</v>
      </c>
      <c r="F863">
        <f>HYPERLINK("https://www.reddit.com/r/COVID19positive/comments/geh8yn/covid19_smell_loss_recovery_timeline/")</f>
        <v/>
      </c>
      <c r="G863" t="inlineStr">
        <is>
          <t>2020-05-06 03:09:57</t>
        </is>
      </c>
      <c r="H863" t="inlineStr">
        <is>
          <t>Presumed Positive - From Doctor</t>
        </is>
      </c>
    </row>
    <row r="864">
      <c r="A864" t="inlineStr">
        <is>
          <t>gekdvc</t>
        </is>
      </c>
      <c r="B864" t="inlineStr">
        <is>
          <t>Fingers crossed that is true!</t>
        </is>
      </c>
      <c r="C864" t="inlineStr">
        <is>
          <t>https://www.msn.com/en-ca/news/world/scientists-conclude-people-cannot-get-coronavirus-twice/ar-BB13tm64?fbclid=IwAR2c34RkpN6Zwdzdumj2eu9_VZj_cGMqcZgEVJcA4ZYWxm6p1O1yDoQpjD4</t>
        </is>
      </c>
      <c r="D864" t="n">
        <v>2</v>
      </c>
      <c r="E864" t="n">
        <v>30</v>
      </c>
      <c r="F864">
        <f>HYPERLINK("https://www.reddit.com/r/COVID19positive/comments/gekdvc/fingers_crossed_that_is_true/")</f>
        <v/>
      </c>
      <c r="G864" t="inlineStr">
        <is>
          <t>2020-05-06 06:51:42</t>
        </is>
      </c>
      <c r="H864" t="inlineStr">
        <is>
          <t>Tested Positive - Me</t>
        </is>
      </c>
    </row>
    <row r="865">
      <c r="A865" t="inlineStr">
        <is>
          <t>gelnic</t>
        </is>
      </c>
      <c r="B865" t="inlineStr">
        <is>
          <t>Contacted grandmom for the first time in 3 months yesterday, she was confirmed positive today. What should I do?</t>
        </is>
      </c>
      <c r="C865" t="inlineStr">
        <is>
          <t>Hi everyone, my grandparents were send to another house at the countryside a few months ago when we heard of corona. Yesterday, she came to the city for the first time to get some blood tests because she was feeling bad. She is cardiac, so she thought it is heart problems. She did not have a cough or anything. Anywaay, They did the rapid pcr corona test at the hospital and it was negative. So they came to our house to eat, because the doctor told her it was fine. What she failed to tell us is they also did another blood test that would take 24h. The results came today postive and she was taken to the hospital. 
Meanwhile, I did not hug her, but I did help her down the stairs, took some bags off her car and also stood near her while she was sleeping. We did not have face to face contact, but there is a chance of course. 
Since the incubation period is 3-10 days, and I saw them yesterday, the virus might have not incubated yet. Is there anything I can do now, before possible incubation? Take something? Do something? Please any advice would help. My family was all there, so any advice would help. Thank you! 
My grandmother for the moment seems to have a mild case, she doesn’t have problems with her lungs. She experienced shortness of breath one night. The biggest case for her is that she lost any appetite for a week. She also hid from us she had a fever. My grandfather seems to be asymptomatic. His results are coming tomorrow.</t>
        </is>
      </c>
      <c r="D865" t="n">
        <v>3</v>
      </c>
      <c r="E865" t="n">
        <v>16</v>
      </c>
      <c r="F865">
        <f>HYPERLINK("https://www.reddit.com/r/COVID19positive/comments/gelnic/contacted_grandmom_for_the_first_time_in_3_months/")</f>
        <v/>
      </c>
      <c r="G865" t="inlineStr">
        <is>
          <t>2020-05-06 08:02:14</t>
        </is>
      </c>
      <c r="H865" t="inlineStr">
        <is>
          <t>Tested Positive - Family</t>
        </is>
      </c>
    </row>
    <row r="866">
      <c r="A866" t="inlineStr">
        <is>
          <t>gem89s</t>
        </is>
      </c>
      <c r="B866" t="inlineStr">
        <is>
          <t>Day 58 update with test results</t>
        </is>
      </c>
      <c r="C866" t="inlineStr">
        <is>
          <t>Just got a call from doctor's office that I tested positive again for the test done on day 56 - 2 days ago.  First test was done on day 14 when I tested positive.  I have improved health-wise by miles and the remaining symptom is with occasionally not being able to take a deep breath.  Oximeter has been showing 98-99 all throughout.  GI issues resolved completely 10 days ago and have hence started doing 2 mile leisurely walks.  It increases by HR to 115 which I know is high since I am a runner.  Will speak to my doctor today - I think she believes its trace particles but who knows !</t>
        </is>
      </c>
      <c r="D866" t="n">
        <v>3</v>
      </c>
      <c r="E866" t="n">
        <v>105</v>
      </c>
      <c r="F866">
        <f>HYPERLINK("https://www.reddit.com/r/COVID19positive/comments/gem89s/day_58_update_with_test_results/")</f>
        <v/>
      </c>
      <c r="G866" t="inlineStr">
        <is>
          <t>2020-05-06 08:32:51</t>
        </is>
      </c>
      <c r="H866" t="inlineStr">
        <is>
          <t>Tested Positive - Me</t>
        </is>
      </c>
    </row>
    <row r="867">
      <c r="A867" t="inlineStr">
        <is>
          <t>gemc6n</t>
        </is>
      </c>
      <c r="B867" t="inlineStr">
        <is>
          <t>If two people are infected, can they self-isolate in close proximity together ?</t>
        </is>
      </c>
      <c r="C867" t="inlineStr">
        <is>
          <t>My Mother ( 61 ) and Nephew ( 23 ) have both tested positive with COVID-19.
My Mother is showing minor to no symptoms of the virus; while my nephew is invariably symptomatic with dry coughs, sneezing and a temperature hovering at 101.
Is it wise for two positively infected persons to ***self-isolate in close proximity to one another*** for a prolonged period of time while being treated for the virus?</t>
        </is>
      </c>
      <c r="D867" t="n">
        <v>1</v>
      </c>
      <c r="E867" t="n">
        <v>11</v>
      </c>
      <c r="F867">
        <f>HYPERLINK("https://www.reddit.com/r/COVID19positive/comments/gemc6n/if_two_people_are_infected_can_they_selfisolate/")</f>
        <v/>
      </c>
      <c r="G867" t="inlineStr">
        <is>
          <t>2020-05-06 08:38:55</t>
        </is>
      </c>
      <c r="H867" t="inlineStr">
        <is>
          <t>Tested Positive - Family</t>
        </is>
      </c>
    </row>
    <row r="868">
      <c r="A868" t="inlineStr">
        <is>
          <t>geohvx</t>
        </is>
      </c>
      <c r="B868" t="inlineStr">
        <is>
          <t>4 weeks after positive test 6 weeks since first symptom</t>
        </is>
      </c>
      <c r="C868" t="inlineStr">
        <is>
          <t>feel like im at a relapse. was feeling a ton better but now dealing with head cloudiness, alot of fatigue, body aches and random chest pains. Anyone i know who has recovered completely has gotten tested at drive thrus which do a different type of test. im wondering if the accuracy is the same and if anyone on here has completely recovered after a nasapharyngeal test. (test from nose to back of throat) starting to get discouraged i feel like im on a back peddle here</t>
        </is>
      </c>
      <c r="D868" t="n">
        <v>1</v>
      </c>
      <c r="E868" t="n">
        <v>15</v>
      </c>
      <c r="F868">
        <f>HYPERLINK("https://www.reddit.com/r/COVID19positive/comments/geohvx/4_weeks_after_positive_test_6_weeks_since_first/")</f>
        <v/>
      </c>
      <c r="G868" t="inlineStr">
        <is>
          <t>2020-05-06 10:33:04</t>
        </is>
      </c>
      <c r="H868" t="inlineStr">
        <is>
          <t>Tested Positive - Me</t>
        </is>
      </c>
    </row>
    <row r="869">
      <c r="A869" t="inlineStr">
        <is>
          <t>geojv9</t>
        </is>
      </c>
      <c r="B869" t="inlineStr">
        <is>
          <t>Tested negative, but told to assume false negative. Anyone else in the same boat with symptoms worsening or have any advice?</t>
        </is>
      </c>
      <c r="C869" t="inlineStr">
        <is>
          <t>23/AFAB, Hashimoto's thyroiditis (autoimmune disease) and asthma
Hey, everyone! I feel almost like I'm going crazy over here, so I wanted to see if maybe anyone else is in the same boat or has any advice.
I work at a campus food pantry, but I have been self-quarantining for the most part since early March. Given my pre-existing health conditions, my doctor told me in no uncertain terms not to be a hero and to stay at home. I have stopped by the pantry a couple times for admin tasks, gone to the grocery, etc., but I have stayed in isolation for the vast majority of the past 8 weeks.
&amp;amp;#x200B;
April 27/28: General malaise, a little pressure in my chest, runny nose. I chalked it up to allergies.
April 29: Pressure in my chest increased, felt like I couldn't fully inflate my lungs, mild sore throat, headache, itchy everywhere, nauseated but no vomiting
April 30/May 1: Intensity of everything increased, low-grade fever (99.2), bounced back and forth between way too hot and way too cold, everything tasted metallic, body aches and skin sensitivity were uncomfortable
May 2: Everything was a little more intense than the day before, pressure in my lungs got worse, shortness of breath made it hard to continue a regular conversation, **went to the ER and tested negative for COVID-19 with no signs of pneumonia on my chest x-ray**
May 3/4: My lungs felt a little better, but everything else remained the same
May 5/6: Body aches and skin sensitivity through the roof, headache worse, still can't sing along to my radio due to shortness of breath :( 
&amp;amp;#x200B;
The ER told me that I definitely have some sort of viral infection and just to check in with my doctor. They didn't take blood or swab for anything else, only the COVID-19 test. My lungs looked fine on the chest x-ray, but they told me that I would've been admitted if my sats had been lower due to my symptoms.
I honestly have not felt this bad since December 2016 when I had a post-surgical infection and spent 2 days in bed with a 103F fever. I have no idea how to handle this. I'm officially on emergency leave from work, and I feel insanely lucky to have the option to do so without jeopardizing my livelihood. I feel so guilty for taking the time when I know that my work needs me, and like such a baby for being bothered by not being able to do silly things like sing along to the radio.
Anyone in the same boat? Have any advice? Pictures of cute dogs? I'll take anything at this point.
Thank you!</t>
        </is>
      </c>
      <c r="D869" t="n">
        <v>1</v>
      </c>
      <c r="E869" t="n">
        <v>10</v>
      </c>
      <c r="F869">
        <f>HYPERLINK("https://www.reddit.com/r/COVID19positive/comments/geojv9/tested_negative_but_told_to_assume_false_negative/")</f>
        <v/>
      </c>
      <c r="G869" t="inlineStr">
        <is>
          <t>2020-05-06 10:36:02</t>
        </is>
      </c>
      <c r="H869" t="inlineStr">
        <is>
          <t>Presumed Positive - From Doctor</t>
        </is>
      </c>
    </row>
    <row r="870">
      <c r="A870" t="inlineStr">
        <is>
          <t>ger2l7</t>
        </is>
      </c>
      <c r="B870" t="inlineStr">
        <is>
          <t>I'm on day 8, here's how it's looked so far.</t>
        </is>
      </c>
      <c r="C870" t="inlineStr">
        <is>
          <t>Wanted to put down my symptoms so maybe other's could look out for them, or learn about it. 
Day 1 - Woke up with a stuffy, clogged nose and a massive headache. 
Day 2 - Sinuses still clogged, slight chest pain, harder to breath when using my stairs. Decided to go to the doctor. Fever of 101, was tested. Slight body ache.
Day 3 - Productive cough, coughing up mucus, having to constantly clear my throat. Body aches getting worse, pressure in chest, fever wavering between 100-101. Sinus status: Screwed 
Day 4 - Same as Day 3, more tired, VERY tired by this point. 
Day 5 - Coughing is harder because it makes me run out of breath, feel like there's a brick in my chest, but still not the worst I've ever had. Would think bad cold if I didn't know. Sinuses still clogged, fever broke. Body is aching so much putting a blanket on hurts. 
Day 6 - Test results came back positive. Fever still broken, have to nap several times a day at this point. Sinuses starting to clear, cough becoming "more productive" (easier to cough up the crap in my throat). Headache but not pounding like before. 
Day 7 - SO. TIRED. Can't walk to the bathroom without needing to nap. Zero appetite (haven't been hungry since around day 4), sinuses are mostly clear. Still clearing my throat every 5 minutes, brick in chest is gone, breathing seems a bit easier. No fever.
Day 8 (today) - Woke up at 3PM and still tired. Can't get up to go to the bathroom without resting at least twice because I'm just that tired. Breathing is okay, only stairs really make me run out of breath at this point. No chest pressure. Coughing is the most productive it's been, easier to get things up and spit it out. Sinuses still a little stuffed up, but not too bad. Fever still gone. Very achy still. 
Things I've done: Tons of water and hot broth. Hot bath helps the body aches (only after my fever was gone, before that it was a room temperature bath). Tylenol every few hours. OTC decongestant for my sinuses (didn't do anything first few days, helped a lot when it got a little better). I sleep when my body tells me to, I don't fight it, even if that means napping an hour after I've woke up.  I try to get up and stretch a bit, walk around the room, it seems to help my cough loosen.</t>
        </is>
      </c>
      <c r="D870" t="n">
        <v>1</v>
      </c>
      <c r="E870" t="n">
        <v>12</v>
      </c>
      <c r="F870">
        <f>HYPERLINK("https://www.reddit.com/r/COVID19positive/comments/ger2l7/im_on_day_8_heres_how_its_looked_so_far/")</f>
        <v/>
      </c>
      <c r="G870" t="inlineStr">
        <is>
          <t>2020-05-06 12:48:03</t>
        </is>
      </c>
      <c r="H870" t="inlineStr">
        <is>
          <t>Tested Positive - Me</t>
        </is>
      </c>
    </row>
    <row r="871">
      <c r="A871" t="inlineStr">
        <is>
          <t>gerwn0</t>
        </is>
      </c>
      <c r="B871" t="inlineStr">
        <is>
          <t>All symptoms gone but cough worse (22m)</t>
        </is>
      </c>
      <c r="C871" t="inlineStr">
        <is>
          <t>I’m unable to walk up the stairs without puking</t>
        </is>
      </c>
      <c r="D871" t="n">
        <v>1</v>
      </c>
      <c r="E871" t="n">
        <v>23</v>
      </c>
      <c r="F871">
        <f>HYPERLINK("https://www.reddit.com/r/COVID19positive/comments/gerwn0/all_symptoms_gone_but_cough_worse_22m/")</f>
        <v/>
      </c>
      <c r="G871" t="inlineStr">
        <is>
          <t>2020-05-06 13:30:53</t>
        </is>
      </c>
      <c r="H871" t="inlineStr">
        <is>
          <t>Tested Positive - Me</t>
        </is>
      </c>
    </row>
    <row r="872">
      <c r="A872" t="inlineStr">
        <is>
          <t>ges7sn</t>
        </is>
      </c>
      <c r="B872" t="inlineStr">
        <is>
          <t>Does anyone else get a burning sensation in the throat after wearing a surgical mask for some time?</t>
        </is>
      </c>
      <c r="C872" t="inlineStr">
        <is>
          <t>I’m on day 10 after I tested positive and day 15 after I last went out to shop for groceries.  I haven’t shown any of the 3 major symptoms.  I only have a raspy/itchy/burning feeling in my throat after wearing a surgical mask and was wondering if anyone else felt something similar.</t>
        </is>
      </c>
      <c r="D872" t="n">
        <v>1</v>
      </c>
      <c r="E872" t="n">
        <v>6</v>
      </c>
      <c r="F872">
        <f>HYPERLINK("https://www.reddit.com/r/COVID19positive/comments/ges7sn/does_anyone_else_get_a_burning_sensation_in_the/")</f>
        <v/>
      </c>
      <c r="G872" t="inlineStr">
        <is>
          <t>2020-05-06 13:46:57</t>
        </is>
      </c>
      <c r="H872" t="inlineStr">
        <is>
          <t>Tested Positive - Me</t>
        </is>
      </c>
    </row>
    <row r="873">
      <c r="A873" t="inlineStr">
        <is>
          <t>gevbim</t>
        </is>
      </c>
      <c r="B873" t="inlineStr">
        <is>
          <t>Really getting to me. Sad and tired.</t>
        </is>
      </c>
      <c r="C873" t="inlineStr">
        <is>
          <t>Feeling so down. Week 8 started Monday. Last week I felt so much better then went downhill from Friday night until...well now and hoping for better tomorrow. It is Wednesday night. I wonder if the fact that I have not run a proper fever has kept this thing hanging on and hanging on. 57F, some asthma in the long past that has been crazy now. Mono as a kid in High School. It has been since March 16 that I have had symptoms and not too long later presumed positive. I had thought I had been finished with this more than once now. Not yet. Looking for support. Thanks.</t>
        </is>
      </c>
      <c r="D873" t="n">
        <v>1</v>
      </c>
      <c r="E873" t="n">
        <v>62</v>
      </c>
      <c r="F873">
        <f>HYPERLINK("https://www.reddit.com/r/COVID19positive/comments/gevbim/really_getting_to_me_sad_and_tired/")</f>
        <v/>
      </c>
      <c r="G873" t="inlineStr">
        <is>
          <t>2020-05-06 16:37:15</t>
        </is>
      </c>
      <c r="H873" t="inlineStr">
        <is>
          <t>Presumed Positive - From Doctor</t>
        </is>
      </c>
    </row>
    <row r="874">
      <c r="A874" t="inlineStr">
        <is>
          <t>gew1xm</t>
        </is>
      </c>
      <c r="B874" t="inlineStr">
        <is>
          <t>Another weird symptom - bubbles in urine?</t>
        </is>
      </c>
      <c r="C874" t="inlineStr">
        <is>
          <t>Sorry, this is a weird one. Since week 3, I've had bubbles in my urine that are NOT protein.. as my urine tests have been normal. I'm currently on week 8 with other persistent symptoms.</t>
        </is>
      </c>
      <c r="D874" t="n">
        <v>1</v>
      </c>
      <c r="E874" t="n">
        <v>16</v>
      </c>
      <c r="F874">
        <f>HYPERLINK("https://www.reddit.com/r/COVID19positive/comments/gew1xm/another_weird_symptom_bubbles_in_urine/")</f>
        <v/>
      </c>
      <c r="G874" t="inlineStr">
        <is>
          <t>2020-05-06 17:20:50</t>
        </is>
      </c>
      <c r="H874" t="inlineStr">
        <is>
          <t>Presumed Positive - From Doctor</t>
        </is>
      </c>
    </row>
    <row r="875">
      <c r="A875" t="inlineStr">
        <is>
          <t>gewdoh</t>
        </is>
      </c>
      <c r="B875" t="inlineStr">
        <is>
          <t>An update on week 7</t>
        </is>
      </c>
      <c r="C875" t="inlineStr">
        <is>
          <t>GI started to clear but left mainly with daily headaches, tiredness and vertigo/ dizzyness which fluctuates. Smell just ain’t the same anymore just weakened and some phantom smelling. Sinus irritation  but very mild and one tonsil that’s just been enlarged from the start and just hasn’t gone up more or down but has 0 pain. However my vision has improved, shaking hands has mellowed, brain fog is defiantly improving. The two main factors leaving me abit  defeated is just the headaches, nausea and feeling like I’m on a boat. But I guess I can say Im making progress but ever so gradually</t>
        </is>
      </c>
      <c r="D875" t="n">
        <v>1</v>
      </c>
      <c r="E875" t="n">
        <v>12</v>
      </c>
      <c r="F875">
        <f>HYPERLINK("https://www.reddit.com/r/COVID19positive/comments/gewdoh/an_update_on_week_7/")</f>
        <v/>
      </c>
      <c r="G875" t="inlineStr">
        <is>
          <t>2020-05-06 17:40:45</t>
        </is>
      </c>
      <c r="H875" t="inlineStr">
        <is>
          <t>Presumed Positive - From Doctor</t>
        </is>
      </c>
    </row>
    <row r="876">
      <c r="A876" t="inlineStr">
        <is>
          <t>gez88t</t>
        </is>
      </c>
      <c r="B876" t="inlineStr">
        <is>
          <t>Mental exhaustion</t>
        </is>
      </c>
      <c r="C876" t="inlineStr">
        <is>
          <t>Hey y’all, my mom (43, tested positive) is a director of an assisted living facility. She got tested as soon as she had a fever and a slight cough, and has isolated to her room for the time being. 
Physically, her symptoms have not been terrible (it’s been one week since she was tested and only 4 days since she got the positive result). Mentally, she is having a very hard time with the test result. 
I think this mostly stems from the fact that she feels some type of guilt for her residents potentially getting sick, even though she is not the only employee who has tested positive in the building. She is also feeling the immense stress of being a healthcare worker in general while the virus has gone around. 
My point is, I want to help her feel better mentally through this. I am currently working on my master’s in mental health counseling and I’m a huge advocate for mental health in all aspects, but there’s only so much I can do since I’m still in school and also related to her. 
I have made her favorite Starbucks pastry from scratch, I call her/talk to her through the door a few times a day, and I try to keep her spirits up, but I know this is just bigger than me. 
Has anyone dealt with the mental exhaustion this virus has had on a loved one? What unique things have you done to keep spirits up? Any apps or supplies I can share with her to occupy her mind? 
Thank you in advance, everyone. Stay safe and healthy out there!!</t>
        </is>
      </c>
      <c r="D876" t="n">
        <v>1</v>
      </c>
      <c r="E876" t="n">
        <v>12</v>
      </c>
      <c r="F876">
        <f>HYPERLINK("https://www.reddit.com/r/COVID19positive/comments/gez88t/mental_exhaustion/")</f>
        <v/>
      </c>
      <c r="G876" t="inlineStr">
        <is>
          <t>2020-05-06 20:45:13</t>
        </is>
      </c>
      <c r="H876" t="inlineStr">
        <is>
          <t>Tested Positive - Family</t>
        </is>
      </c>
    </row>
    <row r="877">
      <c r="A877" t="inlineStr">
        <is>
          <t>gf06y4</t>
        </is>
      </c>
      <c r="B877" t="inlineStr">
        <is>
          <t>8 weeks of symptoms. I feel like I’m slowly getting better but unsure and needs tests. Worried about clots, unsure If I should go to the hospital. Has anyone done this already?</t>
        </is>
      </c>
      <c r="C877" t="inlineStr">
        <is>
          <t>I just can’t decide what to do. One doctor has told me to stay home as I should be slowly getting better. Another doctor has told me to go he hospital for more tests. I can’t decide what to do.</t>
        </is>
      </c>
      <c r="D877" t="n">
        <v>1</v>
      </c>
      <c r="E877" t="n">
        <v>2</v>
      </c>
      <c r="F877">
        <f>HYPERLINK("https://www.reddit.com/r/COVID19positive/comments/gf06y4/8_weeks_of_symptoms_i_feel_like_im_slowly_getting/")</f>
        <v/>
      </c>
      <c r="G877" t="inlineStr">
        <is>
          <t>2020-05-06 21:58:20</t>
        </is>
      </c>
      <c r="H877" t="inlineStr">
        <is>
          <t>Presumed Positive - From Doctor</t>
        </is>
      </c>
    </row>
    <row r="878">
      <c r="A878" t="inlineStr">
        <is>
          <t>gf09as</t>
        </is>
      </c>
      <c r="B878" t="inlineStr">
        <is>
          <t>8 weeks of symptoms. I feel like I’m slowly getting better but unsure and need to get some tests. Worried about clots. Unsure if I should go to the hospital. Has anyone done this already?</t>
        </is>
      </c>
      <c r="C878" t="inlineStr">
        <is>
          <t>I just can’t decide what to do. One doctor has told me to stay home as I should be slowly getting better. Another doctor has told me to go he hospital for more tests. I can’t decide what to do.</t>
        </is>
      </c>
      <c r="D878" t="n">
        <v>1</v>
      </c>
      <c r="E878" t="n">
        <v>26</v>
      </c>
      <c r="F878">
        <f>HYPERLINK("https://www.reddit.com/r/COVID19positive/comments/gf09as/8_weeks_of_symptoms_i_feel_like_im_slowly_getting/")</f>
        <v/>
      </c>
      <c r="G878" t="inlineStr">
        <is>
          <t>2020-05-06 22:03:13</t>
        </is>
      </c>
      <c r="H878" t="inlineStr">
        <is>
          <t>Presumed Positive - From Doctor</t>
        </is>
      </c>
    </row>
    <row r="879">
      <c r="A879" t="inlineStr">
        <is>
          <t>gf1fkj</t>
        </is>
      </c>
      <c r="B879" t="inlineStr">
        <is>
          <t>9 weeks since first symptoms, new throat issue (27/M)</t>
        </is>
      </c>
      <c r="C879" t="inlineStr">
        <is>
          <t>I first got sick in the beginning of March and had 2 weeks of the classic symptoms. Chills, fever, aches, that weird cough, and lung issues. Ended up on an inhaler and steroids to help me sleep at night and almost went to the hospital. Most of my initial treatment was via telehealth, where they diagnosed me with viral bronchitis but would not refer me for testing due to capacity issues. I was 27 and healthy with no travel history, and it was March 3rd. Not a priority. All 3 of my jobs dealt with close contact with a variety of locals and travelers, though. 
I was in bed the entire week. Barely ate, body aches and shakes, Couhhing every 5 minutes. After about day 10, things began to look up, but I ended up back in bed by the end of the week with a flare up where my lungs felt like they were on fire. Breathing was still an issue by the end of the month and required an urgent care visit, though other symptoms were more or less gone by then. 
I considered myself more or less healthy by mid april, though with low lung capacity.  No fevers, no aches, no more stabbing pains, just a little tightness- entirely to be expected. I had just dealt with a serious infection. I've definitely been lower energy since I got sick, but I've been chalking that up to being cooped up with the stay at home order. 
In the last few days, things have been sliding a little bit. I've had a low fever, some shivers, and exhaustion. Things stabilized a bit today, though not much improvement, either.My throat/lymph nodes are sore too, swallowing is slightly painful. Is this part of the recovery process, or am I coming down with something else? 
I'm relatively healthcare-limited these days and any docs visits will cost me. Do I need to go in?</t>
        </is>
      </c>
      <c r="D879" t="n">
        <v>1</v>
      </c>
      <c r="E879" t="n">
        <v>10</v>
      </c>
      <c r="F879">
        <f>HYPERLINK("https://www.reddit.com/r/COVID19positive/comments/gf1fkj/9_weeks_since_first_symptoms_new_throat_issue_27m/")</f>
        <v/>
      </c>
      <c r="G879" t="inlineStr">
        <is>
          <t>2020-05-06 23:39:29</t>
        </is>
      </c>
      <c r="H879" t="inlineStr">
        <is>
          <t>Presumed Positive - From Doctor</t>
        </is>
      </c>
    </row>
    <row r="880">
      <c r="A880" t="inlineStr">
        <is>
          <t>gf1it6</t>
        </is>
      </c>
      <c r="B880" t="inlineStr">
        <is>
          <t>Reinfected with COVID-19</t>
        </is>
      </c>
      <c r="C880" t="inlineStr">
        <is>
          <t>Hi all,
I tested positive 3/22. My symptoms were mild lasting a week. Phlegm in throat, lowgrade fever, some minor chest pain. I was out of work for a month and had no symptoms for almost a month. I go back to work 4/23 since I am considered medically recovered based on CDC guidelines. I did not have another test. I notice some people at work are coughing but I'm hoping that since I had COVID already I have antibodies that make me immune. I feel completely fine and healthy. 
One week later, I wake up with fatigue, high fever, GI issues, heart palpitations and chest pain. I take the day off from work and hope i'll recover over the weekend. Over the weekend, I get an email saying one of my close proximity coworkers who was coughing when I came back to work tested positive with COVID-19. This time my symptoms are worse. The heart palpitations are what really bothers me. My heart is beating so hard, I can feel my lips twitching. Any activity even getting up from bed aggravates my heart rate. Any food I eat, I can feel my blood pressure dropping, heart rate flairing and have sudden exhaustion.
Now I have no idea if this a reinfection or relapse. But my symptoms are suddenly a lot more severe than the first time I got sick. It feels like a completely different infection. 
I am wondering if instead of becoming immune, the initial infection made me vulnerable to reinfection.
 [https://en.m.wikipedia.org/wiki/Antibody-dependent\_enhancement](https://en.m.wikipedia.org/wiki/Antibody-dependent_enhancement) 
Doctors in Wuhan were silenced when they tried to ring the bell on reinfection.
 [https://www.taiwannews.com.tw/en/news/3876197?fbclid=IwAR2AbHpmXSqSv-X5VK4VZbD7RygVaiTZk15\_v\_oOrbKd2MyuKHubQgLzO\_s](https://www.taiwannews.com.tw/en/news/3876197?fbclid=IwAR2AbHpmXSqSv-X5VK4VZbD7RygVaiTZk15_v_oOrbKd2MyuKHubQgLzO_s) 
This article shows patients recovering but getting reinfected and dying from heart issues which I am afraid is what I am experiencing. If anyone has any similar experiences please let me know.</t>
        </is>
      </c>
      <c r="D880" t="n">
        <v>1</v>
      </c>
      <c r="E880" t="n">
        <v>278</v>
      </c>
      <c r="F880">
        <f>HYPERLINK("https://www.reddit.com/r/COVID19positive/comments/gf1it6/reinfected_with_covid19/")</f>
        <v/>
      </c>
      <c r="G880" t="inlineStr">
        <is>
          <t>2020-05-06 23:47:07</t>
        </is>
      </c>
      <c r="H880" t="inlineStr">
        <is>
          <t>Tested Positive - Me</t>
        </is>
      </c>
    </row>
    <row r="881">
      <c r="A881" t="inlineStr">
        <is>
          <t>gf26t5</t>
        </is>
      </c>
      <c r="B881" t="inlineStr">
        <is>
          <t>Shortness of breath timeline after 7 weeks</t>
        </is>
      </c>
      <c r="C881" t="inlineStr">
        <is>
          <t>This might be helpful for those suffering from shortness of breath/with dyspnea. My spO2 never went below 94%. I have constant chest pain from costochrondritis and chest tightness 
week 1-3: I couldn’t hold breath at all. I felt like I was always suffocating. I couldn’t talk
week 4: dyspnea got better but I was still very much out of breath after talking for long times. couldn’t exersize 
week 5: dyspnea there but i can talk long without getting out of breath. Couldn’t exercise 
week 6: I can breath mostly well but dyspnea is there after exercising/walking. Its uncomfortable. I am even able to run a couple miles fine but afterwards when resting its bad. I am a runner and this is not normal 
week 7: dyspnea there after exercising but its not as uncomfortable as week 6. It also makes me dizzy this week
I have had testing to see if I have heart issues. My ER doctor thinks I have post viral bronchitis</t>
        </is>
      </c>
      <c r="D881" t="n">
        <v>1</v>
      </c>
      <c r="E881" t="n">
        <v>9</v>
      </c>
      <c r="F881">
        <f>HYPERLINK("https://www.reddit.com/r/COVID19positive/comments/gf26t5/shortness_of_breath_timeline_after_7_weeks/")</f>
        <v/>
      </c>
      <c r="G881" t="inlineStr">
        <is>
          <t>2020-05-07 00:44:38</t>
        </is>
      </c>
      <c r="H881" t="inlineStr">
        <is>
          <t>Tested Positive - Me</t>
        </is>
      </c>
    </row>
    <row r="882">
      <c r="A882" t="inlineStr">
        <is>
          <t>gf2nbf</t>
        </is>
      </c>
      <c r="B882" t="inlineStr">
        <is>
          <t>Scheduled a re test 2 weeks from now. Been 2 weeks symptom free</t>
        </is>
      </c>
      <c r="C882" t="inlineStr">
        <is>
          <t>What are the chances I will test positive again? Only symptom was loss senses for 12 days, no cough, pretty mild case. 
It’s a confusing timeline, I tested positive one week, 2 weeks later my mom was positive. 
By the time she tested positive, I felt recovered. She felt recovered as of 3 days ago, almost a full 2 weeks from her symptoms. My dad has no symptoms, but still has a test for next week because I doubt he doesn’t have it after living with us. 
I hope we all get a negative test, but what are the chances it will still be positive? Everyone is apparently “relapsing” weeks later, so I’m very scared that might happen to my mom because I just want her to get better. As for me, I need to get back to school and work eventually. If I test negative, does that mean there’s no chance of “relapsing”? Would I be able to catch it again from my dad if he is positive by next week?</t>
        </is>
      </c>
      <c r="D882" t="n">
        <v>1</v>
      </c>
      <c r="E882" t="n">
        <v>11</v>
      </c>
      <c r="F882">
        <f>HYPERLINK("https://www.reddit.com/r/COVID19positive/comments/gf2nbf/scheduled_a_re_test_2_weeks_from_now_been_2_weeks/")</f>
        <v/>
      </c>
      <c r="G882" t="inlineStr">
        <is>
          <t>2020-05-07 01:24:58</t>
        </is>
      </c>
      <c r="H882" t="inlineStr">
        <is>
          <t>Tested Positive - Family</t>
        </is>
      </c>
    </row>
    <row r="883">
      <c r="A883" t="inlineStr">
        <is>
          <t>gf50ll</t>
        </is>
      </c>
      <c r="B883" t="inlineStr">
        <is>
          <t>Prescribed antibiotics</t>
        </is>
      </c>
      <c r="C883" t="inlineStr">
        <is>
          <t>Week 8 here. Just spoke to my gp and she gave me some erythromycin. She couldn't rule out covid since I've had symptoms on and off for 8 weeks. I guess we'll find out whether my respiratory symptoms are a secondary infection at least. Need to get the same for my dad, even though his symptoms are not overtly as severe.</t>
        </is>
      </c>
      <c r="D883" t="n">
        <v>1</v>
      </c>
      <c r="E883" t="n">
        <v>5</v>
      </c>
      <c r="F883">
        <f>HYPERLINK("https://www.reddit.com/r/COVID19positive/comments/gf50ll/prescribed_antibiotics/")</f>
        <v/>
      </c>
      <c r="G883" t="inlineStr">
        <is>
          <t>2020-05-07 04:47:12</t>
        </is>
      </c>
      <c r="H883" t="inlineStr">
        <is>
          <t>Presumed Positive - From Doctor</t>
        </is>
      </c>
    </row>
    <row r="884">
      <c r="A884" t="inlineStr">
        <is>
          <t>gf622y</t>
        </is>
      </c>
      <c r="B884" t="inlineStr">
        <is>
          <t>Tested positive April 7th.</t>
        </is>
      </c>
      <c r="C884" t="inlineStr">
        <is>
          <t>Hello all. I tested positive on April 7th. On may 5th I was tested for antibodies IGG and tested positive. (although they say it’s accurate, other viruses in the corona virus family can give a positive as well). From a recommendation from my doctor, I took another tested today and received a negative result for covid-19. Should I be okay to return to my family now? I’ve been in isolation since I tested positive back on April 7th.</t>
        </is>
      </c>
      <c r="D884" t="n">
        <v>1</v>
      </c>
      <c r="E884" t="n">
        <v>5</v>
      </c>
      <c r="F884">
        <f>HYPERLINK("https://www.reddit.com/r/COVID19positive/comments/gf622y/tested_positive_april_7th/")</f>
        <v/>
      </c>
      <c r="G884" t="inlineStr">
        <is>
          <t>2020-05-07 05:58:24</t>
        </is>
      </c>
      <c r="H884" t="inlineStr">
        <is>
          <t>Tested Positive - Me</t>
        </is>
      </c>
    </row>
    <row r="885">
      <c r="A885" t="inlineStr">
        <is>
          <t>gf678e</t>
        </is>
      </c>
      <c r="B885" t="inlineStr">
        <is>
          <t>Week 7 - feel like I can’t talk about it around loved ones</t>
        </is>
      </c>
      <c r="C885" t="inlineStr">
        <is>
          <t>I’m on week 7 of SOB, chest pains, fatigue etc. I had been doing a bit better then ran some errands and relapsed. I know about the studies coming out about CFS, heart issues etc. I try to stay positive but when I express to my husband or family that I’m worried this could potentially stay with me forever or have lasting health consequences they tell me “You can’t think like that.” or they just shut down. It’s hard because it makes me feel really isolated. 
I also found out my coworkers at the spa I worked at have been secretly taking clients during our mandated shut down (Florida) and now are talking about reopening next week. It feels like a slap in the face because if they believed what I was telling them about this disease they wouldn’t be acting so irresponsibly. At least, that’s what you would think.
Anyway, I’m at least glad that I have ways, like this platform, to communicate with people who are going through the same and understand what it’s like.</t>
        </is>
      </c>
      <c r="D885" t="n">
        <v>1</v>
      </c>
      <c r="E885" t="n">
        <v>62</v>
      </c>
      <c r="F885">
        <f>HYPERLINK("https://www.reddit.com/r/COVID19positive/comments/gf678e/week_7_feel_like_i_cant_talk_about_it_around/")</f>
        <v/>
      </c>
      <c r="G885" t="inlineStr">
        <is>
          <t>2020-05-07 06:07:06</t>
        </is>
      </c>
      <c r="H885" t="inlineStr">
        <is>
          <t>Presumed Positive - From Doctor</t>
        </is>
      </c>
    </row>
    <row r="886">
      <c r="A886" t="inlineStr">
        <is>
          <t>gf7ewo</t>
        </is>
      </c>
      <c r="B886" t="inlineStr">
        <is>
          <t>20+ days since symptom onset, have sharp cold pain in my back although my torso is burning hot. Anyone else?</t>
        </is>
      </c>
      <c r="C886" t="inlineStr">
        <is>
          <t>It's been over 20 days since I first started showing symptoms. I think I've had almost every symptom described on this sub.
Most symptoms have gone away, but I've developed a sharp cold pain in my upper back that comes and goes. It's worse at night and then goes away during morning and comes back in the evening. 
Despite feeling like a cold pain, my torso is hot. Feels like I've been out in the sun a couple of hours and gotten sunburned.
I also have a cold feeling in my nose, like I'm inhaling air in the Winter despite being home.
Anyone else with these symptoms?</t>
        </is>
      </c>
      <c r="D886" t="n">
        <v>1</v>
      </c>
      <c r="E886" t="n">
        <v>7</v>
      </c>
      <c r="F886">
        <f>HYPERLINK("https://www.reddit.com/r/COVID19positive/comments/gf7ewo/20_days_since_symptom_onset_have_sharp_cold_pain/")</f>
        <v/>
      </c>
      <c r="G886" t="inlineStr">
        <is>
          <t>2020-05-07 07:19:56</t>
        </is>
      </c>
      <c r="H886" t="inlineStr">
        <is>
          <t>Presumed Positive - From Doctor</t>
        </is>
      </c>
    </row>
    <row r="887">
      <c r="A887" t="inlineStr">
        <is>
          <t>gf8hn1</t>
        </is>
      </c>
      <c r="B887" t="inlineStr">
        <is>
          <t>Day 50 - No antibodies or false negative? Driving me insane</t>
        </is>
      </c>
      <c r="C887" t="inlineStr">
        <is>
          <t>Hi all,
I wish I were here with some good news of a fully healed person, but unfortunately that's not yet for me today! Still dealing with low grade fever, headaches and dizziness mostly.
I just had another full blood test, and my GP thought it good to do the serology test while we were at it, since we are pretty sure it was the Covid-19 despite the nose swab test being negative (taken at day 41 of my symptoms). I just got the results back, and, surprise, both IgG and IgM are negatives! I kind of freaked out when seeing this. My first reaction was to wonder if this was all in my head? Like could I have imagined 50 days of fever, fatigue, oppression in my chest among other pleasantries? Could it just be my anxiety? 
I am 'lucky' in a sense that my blood test shows that my red blood cells are fairly high (nothing crazy, but definitely higher than they should be), and white blood cells are a bit low, which is a good sign of an infection and a proof that I wasn't imagining it or lying. Now, could it be something else than Covid? All the other elements they tested are fine, apart from the blood cells it looks as if I'm healthy as a horse (lucky me), so the usual suspects of mononucleosis and friends are out. 
Could it also be that I have not developed specific antibodies? I have been ill for so long, could it be because my body has not been able to produce antibodies to defend specifically against this fairly weird virus? Will it mean that I can get reinfected soon?
The lady at the lab who drew my blood told me that they are only testing for two out of the three virus heads, and even if this came back negative, it might be worth testing again in a few months just to check if I am positive with another test. I also read that these tests are producing a lot of false negatives, could this be one? It is not yet fully approved by the health authorities here, and I had to pay it out of my own pocket despite GP's prescription.
I was curious, have any of you been in a similar situation, or heard anything from the scientific community about these tests and all that? 
Anyway, sorry about the long rant, this is driving me insane and I have no clue what to do now. GP is on his day off so I have to wait until Saturday or Monday to get in touch with him and see what I'm supposed to do now.</t>
        </is>
      </c>
      <c r="D887" t="n">
        <v>3</v>
      </c>
      <c r="E887" t="n">
        <v>64</v>
      </c>
      <c r="F887">
        <f>HYPERLINK("https://www.reddit.com/r/COVID19positive/comments/gf8hn1/day_50_no_antibodies_or_false_negative_driving_me/")</f>
        <v/>
      </c>
      <c r="G887" t="inlineStr">
        <is>
          <t>2020-05-07 08:20:24</t>
        </is>
      </c>
      <c r="H887" t="inlineStr">
        <is>
          <t>Presumed Positive - From Doctor</t>
        </is>
      </c>
    </row>
    <row r="888">
      <c r="A888" t="inlineStr">
        <is>
          <t>gfa6f6</t>
        </is>
      </c>
      <c r="B888" t="inlineStr">
        <is>
          <t>How physically inactive should I keep myself?</t>
        </is>
      </c>
      <c r="C888" t="inlineStr">
        <is>
          <t>M22, 135 pounds, 5’6, Day 4 of symptoms, I think 7-8 days since exposure. No known pre-existing conditions. 
Would it be beneficial to go on walks/stretch? I’m reading accounts of people being more physically active when they start to feel better then relapsing. I’ve just started to have a cough and some chest pains, but no fever and blood oxygen is 98-99 consistently.
Edit: on a side note, I’m taking the usual Vitamin C, D, Magnesium, and Zinc supplements. Any idea what a safe I.U. Of vitamin D is to take a day? I’m currently taking 1,600 I.U a day through vitamins and don’t want to overdo. I have another supplement that is 2,000 I.U I could add in.</t>
        </is>
      </c>
      <c r="D888" t="n">
        <v>1</v>
      </c>
      <c r="E888" t="n">
        <v>29</v>
      </c>
      <c r="F888">
        <f>HYPERLINK("https://www.reddit.com/r/COVID19positive/comments/gfa6f6/how_physically_inactive_should_i_keep_myself/")</f>
        <v/>
      </c>
      <c r="G888" t="inlineStr">
        <is>
          <t>2020-05-07 09:48:00</t>
        </is>
      </c>
      <c r="H888" t="inlineStr">
        <is>
          <t>Presumed Positive - From Doctor</t>
        </is>
      </c>
    </row>
    <row r="889">
      <c r="A889" t="inlineStr">
        <is>
          <t>gfasx1</t>
        </is>
      </c>
      <c r="B889" t="inlineStr">
        <is>
          <t>Viral reactivation</t>
        </is>
      </c>
      <c r="C889" t="inlineStr">
        <is>
          <t>Hi all, I was infected a month and a half ago. Very serious with lung pain, aches, shortness of breath, couldn't go more than 10 seconds without having a vicious coughing fit, and I peaked at a temp of 104.3. I thought I was going to die, but two weeks went by and I got better. Now, a month an a half later I have residual virus in my system (lungs and intestines) that has caused a flare up of sorts. I know it's subjective from person to person, but this time around my breathing was worse, so much so I required albuterol inhaler, however, no fever or cough or any other symptom. I still believe in anti-bodies, but viral reactivation is a thing. Have a nice day, and stay strong.</t>
        </is>
      </c>
      <c r="D889" t="n">
        <v>3</v>
      </c>
      <c r="E889" t="n">
        <v>16</v>
      </c>
      <c r="F889">
        <f>HYPERLINK("https://www.reddit.com/r/COVID19positive/comments/gfasx1/viral_reactivation/")</f>
        <v/>
      </c>
      <c r="G889" t="inlineStr">
        <is>
          <t>2020-05-07 10:18:54</t>
        </is>
      </c>
      <c r="H889" t="inlineStr">
        <is>
          <t>Presumed Positive - From Doctor</t>
        </is>
      </c>
    </row>
    <row r="890">
      <c r="A890" t="inlineStr">
        <is>
          <t>gfcd8y</t>
        </is>
      </c>
      <c r="B890" t="inlineStr">
        <is>
          <t>Accidentally got it from my dad</t>
        </is>
      </c>
      <c r="C890" t="inlineStr">
        <is>
          <t>Hello everyone. My dad called the doctor to confirm that I had COVID-19 2 days ago. Previously he had it for about 2-3 weeks and now he accidentally passed it to me. I had severe chills to the point I hop in a hot, steamy shower to relieve it. I been coughing to the point my chest hurts, I feel winded from going up a flight of stairs or walk for a short while, I started to sleep more often than usual, and I lost my sense of smell to where even if my head is deep in a frying pan when making food, I can’t smell the faintest whiff of food. I been drinking hot tea to sooth my sore throat but it’s honestly a misery.</t>
        </is>
      </c>
      <c r="D890" t="n">
        <v>5</v>
      </c>
      <c r="E890" t="n">
        <v>18</v>
      </c>
      <c r="F890">
        <f>HYPERLINK("https://www.reddit.com/r/COVID19positive/comments/gfcd8y/accidentally_got_it_from_my_dad/")</f>
        <v/>
      </c>
      <c r="G890" t="inlineStr">
        <is>
          <t>2020-05-07 11:38:03</t>
        </is>
      </c>
      <c r="H890" t="inlineStr">
        <is>
          <t>Presumed Positive - From Doctor</t>
        </is>
      </c>
    </row>
    <row r="891">
      <c r="A891" t="inlineStr">
        <is>
          <t>gfeivw</t>
        </is>
      </c>
      <c r="B891" t="inlineStr">
        <is>
          <t>Anyone’s lungs feel weird when changing position in bed?</t>
        </is>
      </c>
      <c r="C891" t="inlineStr">
        <is>
          <t>It happens when I am sleeping in one position, on my left side then switch to back sleeping for example. I have to be sleeping in that position for at least an hour to feel the weirdness and the longer I am in one position the weirder it feels when I switch.
I would describe the weirdness as if my lungs are slowly unfolding and there is noticeable SOB while it happens. The whole thing takes between 10 and 30 seconds. 
It’s made worse when I have a general SOB at night.
I am on week 7 of this crap among many other symptoms and it comes in waves.</t>
        </is>
      </c>
      <c r="D891" t="n">
        <v>4</v>
      </c>
      <c r="E891" t="n">
        <v>26</v>
      </c>
      <c r="F891">
        <f>HYPERLINK("https://www.reddit.com/r/COVID19positive/comments/gfeivw/anyones_lungs_feel_weird_when_changing_position/")</f>
        <v/>
      </c>
      <c r="G891" t="inlineStr">
        <is>
          <t>2020-05-07 13:29:41</t>
        </is>
      </c>
      <c r="H891" t="inlineStr">
        <is>
          <t>Presumed Positive - From Doctor</t>
        </is>
      </c>
    </row>
    <row r="892">
      <c r="A892" t="inlineStr">
        <is>
          <t>gfen5i</t>
        </is>
      </c>
      <c r="B892" t="inlineStr">
        <is>
          <t>To any other 70+ dayers</t>
        </is>
      </c>
      <c r="C892" t="inlineStr">
        <is>
          <t>At day 81, totally isolated in my apartment in the current hellscape that is NYC, I’m so desperate for this to be over. So: Have any of you kicked it after so long? Are we stuck until an antiviral treatment is developed?</t>
        </is>
      </c>
      <c r="D892" t="n">
        <v>4</v>
      </c>
      <c r="E892" t="n">
        <v>82</v>
      </c>
      <c r="F892">
        <f>HYPERLINK("https://www.reddit.com/r/COVID19positive/comments/gfen5i/to_any_other_70_dayers/")</f>
        <v/>
      </c>
      <c r="G892" t="inlineStr">
        <is>
          <t>2020-05-07 13:35:50</t>
        </is>
      </c>
      <c r="H892" t="inlineStr">
        <is>
          <t>Presumed Positive - From Doctor</t>
        </is>
      </c>
    </row>
    <row r="893">
      <c r="A893" t="inlineStr">
        <is>
          <t>gffglr</t>
        </is>
      </c>
      <c r="B893" t="inlineStr">
        <is>
          <t>I know it could be so much worse. But I Am I ever going to be able to walk more than a block again? My heart races with very little exertion. It’s been a month and a half.</t>
        </is>
      </c>
      <c r="C893" t="inlineStr">
        <is>
          <t>It’s been over a month. I (54,F) know I should be grateful my symptoms are mild. I’m really pretty fine as long as I don’t do anything. But I miss wLkj g my dog. I used to hike, go to the gym, do tai-chi and yoga. Now if I do anything my heart beats out of my chest and then the next day I cough and am fatigued. I just walked my dog a block, came home and my resting pulse is 120. (Normally 70).  Had anyone else had this experience?</t>
        </is>
      </c>
      <c r="D893" t="n">
        <v>1</v>
      </c>
      <c r="E893" t="n">
        <v>28</v>
      </c>
      <c r="F893">
        <f>HYPERLINK("https://www.reddit.com/r/COVID19positive/comments/gffglr/i_know_it_could_be_so_much_worse_but_i_am_i_ever/")</f>
        <v/>
      </c>
      <c r="G893" t="inlineStr">
        <is>
          <t>2020-05-07 14:19:00</t>
        </is>
      </c>
      <c r="H893" t="inlineStr">
        <is>
          <t>Presumed Positive - From Doctor</t>
        </is>
      </c>
    </row>
    <row r="894">
      <c r="A894" t="inlineStr">
        <is>
          <t>gffjsp</t>
        </is>
      </c>
      <c r="B894" t="inlineStr">
        <is>
          <t>I tested positive a week and a half ago just after getting a job offer</t>
        </is>
      </c>
      <c r="C894" t="inlineStr">
        <is>
          <t>I’m 10 or 11 days into this and still miserable. I need to be better by Wednesday next week to start this new job. 
Any advice?
What’s the typical timeframe of symptoms? 
I’m really sick of being sick and I need to make money, like now. :(</t>
        </is>
      </c>
      <c r="D894" t="n">
        <v>1</v>
      </c>
      <c r="E894" t="n">
        <v>8</v>
      </c>
      <c r="F894">
        <f>HYPERLINK("https://www.reddit.com/r/COVID19positive/comments/gffjsp/i_tested_positive_a_week_and_a_half_ago_just/")</f>
        <v/>
      </c>
      <c r="G894" t="inlineStr">
        <is>
          <t>2020-05-07 14:23:46</t>
        </is>
      </c>
      <c r="H894" t="inlineStr">
        <is>
          <t>Tested Positive</t>
        </is>
      </c>
    </row>
    <row r="895">
      <c r="A895" t="inlineStr">
        <is>
          <t>gfh6ui</t>
        </is>
      </c>
      <c r="B895" t="inlineStr">
        <is>
          <t>I finally have antibodies!</t>
        </is>
      </c>
      <c r="C895" t="inlineStr">
        <is>
          <t>Just a little follow-up. I had blood work done last Monday on my 47th day of symptoms and they came back that I have antibodies. I’m finally feeling 99.9% better (my sense of smell and taste are apparently fucked, only came back to about 50% and is holding) 
I’m letting myself breath a sigh of relief. My body fought the good fight for the last couple of months and I came out on the other side. I’m grateful. I’m still acting as though I can still contract/spread Covid even though I have antibodies. There are a lot of unknowns with this thing. 
I can only hope I have some longish term of immunity.</t>
        </is>
      </c>
      <c r="D895" t="n">
        <v>8</v>
      </c>
      <c r="E895" t="n">
        <v>46</v>
      </c>
      <c r="F895">
        <f>HYPERLINK("https://www.reddit.com/r/COVID19positive/comments/gfh6ui/i_finally_have_antibodies/")</f>
        <v/>
      </c>
      <c r="G895" t="inlineStr">
        <is>
          <t>2020-05-07 15:55:19</t>
        </is>
      </c>
      <c r="H895" t="inlineStr">
        <is>
          <t>Tested Positive - Me</t>
        </is>
      </c>
    </row>
    <row r="896">
      <c r="A896" t="inlineStr">
        <is>
          <t>gfhecx</t>
        </is>
      </c>
      <c r="B896" t="inlineStr">
        <is>
          <t>Full Recovery - Symptoms lasted 18 days</t>
        </is>
      </c>
      <c r="C896" t="inlineStr">
        <is>
          <t>I keep seeing people posting about symptoms lasting for months, I just wanna get one more voice in here to say that’s by no means normal.  I had a mild case, and note that I never stopped working the whole time I was sick (I work from home for a tech company).  To be honest, if we were still in office and I didn’t know there was a highly infectious and deadly disease going around, I would have just thought this was a cold and kept coming in to work.  I’ve genuinely had colds worse than my case of COVID-19, so if you get this, just be aware, you’re probably gonna be totally fine.
I got sick with this disease starting March 31st, and symptoms lasted until April 17th.  By that day, I was considered well enough by the CDC to break social isolation (no fever, other symptoms subsided, and at least 7 days since original symptoms).  I had a residual cough until last week, but that is gone now too.  A week by week breakdown of my symptoms would look like...
Week 1 - The Eon of the Cough:  Cough.  Oh my god the cough.  Literally constant, ceaseless, dry cough.  I didn’t have a thermometer but I never felt feverish, so I don’t *think* I ever had a fever but can’t totally rule it out.  Fatigue didn’t hit for 5 days, but when it did it hit like a truck.  I slept 32 hours over that weekend.
Week 2 - The Era of Lethargy:  Still coughing, tapered off from day 8 to day 14.  This week was defined by being super sleepy.  I’m lucky my work slowed down, because it was hard to focus on excel sheets while I just wanted to lay down on my bed (which I did frequently.  Once my roommate tested positive I let my boss know and was given the all clear to dip out whenever I needed to, or take some time off if necessary).  So yeah, tons of sleep.  10-11 hours most nights, with generous naps during the day.  This lasted through to the end of the week.
Week 3 - The Age of Recovery:  Felt mostly myself by the beginning of week 3.  Managed to get my hands on a thermometer by day 18 where I consistently read a body temp of 95.5-.8 degrees, so I guess I run cold.  Clearly no fever.  Cough had disappeared enough at this point that I’d consider it residual, and my sleep schedule was normal by day 18 as well.  For these reasons, I consider day 18 my last “sick” day.
Week 4 and Beyond - The Epoch of Normalcy:  Residual cough slowly declined over the next 2 weeks.  I still cough occasionally, a few times a day, but I wouldn’t say I have, “a cough”.  Fatigue is totally gone and I’ve begun light exercise (don’t wanna relapse), but those two symptoms were the bulk of my sickness and they’re gone now.  Now it’s just back to quarantine boredom and making plans to actually get back to consistently exercising again.  Thinking about maybe learning a language too.  No better time right?
So yeah, I now feel 100% back to my normal self.  As I said above, none of these symptoms were *horrible*.  I’ve had regular colds that felt worse, and if the world wasn’t like it is right now, would’ve felt fine going to work like I was.
Just wanted to get this out there.  I see a lot of health anxiety out there about this virus, and keep a few things in mind.  Stress and anxiety is terrible for your mental health, and it can even be terrible for your physical health.  I don’t want to downplay anything, the mother of my friend was on ventilator for 2 weeks and is only just beginning to recover, but keep in mind this could also just be a mild annoyance.  Be careful, wear a mask, disinfect, but if you get it, stay calm.  It’s better for your mental *and* physical health.
Alert, not anxious.  Stay healthy, and if you’ve got it, I wish you the best of luck in your recovery ❤️</t>
        </is>
      </c>
      <c r="D896" t="n">
        <v>3</v>
      </c>
      <c r="E896" t="n">
        <v>24</v>
      </c>
      <c r="F896">
        <f>HYPERLINK("https://www.reddit.com/r/COVID19positive/comments/gfhecx/full_recovery_symptoms_lasted_18_days/")</f>
        <v/>
      </c>
      <c r="G896" t="inlineStr">
        <is>
          <t>2020-05-07 16:07:06</t>
        </is>
      </c>
      <c r="H896" t="inlineStr">
        <is>
          <t>Tested Positive - Friends</t>
        </is>
      </c>
    </row>
    <row r="897">
      <c r="A897" t="inlineStr">
        <is>
          <t>gfhi8k</t>
        </is>
      </c>
      <c r="B897" t="inlineStr">
        <is>
          <t>Can my mom get fired for being positive?</t>
        </is>
      </c>
      <c r="C897" t="inlineStr">
        <is>
          <t>My mom tested positive last week and was already feeling better a few days after. She’s been symptom free for close to a week now. 
However, her work said that they’re planning on re opening most likely in July and everyone has to report to work to get tested this upcoming Monday. My mom is scared to tell them she’s already tested positive, and she’s scared she will test positive again this upcoming Monday. 
Would she get in trouble for being positive already and not telling them when she comes into get a test? She will NOT be returning back to work until probably July (which I don’t understand the point of testing so fast). At the point she will even comes to work she is probably not contagious anymore (had it end of April). She doesn’t wanna disclose the fact that she already tested last week for it, scared of being fired or them giving her position away, or other people talking about her and shunning her (she’s asian and scared) 
When she tested, it was the health district the tested her. If she tests positive again with her work, the health district will probably get notified again.</t>
        </is>
      </c>
      <c r="D897" t="n">
        <v>2</v>
      </c>
      <c r="E897" t="n">
        <v>9</v>
      </c>
      <c r="F897">
        <f>HYPERLINK("https://www.reddit.com/r/COVID19positive/comments/gfhi8k/can_my_mom_get_fired_for_being_positive/")</f>
        <v/>
      </c>
      <c r="G897" t="inlineStr">
        <is>
          <t>2020-05-07 16:13:25</t>
        </is>
      </c>
      <c r="H897" t="inlineStr">
        <is>
          <t>Tested Positive - Family</t>
        </is>
      </c>
    </row>
    <row r="898">
      <c r="A898" t="inlineStr">
        <is>
          <t>gfhuq3</t>
        </is>
      </c>
      <c r="B898" t="inlineStr">
        <is>
          <t>Those who tested positive then negative, what was the timeframe of your illness and how long did you wait?</t>
        </is>
      </c>
      <c r="C898" t="inlineStr">
        <is>
          <t>I had an extremely mild case and was positive by mid April. Only lost my senses and recovered it a week after. No symptoms since, it’s been a full 2 weeks. I have my second test tomorrow. My case only lasted for the 2 weeks period. 
I don’t know how to feel if I test positive again with no symptoms. Has anyone even tested positive then negative here? Did you wait for a long time? I thought maybe since I had such a mild case, that I’ll be negative but then there’s talk about “dead virus cells” still in there. I don’t know how to clear myself.</t>
        </is>
      </c>
      <c r="D898" t="n">
        <v>1</v>
      </c>
      <c r="E898" t="n">
        <v>10</v>
      </c>
      <c r="F898">
        <f>HYPERLINK("https://www.reddit.com/r/COVID19positive/comments/gfhuq3/those_who_tested_positive_then_negative_what_was/")</f>
        <v/>
      </c>
      <c r="G898" t="inlineStr">
        <is>
          <t>2020-05-07 16:33:58</t>
        </is>
      </c>
      <c r="H898" t="inlineStr">
        <is>
          <t>Tested Positive - Me</t>
        </is>
      </c>
    </row>
    <row r="899">
      <c r="A899" t="inlineStr">
        <is>
          <t>gfhvaf</t>
        </is>
      </c>
      <c r="B899" t="inlineStr">
        <is>
          <t>Family all tested Positive for antibodies</t>
        </is>
      </c>
      <c r="C899" t="inlineStr">
        <is>
          <t>My whole family got tested for the antibodies a couple days ago and we all came back positive.  We thought it was possible since we all had been ill the last four months while doing a lot of traveling to ski resorts.  Each of us had different symptoms ranging from fever to breathing issues to taste/smell loss.  Looking to donate plasma now and hopefully find out how well we will be immune in the future.</t>
        </is>
      </c>
      <c r="D899" t="n">
        <v>1</v>
      </c>
      <c r="E899" t="n">
        <v>45</v>
      </c>
      <c r="F899">
        <f>HYPERLINK("https://www.reddit.com/r/COVID19positive/comments/gfhvaf/family_all_tested_positive_for_antibodies/")</f>
        <v/>
      </c>
      <c r="G899" t="inlineStr">
        <is>
          <t>2020-05-07 16:34:52</t>
        </is>
      </c>
      <c r="H899" t="inlineStr">
        <is>
          <t>Tested Positive - Family</t>
        </is>
      </c>
    </row>
    <row r="900">
      <c r="A900" t="inlineStr">
        <is>
          <t>gficyi</t>
        </is>
      </c>
      <c r="B900" t="inlineStr">
        <is>
          <t>Sense of smell coming and going. Anyone else?</t>
        </is>
      </c>
      <c r="C900" t="inlineStr">
        <is>
          <t>My sense of smell was completely gone when I was sick, which was expected, but since recovering I’ve noticed that it sort of comes and goes. I’ll go a few hours with an annoyingly sensitive sense of smell, and then half a day not being able to smell anything. Anyone else experiencing this after recovering?  
Additional information: 30F, overweight, slightly elevated BP.  Had all the typical symptoms, was tested, and five days later the results were negative. My doctor told me to assume it was a false negative because my symptoms were “textbook.” I felt mostly recovered after 20 days, with the exception of this olfactory situation. Not at all complaining; just curious if anyone else is getting their sense of smell back sporadically.</t>
        </is>
      </c>
      <c r="D900" t="n">
        <v>1</v>
      </c>
      <c r="E900" t="n">
        <v>10</v>
      </c>
      <c r="F900">
        <f>HYPERLINK("https://www.reddit.com/r/COVID19positive/comments/gficyi/sense_of_smell_coming_and_going_anyone_else/")</f>
        <v/>
      </c>
      <c r="G900" t="inlineStr">
        <is>
          <t>2020-05-07 17:03:33</t>
        </is>
      </c>
      <c r="H900" t="inlineStr">
        <is>
          <t>Presumed Positive - From Doctor</t>
        </is>
      </c>
    </row>
    <row r="901">
      <c r="A901" t="inlineStr">
        <is>
          <t>gfif36</t>
        </is>
      </c>
      <c r="B901" t="inlineStr">
        <is>
          <t>Any Moms out there?</t>
        </is>
      </c>
      <c r="C901" t="inlineStr">
        <is>
          <t>Are there any long term sufferers that are Moms out there with young kids at home? How do you manage to complete all of your responsibilities as a mother and rest all the time? I keep relapsing due to the nature of my job as a mother and caretaker of animals. I cannot get help from outside my husband and he is also suffering with this dreaded thing I will not name.</t>
        </is>
      </c>
      <c r="D901" t="n">
        <v>1</v>
      </c>
      <c r="E901" t="n">
        <v>8</v>
      </c>
      <c r="F901">
        <f>HYPERLINK("https://www.reddit.com/r/COVID19positive/comments/gfif36/any_moms_out_there/")</f>
        <v/>
      </c>
      <c r="G901" t="inlineStr">
        <is>
          <t>2020-05-07 17:07:20</t>
        </is>
      </c>
      <c r="H901" t="inlineStr">
        <is>
          <t>Presumed Positive - From Doctor</t>
        </is>
      </c>
    </row>
    <row r="902">
      <c r="A902" t="inlineStr">
        <is>
          <t>gfiicl</t>
        </is>
      </c>
      <c r="B902" t="inlineStr">
        <is>
          <t>Infrared Sauna</t>
        </is>
      </c>
      <c r="C902" t="inlineStr">
        <is>
          <t>Does anyone know if infrared saunas can treat Covid19?  I’m wondering if inducing a fever would burn it off? I second guess it because it already feels like my body is in an inflamed state so I’m not sure about heating things up more. The downside as well is it makes your heart rate increase. I know sauna is helpful for many long-term chronic illnesses like Lyme disease...Has anyone here tried saunas for a treatment?</t>
        </is>
      </c>
      <c r="D902" t="n">
        <v>1</v>
      </c>
      <c r="E902" t="n">
        <v>8</v>
      </c>
      <c r="F902">
        <f>HYPERLINK("https://www.reddit.com/r/COVID19positive/comments/gfiicl/infrared_sauna/")</f>
        <v/>
      </c>
      <c r="G902" t="inlineStr">
        <is>
          <t>2020-05-07 17:12:51</t>
        </is>
      </c>
      <c r="H902" t="inlineStr">
        <is>
          <t>Tested Positive</t>
        </is>
      </c>
    </row>
    <row r="903">
      <c r="A903" t="inlineStr">
        <is>
          <t>gfkg6a</t>
        </is>
      </c>
      <c r="B903" t="inlineStr">
        <is>
          <t>Has anyone had blood test in which T-Cell count and Il-6 was included?</t>
        </is>
      </c>
      <c r="C903" t="inlineStr">
        <is>
          <t>What was the value?</t>
        </is>
      </c>
      <c r="D903" t="n">
        <v>1</v>
      </c>
      <c r="E903" t="n">
        <v>2</v>
      </c>
      <c r="F903">
        <f>HYPERLINK("https://www.reddit.com/r/COVID19positive/comments/gfkg6a/has_anyone_had_blood_test_in_which_tcell_count/")</f>
        <v/>
      </c>
      <c r="G903" t="inlineStr">
        <is>
          <t>2020-05-07 19:15:49</t>
        </is>
      </c>
      <c r="H903" t="inlineStr">
        <is>
          <t>Presumed Positive - From Doctor</t>
        </is>
      </c>
    </row>
    <row r="904">
      <c r="A904" t="inlineStr">
        <is>
          <t>gfkib6</t>
        </is>
      </c>
      <c r="B904" t="inlineStr">
        <is>
          <t>I just got tested and I’m positive</t>
        </is>
      </c>
      <c r="C904" t="inlineStr">
        <is>
          <t>I’m so scared. I’ve been by myself for two months and my roommates just came back. One of them went today and got tested and cane back positive. We all decided to go and I was the only one out of the other two that came back positive. I just don’t get it. I was fine before they got back and now only me and one other one have it but the other two who have been around him the most are okay. What do I do? I’m scared</t>
        </is>
      </c>
      <c r="D904" t="n">
        <v>1</v>
      </c>
      <c r="E904" t="n">
        <v>14</v>
      </c>
      <c r="F904">
        <f>HYPERLINK("https://www.reddit.com/r/COVID19positive/comments/gfkib6/i_just_got_tested_and_im_positive/")</f>
        <v/>
      </c>
      <c r="G904" t="inlineStr">
        <is>
          <t>2020-05-07 19:19:42</t>
        </is>
      </c>
      <c r="H904" t="inlineStr">
        <is>
          <t>Tested Positive - Me</t>
        </is>
      </c>
    </row>
    <row r="905">
      <c r="A905" t="inlineStr">
        <is>
          <t>gfkqh3</t>
        </is>
      </c>
      <c r="B905" t="inlineStr">
        <is>
          <t>Intercostal Pain</t>
        </is>
      </c>
      <c r="C905" t="inlineStr">
        <is>
          <t>Hey all
I got my positive test result earlier, and I've been having moderate to high fevers. Little cough, but not bad- I have been diagnosed with concurrent pneumonia in both lungs, and other than the fever, the shortness of breath and lung pain is the worst.
It's like having multiple rib bruises all over, front and back, but without the coughing. My pulse ox is running around 85% and thankfully I have naturally low blood pressure and heart rate.
I'm trying to stand as much as I can and really focus on deep breathing--I had pneumonia earlier this year from a bad case of RSV and my lung capacity is larger, so my doctor says I'm prone to pneumonia.
This shit really sucks. I really hope y'all are doing well. Hang in there, that's pretty much all you can do.</t>
        </is>
      </c>
      <c r="D905" t="n">
        <v>1</v>
      </c>
      <c r="E905" t="n">
        <v>7</v>
      </c>
      <c r="F905">
        <f>HYPERLINK("https://www.reddit.com/r/COVID19positive/comments/gfkqh3/intercostal_pain/")</f>
        <v/>
      </c>
      <c r="G905" t="inlineStr">
        <is>
          <t>2020-05-07 19:34:50</t>
        </is>
      </c>
      <c r="H905" t="inlineStr">
        <is>
          <t>Tested Positive - Me</t>
        </is>
      </c>
    </row>
    <row r="906">
      <c r="A906" t="inlineStr">
        <is>
          <t>gfkrts</t>
        </is>
      </c>
      <c r="B906" t="inlineStr">
        <is>
          <t>Question about longer cases</t>
        </is>
      </c>
      <c r="C906" t="inlineStr">
        <is>
          <t>I have been positive since 4/20 and i am being repeatedly tested bc I’m an RN and can’t go back to work until I’m negative. I know there are significant, real post viral symptoms with Covid, but I was wondering about anyone’s case that is having to repeatedly test - how long were you positive, what was your symptom progression, etc. thanks!!</t>
        </is>
      </c>
      <c r="D906" t="n">
        <v>1</v>
      </c>
      <c r="E906" t="n">
        <v>3</v>
      </c>
      <c r="F906">
        <f>HYPERLINK("https://www.reddit.com/r/COVID19positive/comments/gfkrts/question_about_longer_cases/")</f>
        <v/>
      </c>
      <c r="G906" t="inlineStr">
        <is>
          <t>2020-05-07 19:37:22</t>
        </is>
      </c>
      <c r="H906" t="inlineStr">
        <is>
          <t>Tested Positive - Me</t>
        </is>
      </c>
    </row>
    <row r="907">
      <c r="A907" t="inlineStr">
        <is>
          <t>gfkvyt</t>
        </is>
      </c>
      <c r="B907" t="inlineStr">
        <is>
          <t>Meds/Supplements that help with symptoms</t>
        </is>
      </c>
      <c r="C907" t="inlineStr">
        <is>
          <t>Hi everyone! I just wanted to share some aids that helped me to manage my symptoms. I thought maybe each of us has something to share as well.
So, the first supplement that helped me with severe nausea was activated charcoal. I felt severely nauseous when I had a fever, I couldn't eat. I read that it's because I was intoxicated with the virus and charcoal supplement can help with intoxication. It really helped me!!! Usually charcoal is used when you eat something bad, have nausea and need to clean your gut. 
Another supplement that helped me was Valocordin. I bought it in Russian online pharmacy. It's a tincture that supports heart. It's natural, it's a blend of Adonis herb,  Lily of the valley leaf, hawthorn berry, valerian root, peppermint oil. It helped me with rapid heart rate and anxiety. 
I also took some vitamins (D, C) and zinc. And was drinking tea with Manuka honey. Not sure if it helped me or not. I'm not a doctor but I just wanted to share this with everybody. 
Do you take any medications/supplements that helped you with the symptoms? Please share! 
Stay safe and healthy 🙏❤️</t>
        </is>
      </c>
      <c r="D907" t="n">
        <v>1</v>
      </c>
      <c r="E907" t="n">
        <v>14</v>
      </c>
      <c r="F907">
        <f>HYPERLINK("https://www.reddit.com/r/COVID19positive/comments/gfkvyt/medssupplements_that_help_with_symptoms/")</f>
        <v/>
      </c>
      <c r="G907" t="inlineStr">
        <is>
          <t>2020-05-07 19:44:58</t>
        </is>
      </c>
      <c r="H907" t="inlineStr">
        <is>
          <t>Tested Positive - Me</t>
        </is>
      </c>
    </row>
    <row r="908">
      <c r="A908" t="inlineStr">
        <is>
          <t>gfkz9p</t>
        </is>
      </c>
      <c r="B908" t="inlineStr">
        <is>
          <t>Breathing shallow at night</t>
        </is>
      </c>
      <c r="C908" t="inlineStr">
        <is>
          <t>I'm afraid to go to sleep because my breath seems shallow, can't breathe deeply enough for some reason... Autonomic breathing issues maybe?</t>
        </is>
      </c>
      <c r="D908" t="n">
        <v>1</v>
      </c>
      <c r="E908" t="n">
        <v>6</v>
      </c>
      <c r="F908">
        <f>HYPERLINK("https://www.reddit.com/r/COVID19positive/comments/gfkz9p/breathing_shallow_at_night/")</f>
        <v/>
      </c>
      <c r="G908" t="inlineStr">
        <is>
          <t>2020-05-07 19:51:15</t>
        </is>
      </c>
      <c r="H908" t="inlineStr">
        <is>
          <t>Presumed Positive - From Doctor</t>
        </is>
      </c>
    </row>
    <row r="909">
      <c r="A909" t="inlineStr">
        <is>
          <t>gfl9y0</t>
        </is>
      </c>
      <c r="B909" t="inlineStr">
        <is>
          <t>Day 21 - Second Wave</t>
        </is>
      </c>
      <c r="C909" t="inlineStr">
        <is>
          <t>Around three weeks ago, I began having initial symptoms of: persistent dry cough, lightheaded, shortness of breath, etc...I had a doctor tell me that there was a good chance that I had COVID19, but they could not safely test me because I was young and healthy. During this time, I never had a fever and initial symptoms cleared up within 8-10 days.
Well, it would appear as though I am going through what a lot of sufferers of this virus would call a second wave of symptoms, after nearly two weeks of feeling normal. It started with my stomach feeling bloated and not at all at ease. A lot of GI issues persisted, including gas and acid reflux. My diet has not been the best in the past few days, and I did go on a couple of walks. I mention the walks because some have said exercise has triggered their second waves.
I have been having chills / feeling sweaty and fatigued, but no new onset fever. So far, these are the second wave symptoms. Diminished smell and taste. I wondered if I’d either caught the virus again, or these are just the second wave but it’s more than likely the latter.
I wish they’d go away.</t>
        </is>
      </c>
      <c r="D909" t="n">
        <v>1</v>
      </c>
      <c r="E909" t="n">
        <v>17</v>
      </c>
      <c r="F909">
        <f>HYPERLINK("https://www.reddit.com/r/COVID19positive/comments/gfl9y0/day_21_second_wave/")</f>
        <v/>
      </c>
      <c r="G909" t="inlineStr">
        <is>
          <t>2020-05-07 20:11:04</t>
        </is>
      </c>
      <c r="H909" t="inlineStr">
        <is>
          <t>Presumed Positive - From Doctor</t>
        </is>
      </c>
    </row>
    <row r="910">
      <c r="A910" t="inlineStr">
        <is>
          <t>gflfs7</t>
        </is>
      </c>
      <c r="B910" t="inlineStr">
        <is>
          <t>The Corona Virus NCOV Is Harmless If You Body Is Clean Healthy But Dangerous If Your Body Is Dirty Toxic</t>
        </is>
      </c>
      <c r="C910" t="inlineStr">
        <is>
          <t>**The Corona Virus NCOV Is Harmless If You Body Is Clean Healthy But Dangerous If Your Body Is Dirty Toxic**  
The new corona virus NCOV is harmless, and they just acting like a connector, a leader or a King.  
 In ancient time, the King may die but the crown is always there for the rest.  
 That same rule apply to all the NCOV case as well.  
 You cannot kill the NCOV as long as the toxic and “ingredients” in your body still there.  
You do not go against the corona virus NCOV, you go up against the team of many virus and the NCOV is the King/Boss.  
 So the real objective is the virus in general but not the NCOV !!!  
 Just like in real battle life, you do not looking for the King, you just need killing the lower ranking people, and then the King will automatic surrender.  
The authorities, governments &amp;amp; the media are lying and deceiving the public people.  
 If the NCOV is dangerous then all people must get the same symptoms but why some people got this some people got that, some test negative some test positive even though they are in the same case plane.  
If it exchange for a tiger or lion, they will probably get the similar deadly result. But with the new corona virus NCOV, most people do not. So you must think about that.  
And the only truth is that the NCOV is harmless if you body is clean and healthy, and it is only dangerous if your body full of toxin, dirty.  
In order to form a new nation, a King must need a certain condition like gold,land, people.  
 That same rule apply for the NCOV as well, in order for the NCOV able to “work” and become dangerous, there must be some kind of condition as well ! And those are toxin, surplus protein, artificial chemicals, etc.  
Virus are everywhere,only stupid people looking and fight directly with the NCOV.  
 Smart people chasing for easier lower level virus and then win the war.  
 A naked King with no people around is mostly useless one !  
 People can only die because of many various virus but not a single virus one.  
So do not fear the NCOV, you just need live good and have a healthy clean body and you won’t have any healthy problem.And what is a clean healthy body is up to each people, you must do some research and have your own experiment, stop hoping for the rest come and help you for even them cannot know the secret of life.  
Best Regard,  
 **The Savior Legend**  
Source: freejoy.aimoo.com</t>
        </is>
      </c>
      <c r="D910" t="n">
        <v>1</v>
      </c>
      <c r="E910" t="n">
        <v>7</v>
      </c>
      <c r="F910">
        <f>HYPERLINK("https://www.reddit.com/r/COVID19positive/comments/gflfs7/the_corona_virus_ncov_is_harmless_if_you_body_is/")</f>
        <v/>
      </c>
      <c r="G910" t="inlineStr">
        <is>
          <t>2020-05-07 20:22:13</t>
        </is>
      </c>
      <c r="H910" t="inlineStr">
        <is>
          <t>Tested Positive</t>
        </is>
      </c>
    </row>
    <row r="911">
      <c r="A911" t="inlineStr">
        <is>
          <t>gfne9n</t>
        </is>
      </c>
      <c r="B911" t="inlineStr">
        <is>
          <t>Thought I got flu-like illness from parents back in February, mother took antibody tested negative, I took one and tested positive for antibodies, what gives?</t>
        </is>
      </c>
      <c r="C911" t="inlineStr">
        <is>
          <t>Okay so back in late January my parents came to visit  us in Northern California from out of state. Right after they left my dad came down with symptoms that are pretty consistent with Covid 19(but had no idea at the time). General misery and developed shortness of breath after a week where he could barely get up to go to the bathroom without having to catch his breath. Then my mother got it also, sever fatigue, cough, muscle aches, fever, chills, and total loss of sense of smell and taste which she has still not fully recovered from. My dad is much better but still struggles a bit with being out of breath more than before. Anyway, my mom became convinced she had it and took an antibody test that came back negative(Abbot labs test). 
I still decided to get tested just to see, although after her negative test I wasn't expecting much. I tested positive for antibodies. What happened is about 12 days after my parents left my 6 year old son developed a slight cough. This was in early-mid February, (I spent my Valentines day sick). I thought he was just getting a little cold, not a big deal but my wife wanted me to take his temperature and it was 101.5. So I kept him out of school a few days, but by the next day his fever was reduced and on the third day it was normal so he went back to school. About a day later I started developing a cough and a slight runny nose. My runny nose was gone the next day but my cough was getting worse.
&amp;amp;#x200B;
 On the third day I came back to the house after dropping my son off at school and started feeling cold and kept turning the thermostat up.  Then I suddenly got serious chills and started visibly shaking. So I realized, okay I have a bit more than a slight cold. I stayed home and rested and the chills went away by the evening. However, the next couple days I felt really run down with a cough and body aches. But by the end of the third day I started to feel relatively better except for the cough. The following week I felt okay except I was very tired, like I cannot work more than 2-3 hours at my computer before I felt the overwhelming need to lie down and rest. After that I felt mostly better but my cough lasted about 7  weeks(yes, you heard that right, weeks), I just couldn't shake it. Even now when I am tired in the evening I sometimes get a bit of a dry cough, it really did a number on my lungs I guess. Anyway I am mostly better now except for allergies. 
Around day 5 of my illness my wife got sick, at first with  a slight sore throat, then the next day she woke up with a horrible headache. That progressed to body aches, fevers and cough for the rest of the week. After the first week she started to feel better but felt  extremely fatigued for weeks, but her cough went away faster. She also lost her  sense of taste and smell. I thought we probably just all had the flu in spite of getting our flu shots.
It is weird my parents had similar but worse symptoms and my mom tested negative, and I positive. Perhaps we got different bugs, or perhaps that was just the flu and I got an asymptomatic case later. My son did get a bad cough again a couple weeks after he recovered from the first one, and I was worried he wasn't getting better and the doctor told me it was probably just a re-infection of something else. This was the week before school closed  and everything locked down. So maybe that was it and I got an asymptomatic  case from him on his second infection? Anyway strange because I thought the antibody tests if anything erred on the side of false positives, so I guess it is also possible I just got a false positive.</t>
        </is>
      </c>
      <c r="D911" t="n">
        <v>1</v>
      </c>
      <c r="E911" t="n">
        <v>27</v>
      </c>
      <c r="F911">
        <f>HYPERLINK("https://www.reddit.com/r/COVID19positive/comments/gfne9n/thought_i_got_flulike_illness_from_parents_back/")</f>
        <v/>
      </c>
      <c r="G911" t="inlineStr">
        <is>
          <t>2020-05-07 22:52:36</t>
        </is>
      </c>
      <c r="H911" t="inlineStr">
        <is>
          <t>Tested Positive</t>
        </is>
      </c>
    </row>
    <row r="912">
      <c r="A912" t="inlineStr">
        <is>
          <t>gft3eq</t>
        </is>
      </c>
      <c r="B912" t="inlineStr">
        <is>
          <t>Whole household tested positive</t>
        </is>
      </c>
      <c r="C912" t="inlineStr">
        <is>
          <t>Me (31F), husband (30), and our daughters (10 and 3). Kids feel 100% fine and have no fever. Husband has a 100 degree fever but claims to feel fine. I have a 101 degree fever and am developing a pretty nasty cough. Not the type of thing I'd recommend a family share so far!</t>
        </is>
      </c>
      <c r="D912" t="n">
        <v>1</v>
      </c>
      <c r="E912" t="n">
        <v>54</v>
      </c>
      <c r="F912">
        <f>HYPERLINK("https://www.reddit.com/r/COVID19positive/comments/gft3eq/whole_household_tested_positive/")</f>
        <v/>
      </c>
      <c r="G912" t="inlineStr">
        <is>
          <t>2020-05-08 06:20:15</t>
        </is>
      </c>
      <c r="H912" t="inlineStr">
        <is>
          <t>Tested Positive</t>
        </is>
      </c>
    </row>
    <row r="913">
      <c r="A913" t="inlineStr">
        <is>
          <t>gftqxj</t>
        </is>
      </c>
      <c r="B913" t="inlineStr">
        <is>
          <t>Food Intolerances anybody?</t>
        </is>
      </c>
      <c r="C913" t="inlineStr">
        <is>
          <t>I’m on day 52 and still dealing with some bloating/reflux/gas/indigestion (my poop is back to normal!) but I’m noticing that I can’t eat a normal portion without feeling really full. Starting to wonder if certain foods are triggering it. Anyone else have a similar experience.</t>
        </is>
      </c>
      <c r="D913" t="n">
        <v>1</v>
      </c>
      <c r="E913" t="n">
        <v>12</v>
      </c>
      <c r="F913">
        <f>HYPERLINK("https://www.reddit.com/r/COVID19positive/comments/gftqxj/food_intolerances_anybody/")</f>
        <v/>
      </c>
      <c r="G913" t="inlineStr">
        <is>
          <t>2020-05-08 07:00:14</t>
        </is>
      </c>
      <c r="H913" t="inlineStr">
        <is>
          <t>Tested Positive - Me</t>
        </is>
      </c>
    </row>
    <row r="914">
      <c r="A914" t="inlineStr">
        <is>
          <t>gfuyiw</t>
        </is>
      </c>
      <c r="B914" t="inlineStr">
        <is>
          <t>31 days</t>
        </is>
      </c>
      <c r="C914" t="inlineStr">
        <is>
          <t>Hello everyone! I’m pretty young but I’ve been having symptoms for 31 days now! I’m starting to get extremely sad. The body aches have calmed down, but still have shortness of breath and chest pressure and elevated heart beat. When do I get to feel like me again? Doctors aren’t finding anything wrong so why do I feel this way :(</t>
        </is>
      </c>
      <c r="D914" t="n">
        <v>2</v>
      </c>
      <c r="E914" t="n">
        <v>12</v>
      </c>
      <c r="F914">
        <f>HYPERLINK("https://www.reddit.com/r/COVID19positive/comments/gfuyiw/31_days/")</f>
        <v/>
      </c>
      <c r="G914" t="inlineStr">
        <is>
          <t>2020-05-08 08:13:21</t>
        </is>
      </c>
      <c r="H914" t="inlineStr">
        <is>
          <t>Presumed Positive - From Doctor</t>
        </is>
      </c>
    </row>
    <row r="915">
      <c r="A915" t="inlineStr">
        <is>
          <t>gfv5j1</t>
        </is>
      </c>
      <c r="B915" t="inlineStr">
        <is>
          <t>Positive with no symptoms?</t>
        </is>
      </c>
      <c r="C915" t="inlineStr">
        <is>
          <t>Short summary: There was a case at a factory that I work at where one of the guys tested positive so I've stayed at home since then. The last time I was at the factory was 9 days ago and I officially tested positive 5 days ago (only time I was out of the house).  I still do not have any symptoms, maybe some pain in my eyes but nothing else... 
Anyone else experiencing the same thing? I am a male in my mid twenties with no pre-existing conditions.</t>
        </is>
      </c>
      <c r="D915" t="n">
        <v>3</v>
      </c>
      <c r="E915" t="n">
        <v>9</v>
      </c>
      <c r="F915">
        <f>HYPERLINK("https://www.reddit.com/r/COVID19positive/comments/gfv5j1/positive_with_no_symptoms/")</f>
        <v/>
      </c>
      <c r="G915" t="inlineStr">
        <is>
          <t>2020-05-08 08:24:30</t>
        </is>
      </c>
      <c r="H915" t="inlineStr">
        <is>
          <t>Tested Positive - Me</t>
        </is>
      </c>
    </row>
    <row r="916">
      <c r="A916" t="inlineStr">
        <is>
          <t>gfvxhs</t>
        </is>
      </c>
      <c r="B916" t="inlineStr">
        <is>
          <t>How to get a negative swab test?</t>
        </is>
      </c>
      <c r="C916" t="inlineStr">
        <is>
          <t>Let's make this clear symptoms free for 1 month and a half only had this fever for 10 days. No pneumonia no cough only GI issues that that are lasting till today.
I'm isolating for 60 days now I'm sick of that. 
They take a thorat and nasal swab every 7/10 days any technique to get that negative? Like mouthwash etc?</t>
        </is>
      </c>
      <c r="D916" t="n">
        <v>1</v>
      </c>
      <c r="E916" t="n">
        <v>5</v>
      </c>
      <c r="F916">
        <f>HYPERLINK("https://www.reddit.com/r/COVID19positive/comments/gfvxhs/how_to_get_a_negative_swab_test/")</f>
        <v/>
      </c>
      <c r="G916" t="inlineStr">
        <is>
          <t>2020-05-08 09:06:54</t>
        </is>
      </c>
      <c r="H916" t="inlineStr">
        <is>
          <t>Tested Positive</t>
        </is>
      </c>
    </row>
    <row r="917">
      <c r="A917" t="inlineStr">
        <is>
          <t>gfwdap</t>
        </is>
      </c>
      <c r="B917" t="inlineStr">
        <is>
          <t>I found a silver lining to corona.</t>
        </is>
      </c>
      <c r="C917" t="inlineStr">
        <is>
          <t>I have found a lone single positive to dealing with covid and its aftermath. Smell, mine is gone after 8 weeks and still isn't back yet. Some would ask "how could this be a good thing?" Diapers. Stinking, dirty shitty diapers. I can't smell them at all. My wife walks past the boys rooms with the door closed making it to the living room doubled over retching saying "Jesus christ!" No, not me. I can not smell and I can change any diaper.
Well there you have it, one good thing.</t>
        </is>
      </c>
      <c r="D917" t="n">
        <v>2</v>
      </c>
      <c r="E917" t="n">
        <v>27</v>
      </c>
      <c r="F917">
        <f>HYPERLINK("https://www.reddit.com/r/COVID19positive/comments/gfwdap/i_found_a_silver_lining_to_corona/")</f>
        <v/>
      </c>
      <c r="G917" t="inlineStr">
        <is>
          <t>2020-05-08 09:31:04</t>
        </is>
      </c>
      <c r="H917" t="inlineStr">
        <is>
          <t>Tested Positive</t>
        </is>
      </c>
    </row>
    <row r="918">
      <c r="A918" t="inlineStr">
        <is>
          <t>gfxcwl</t>
        </is>
      </c>
      <c r="B918" t="inlineStr">
        <is>
          <t>68/F SOUTH CAROLINA ALL 14 SYMPTOMS BEFORE MARCH (100+ DAYS) PRESUMED POSITIVE BY HOSPITAL VIRTUAL DR. MARCH 1st ANOTHER 60 DAYS (with all 14 symptoms) FINALLY GIVEN ACCESS AND TESTED POSITIVE! HAVE MEDICAL RECORDS FROM NOV-MAY 6! ALSO GIVEN ANTIBODY BLOOD TEST AND CAME BACK NEGATIVE!!!</t>
        </is>
      </c>
      <c r="C918" t="inlineStr">
        <is>
          <t>DAY 160 and still showing symptoms but not all at same time. Continuous headache and chills (under 5 blankets and it's 80F outside) Medications -Albuterol inhaler and Azelastine nasal spray plus Wellbutrin.
Have medical records from Nov from personal physician plus almost every symptom specialist. Have had chest to pelvic sonogram and ct-scan (with and without contrast); 2 chest x-rays; also ct-scan and MRI (with and without contrast) numerous rounds of blood work. Started falling from dizziness ended up in ER with 4 cracked ribs and bruised spine. Two other ER visits for severe dehydration (ER visits were in Jan and Feb)
When will this STOP! I HAVE NOT LEFT MY HOME (except Dr appts) since Nov. No family Thanksgiving nor Christmas since Drs didn't know what was wrong with me and then stay at home order. Daughter is medical DNP and son is type 1 insulin dependent diabetic.
I stopped talking to most family and friends bc no one believes I'm still sick. Those that do call think I'm crazy so I've even been evaluated by psychologist and psychiatrist - VERIFIED NOT CRAZY!!!
I had stage 4 ovarian cancer 8 years ago and this virus feels overwhelming!
Is there anyone else out there struggling like me? How long can this last?</t>
        </is>
      </c>
      <c r="D918" t="n">
        <v>1</v>
      </c>
      <c r="E918" t="n">
        <v>50</v>
      </c>
      <c r="F918">
        <f>HYPERLINK("https://www.reddit.com/r/COVID19positive/comments/gfxcwl/68f_south_carolina_all_14_symptoms_before_march/")</f>
        <v/>
      </c>
      <c r="G918" t="inlineStr">
        <is>
          <t>2020-05-08 10:23:37</t>
        </is>
      </c>
      <c r="H918" t="inlineStr">
        <is>
          <t>Tested Positive - Me</t>
        </is>
      </c>
    </row>
    <row r="919">
      <c r="A919" t="inlineStr">
        <is>
          <t>gfxtt5</t>
        </is>
      </c>
      <c r="B919" t="inlineStr">
        <is>
          <t>Mid 30s Obese Female - Recovered!</t>
        </is>
      </c>
      <c r="C919" t="inlineStr">
        <is>
          <t>I am a woman in my mid 30s and technically morbidly obese with a BMI of 43. No major underlying health conditions like hypertension or diabetes but I do have a heart arrhythmia and allergies. 
I am an essential worker (think medical or public safety but I am not a first responder) and so was required to work during my state’s shutdown. 
I believe I caught Covid-19 at work despite our social distancing and disinfection policies.  We had some suspected cases for about eight weeks prior to me getting sick but no one had been able to get tested.  I had allergy symptoms of sneezing, runny nose, and cough for about a month before I got sick,so in my case cough wasn’t an indication that I had been infected. 
I did try keeping a log but was unable to maintain it on my worse days so this is the best recollection of my experience. 
Day 1:  Chills, fever, sweats, body aches. Started taking cold and flu meds
Day 2 - 3:  Body aches and fatigue. Was tested on day 3 even though I felt relatively fine compared to last two days.
Day 4: minor congestion and chest discomfort. Got the test results back as positive. 
Day 5-11:  congestion, headaches, chest discomfort, shortness of breath, lightheadedness. These were the worst days for me. 
Day 12-18: symptoms above started slowly resolving a little bit each day. I stopped taking cold and flu meds on day 18 and I returned to work after being symptom free for 72 hours. 
I also experienced nausea and GI issues on and off during the 18 days. I never lost my sense of taste or smell. I never developed a bad cough and the cough I had during those 18 days I would describe as a wet cough not a dry one. Similar to what I already had with my allergies. 
The scariest days for me were days 5-11 with the chest discomfort and shortness of breath. I was lucky to have a pulse oximeter and could keep an eye on my levels and never felt the need to go to a hospital. I slept on my stomach which I had read was easier for your lungs. When I was awake I made sure I stayed sitting up and moving around when possible instead of just laying down all the time.  I made sure to get plenty of rest and LOTS of fluids. Like my pee was so clear the water in the toilet bowl didn’t even change color. I continued to take my vitamins and supps that I was already doing before getting sick:  a multi, calcium &amp;amp; vitamin d, fish oil, and Costco’s Cosamin DS. 
I’ve been symptom free for almost two weeks now. I get winded very easily though. Prior to getting sick was I walking 30 min 3x a week and now I can barely walk from my car to my work desk without feeling out of breath. But I’ve been told this is a normal and over time I will gain back my stamina. I read too many accounts here about people exercising too soon and relapsing so I’m taking my time and not over doing anything. 
I feel so lucky and blessed to be a survivor. I was really scared with my obesity that I would end up in the hospital and/or die. In two more weeks I can go through the process to find out if I am eligible to donate my plasma. 
If I didn’t cover anything or you want to know more about my experience please ask away!</t>
        </is>
      </c>
      <c r="D919" t="n">
        <v>1</v>
      </c>
      <c r="E919" t="n">
        <v>15</v>
      </c>
      <c r="F919">
        <f>HYPERLINK("https://www.reddit.com/r/COVID19positive/comments/gfxtt5/mid_30s_obese_female_recovered/")</f>
        <v/>
      </c>
      <c r="G919" t="inlineStr">
        <is>
          <t>2020-05-08 10:48:07</t>
        </is>
      </c>
      <c r="H919" t="inlineStr">
        <is>
          <t>Tested Positive - Me</t>
        </is>
      </c>
    </row>
    <row r="920">
      <c r="A920" t="inlineStr">
        <is>
          <t>gfxwd3</t>
        </is>
      </c>
      <c r="B920" t="inlineStr">
        <is>
          <t>30 plus dayers</t>
        </is>
      </c>
      <c r="C920" t="inlineStr">
        <is>
          <t>Do you think that because of the lingering symptoms your body is taking longer to create antibodies or that you aren’t creating antibodies (some people just don’t create them) putting your body in perpetual fight mode without improvement until there is an anti viral treatment or vaccine. 
But I also read that there is no evidence of this being chronic (South Korean news source) 
Kinda confused</t>
        </is>
      </c>
      <c r="D920" t="n">
        <v>1</v>
      </c>
      <c r="E920" t="n">
        <v>12</v>
      </c>
      <c r="F920">
        <f>HYPERLINK("https://www.reddit.com/r/COVID19positive/comments/gfxwd3/30_plus_dayers/")</f>
        <v/>
      </c>
      <c r="G920" t="inlineStr">
        <is>
          <t>2020-05-08 10:51:38</t>
        </is>
      </c>
      <c r="H920" t="inlineStr">
        <is>
          <t>Presumed Positive - From Doctor</t>
        </is>
      </c>
    </row>
    <row r="921">
      <c r="A921" t="inlineStr">
        <is>
          <t>gfxykh</t>
        </is>
      </c>
      <c r="B921" t="inlineStr">
        <is>
          <t>What type of specialist to see?</t>
        </is>
      </c>
      <c r="C921" t="inlineStr">
        <is>
          <t xml:space="preserve">
Where did you go for d-dimer tests and CT scans?  GP, specialist, ER, Hospital?
37M From New York on day 53. Still have slight chest pain, on/off cough, fatigue and slight elevated heart rate (especially when moving around)
I’m ok with this being a long recovery but I would like to have heart/lungs checked and d-dimer for clots.
Doctors just now starting to see people where I am. Have apt with a new GP tomorrow (didn’t have one) for fist time. Had chest X-ray and ecg on day 10. Only phone stuff since, and doctor says stay home and don’t go to doctors office. 
Was thinking maybe I need cardiologist, pulmonologist or hematologist? 
Trying to avoid seeing a million of doctors as I’m pretty nervous to go. ER by me prob not an option cause symptoms not bad enough.</t>
        </is>
      </c>
      <c r="D921" t="n">
        <v>1</v>
      </c>
      <c r="E921" t="n">
        <v>14</v>
      </c>
      <c r="F921">
        <f>HYPERLINK("https://www.reddit.com/r/COVID19positive/comments/gfxykh/what_type_of_specialist_to_see/")</f>
        <v/>
      </c>
      <c r="G921" t="inlineStr">
        <is>
          <t>2020-05-08 10:54:47</t>
        </is>
      </c>
      <c r="H921" t="inlineStr">
        <is>
          <t>Tested Positive - Me</t>
        </is>
      </c>
    </row>
    <row r="922">
      <c r="A922" t="inlineStr">
        <is>
          <t>gfy6pt</t>
        </is>
      </c>
      <c r="B922" t="inlineStr">
        <is>
          <t>I've been sick since early march and fear I might have become chronically ill</t>
        </is>
      </c>
      <c r="C922" t="inlineStr">
        <is>
          <t>I've been continously sick since march. I've had all of the symptoms ranging from low grade fevers, dry cough, burning hot torso, night sweats, muscle pains, fatigue, skin rashes, red/blue feet and shortness of breath just by walking a bit.
Right now most symptoms have gone away except the fatigue, shortness of breath, feels like my lungs are on fire and I'm having extreme intense sharp back pains that not even paracetamol combined with ibuprofen can dampen. It's most intense at night which can make it hard to sleep.
I've been checked by my doctor several times and my blood work looks perfectly normal. At this point I've accepted that I'm chronically sick, because most of family members and friends who've had it recovered a long time ago.
It also makes me depressed because I get the feeling some doctors aren't invested in you if you can't show that your blood work is abnormal. I've had a difficult time even getting painkillers prescribed for my back pain, and it feels harder being a young previously healthy woman. At some point I've felt like a drug addict - the stares, the questions, the anomosity. I can't imagine those who have chronic pain having to deal with the pain and not being believed by doctors daily.</t>
        </is>
      </c>
      <c r="D922" t="n">
        <v>1</v>
      </c>
      <c r="E922" t="n">
        <v>20</v>
      </c>
      <c r="F922">
        <f>HYPERLINK("https://www.reddit.com/r/COVID19positive/comments/gfy6pt/ive_been_sick_since_early_march_and_fear_i_might/")</f>
        <v/>
      </c>
      <c r="G922" t="inlineStr">
        <is>
          <t>2020-05-08 11:06:21</t>
        </is>
      </c>
      <c r="H922" t="inlineStr">
        <is>
          <t>Presumed Positive - From Doctor</t>
        </is>
      </c>
    </row>
    <row r="923">
      <c r="A923" t="inlineStr">
        <is>
          <t>gfyzhx</t>
        </is>
      </c>
      <c r="B923" t="inlineStr">
        <is>
          <t>COVID after effects gives me bleak hope</t>
        </is>
      </c>
      <c r="C923" t="inlineStr">
        <is>
          <t>I was bed ridden for a week before I decided to call a doctor bc my fevers wouldn’t let up. Completely not normal. I was three weeks fevering and felt like death. For someone who didn’t have insurance and was super sick best I could do was remain self isolated in my room for almost a month and talk to doctors and nurse practitioners. I’m almost three weeks out since dubbed COVID free and I’m stuck in bed with my joint pains at their peak, nausea preventing me from moving headache that’s making me sicker but glad I can breathe today.
I’m tired y’all. I’m doing everything I’ve been told to do and have done. School is stressing me out bc reading a small excerpt gets me confused and tires me out so much. I don’t want to lose hope but everything that’s been happening and everything I’ve been seeing and reading doesn’t give me a bright hope.
I’m keeping a journal of everything I’ve experienced since day one and I’m keeping track of my after effects symptoms. Sending each and everyone of you affected love and admiration.</t>
        </is>
      </c>
      <c r="D923" t="n">
        <v>1</v>
      </c>
      <c r="E923" t="n">
        <v>8</v>
      </c>
      <c r="F923">
        <f>HYPERLINK("https://www.reddit.com/r/COVID19positive/comments/gfyzhx/covid_after_effects_gives_me_bleak_hope/")</f>
        <v/>
      </c>
      <c r="G923" t="inlineStr">
        <is>
          <t>2020-05-08 11:47:25</t>
        </is>
      </c>
      <c r="H923" t="inlineStr">
        <is>
          <t>Presumed Positive - From Doctor</t>
        </is>
      </c>
    </row>
    <row r="924">
      <c r="A924" t="inlineStr">
        <is>
          <t>gfzwcx</t>
        </is>
      </c>
      <c r="B924" t="inlineStr">
        <is>
          <t>Sudden loss of taste after months with Covid?</t>
        </is>
      </c>
      <c r="C924" t="inlineStr">
        <is>
          <t>Hi everyone,
I got sick March 6th and I've been recovering steadily for about a week or so (week 7/8). Now suddenly today I have been sniffing and sneezing like crazy. This isn't entirely new since I had these symptoms in the last few weeks. I've never had allergies. 
Now suddenly I can't taste anything! It's really noticeable. It's like my tongue is numb. 
Wondering if anyone has had a similar experience?</t>
        </is>
      </c>
      <c r="D924" t="n">
        <v>1</v>
      </c>
      <c r="E924" t="n">
        <v>11</v>
      </c>
      <c r="F924">
        <f>HYPERLINK("https://www.reddit.com/r/COVID19positive/comments/gfzwcx/sudden_loss_of_taste_after_months_with_covid/")</f>
        <v/>
      </c>
      <c r="G924" t="inlineStr">
        <is>
          <t>2020-05-08 12:33:36</t>
        </is>
      </c>
      <c r="H924" t="inlineStr">
        <is>
          <t>Presumed Positive - From Doctor</t>
        </is>
      </c>
    </row>
    <row r="925">
      <c r="A925" t="inlineStr">
        <is>
          <t>gg0w83</t>
        </is>
      </c>
      <c r="B925" t="inlineStr">
        <is>
          <t>Day 16 of having COVID.</t>
        </is>
      </c>
      <c r="C925" t="inlineStr">
        <is>
          <t>I live in a household with three others, and despite them bringing all make and manner of people into the house and ignoring pretty much *every* precaution, I wound up with COVID and all three of those idiots tested negative. Go figure. Most cautious/safe one of the bunch and the healthiest one, and I wind up being the one that gets it. Unsurprisingly, they are no help and actually pretty damn rude.  
I'm going to tell you right now that if I wasn't as active as I usually am, I would be hospitalized or worse. This thing mentally and physically beats you up something fierce. It cut my breathing capacity by half and suddenly minor tasks became exhausting. I've been keeping a record of things since day 3, when I went in to get checked out at a hospital. Lucky for me, no damage to my lungs or heart or anything like that..though I thought it odd that they checked for heart issues. (*This is before people were winding up with clotting and strokes*.)  
**My symptoms include the following**: Bloodshot eyes, dry/chapped lips, dehydration, headaches/migraines, shortness of breath, exhaustion over minor tasks, nausea, dizziness, confusion, sudden changes in how I feel temperature (one moment cold, the next overheated.) I get a very weird, metallic aftertaste that is disgusting before some of the symptoms seem to hit. Muscle pain...I ache all over, and it progressed from minor aches to major aches. Some days are better than others. Insomnia is also common due to the above interfering with sleep, but that has gotten a little better as I keep myself propped up to keep any airways from getting congested.  
***Unusually enough, I have not registered a fever since this began.*** My temperature has ranged from 96.4 to the highest being 98.7 deg.  I feel overheated at times, and I have to drink water constantly as I seem to dehydrate much faster than usual. (I would wager it about 20-30% more than usual. I try to stay hydrated as it is.)  I was supposed to be quarantined until May 4th, or 3 days after any fever. They ***did not t***ell me that its advised to remain quarantined until 7 days after you stop showing symptoms.  
(I have still maintained quarantine anyway as I don't want to chance giving this nasty thing to anyone. I take this very, very seriously. I might get lucky and make it through this but it doesn't mean someone else will be that lucky. I won't have that on my conscience.)  
I have no idea how long this thing can potentially last..but it's certainly something else. I've been seriously ill before and this is nothing like anything i've ever been hit with. For those that don't have it...take proper precautions, and take this seriously. You don't want to get hit with it, and you don't want to see someone go through it, either. To everyone that does have it, good luck, and I hope your situation improves.  
I have found that this thing does not seem to like Vitamin A, C, D and B12. I've heard Zinc as well, but I have no means to test that. I just noted that keeping a moderate dose in my diet seems to make things a little more bearable and I seem to feel a bit better off and on. (For all I know, that could be purely in my head, though.)</t>
        </is>
      </c>
      <c r="D925" t="n">
        <v>1</v>
      </c>
      <c r="E925" t="n">
        <v>7</v>
      </c>
      <c r="F925">
        <f>HYPERLINK("https://www.reddit.com/r/COVID19positive/comments/gg0w83/day_16_of_having_covid/")</f>
        <v/>
      </c>
      <c r="G925" t="inlineStr">
        <is>
          <t>2020-05-08 13:25:15</t>
        </is>
      </c>
      <c r="H925" t="inlineStr">
        <is>
          <t>Tested Positive - Me</t>
        </is>
      </c>
    </row>
    <row r="926">
      <c r="A926" t="inlineStr">
        <is>
          <t>gg1dgz</t>
        </is>
      </c>
      <c r="B926" t="inlineStr">
        <is>
          <t>My story - long read, no structure, and bad language</t>
        </is>
      </c>
      <c r="C926" t="inlineStr">
        <is>
          <t>37/male/6 feet 220lbs (now 205)/no major diagnosed pre-existing conditions/rarely get sick/southeast Virginia
I believe on or about 3.13.2020 I contracted covid.  I was hit with minor symptoms on 3.17.2020.  This included scratchy throat and shortness of breath.  On 3.22.2020 I developed more symptoms. By 3.24.2020 it was worse and by 3.27.2020 I could no longer work from home.  The symptoms included diarrhea, headache, nausea (did not vomit), muscle aches, kidney pain, tightness in chest, fever, chills, sweats, night terrors, hallucinations, insomnia, and I may be missing a few.  One interesting note, I did not have a cough.  I toughed this out for days.. I stayed in bed and forced myself to eat crackers, soup, and juice.  I live alone so mentally this is rough. On about 3.30.2020 I was feeling better and though I was on the mend.  The next day that hope was knocked out of me.  On 4.2.2020 I did a telemedicine.  They prescribed me a z-pak.   My primary care physician was unavailable and the group he was with said he was no longer my pcp because I hadn't seen him in 3 years.  Oh he's been my doc since I was 3.  So telemedicine it is as no one is accepting new patients. By 4.3.2020 I am worse, telemedicine prescribed me an inhaler.  I have hit a point over the past few days where I could sleep.  The grim reaper comes every night looking for me and the dreams are horrid.  But my chest tightness has evolved.  At this point insomnia has kicked in. Right when I try to go to sleep when I am almost there, I gasp for air. Instantly I am awake. Disregard the 10mg of melatonin and the Tylenol pm, I am awake.  I can't live like this so on 4.4.2020 at 4 am I go to the emergency room. My oximeter shows 97 but my blood pressure is like 240/110 or something.  I get x-rays and blood done over the next 10 hours. X-ray shows pneumonia bottom left lung near heart.  My blood is fairly normal. The doctor says the pneumonia isn't bad. The ekg is normal and my glucose is 117 likely because of the halls vitamin c drops? D-dimer was not measured. Wbc was 5.8 rbc was 5.65.. I have all these records and everything appeared to be within spec.  Essentially, the doctor said this is all common we aren't going to test you because your young, healthy, no pre existing conditions and the test is bullshit... but you are presumed covid. Go home.. and for your stomach here is some probiotics, and some benedryl for sleep.  Since you are already on the z pac just continue God speed. This was actually nicest doctor I dealt with. And she talked to my parents on speaker phone with me.  So I was able to get a little sleep after leaving the ER.  The next day I still felt like garbage.  So I phone the telemedicine folks.  I explained to them I had minor pneumonia and they being in NYC prescribed my hydroxychloroquine and phone it into my local Walgreens. Donald Trump's miracle drug is going to save me and the pharmacy filled it.  Thank god!  Not fucking exactly. So I started taking the hcq the same day I finished the z pac.  Now I already felt that my heart was acting funny but at this point I was desperate.  I had given my parents and bro all my bank account information and logins to this and that. I mean I honestly didn't think I was going to make. Now I go to the ER a second time.. the heart palpitations and the chest tightness are something I've never experienced. I am extremely exhausted and still feel on the verge of death. On 4.8.2020 to the er around 1 or 2 am in the morning.  The x-ray now shows little to no sign of pneumonia.  This is great! Although still not sure why I didnt get a CT scan. My glucose is high but everything else is fine.  Wbc is at 6 and rbc is at 5.53. cbc all appear within range. My EKG is normal.  I swear something is wrong with me and I am not crazy.  I am hustled out after the tests are completed. Oxi was 96 doesn't need fluids good to go.  I still feel like death.  I go home and start sucking it up.  I finally start to have a small appetite and can focus a little bit. Re-watched 9 seasons of Seinfeld.  My parents and I play jeapordy and wheel of Fortune on speaker phone.  On 4.16.2020 I was able to have a telehealth with my pcp.  He told me to go get a test now if I could find one.  Testing here was shut down in March but I was able to find an urgent care that did drive by testing.  I waited in my car feeling like ass for 3 hours and made it around the building and was told to come inside.  Wtf? I don't want to go inside.  So I go inside and a nurse jabs me with brain probes in both nostrils.  This is unpleasant but shit I've seen death who gives a damn.  Then she says wait here, the doctor will be in to see you..  so as I am waiting all I hear is coughing and coughing horrible coughing. 20 minutes of this waiting behind the door.  Then some foreign dude is making jokes saying maybe is the corona laughing about it.  The fuck happens to be the doctor.  I move as far away as I can when he opens the door and say dude I am just hear for the test my pcp told me to come in.  So this was a taxing day for me.  I am still not 50% and get knocked back to about 40% on 4.17.2020.  this is my next ER visit. This doc was a dick. Glucose is still high 130. Boarder line EKG which I don't know what that means. No more evidence of pneumonia per radiology. They literally kick me out the side door very disoriented. I suck it up for another day but still don't see a light at the end of the tunnel.  These symptoms are brutal.  On 4.19.2020 I drive 40 minutes to a different emergency room.   Again this doctor is an ass.  No compassion. I inform her I have had these symptoms for over a month but just tested negative.  Meaning the test already sucks and waiting 30 days to be able to get a test doesn't make it suck less. So now she thinks I have mono or some anxiety disorder.  She calls me difficult as she walks out of my room because I am grilling  her with questions. she dismissed my new covid toes and was like whatever.  These people are not educated I have been reading about this shit for over a month. My metabolic is fine except 105 glucose.  My tsh (thyroid) comes back at 7.96. This is new and not in line.  My wbc is 5.6 and my rbc is 5.68.  hgb is 16.2. d-dimer is .47.  my EKG was normal.  So I continue to have all these symptoms for days and days.  It feels like Mike Tyson has punch me in the kidneys.  my final er visit is on 4.22.2020. chest x-ray looks normal, EKG is normal,  troponin 8ng/L,. Wbc 5.0, rbc 5.46, hgb 15.9, and d-dimer .49 mg/l.  I started sobbing in front of the doc because no one can fix me and it's been over 30 days. She gave me a shot of lorazepam and sent me on my way.. on 4.23.2020 I meet with my pcp.  He runs a t4 free 1.4mg/l and reruns tsh which is now 6.63. I seriously think covid attacks everything.. thyroid, kidneys, liver, heart, brain, gut, skin.. what a huge list.  So people just look at you like you have 10 heads with all these symptoms.  Around this time I was prescribed 1mg of lorazepam and 50mg of trazodone to help sleep. From about 4.23.2020 to now, I have felt a steady improvement.  I had been able to do some yard work, ride my bike, and take walks.   I thought I was about 85% myself.. then around 5.3.2020 I started to feel like I was regressing.  Was it because I ate twizzlers and peanut m&amp;amp;Ms that damn processed sugar? Did I over do it on the exercise? 4.5 miles on a bike isn't much for me on flat land... Also on 5.5.2020 I tested negative for antibodies igg and igm ab covid.  Is that playing tricks on my mind. The symptoms I currently have are weird.  My hands feel like they were dipped in icy hot, the diarrhea has returned, I got cold easy, less appetite, minor muscle aches, minor tightness in chest, foggy head , abdominal pain, mild palpitations, minor headaches and muscle sores.. this all is milder from what I had before.  I don't have a fever and my oxi level is between 96 and 99. I have a doctor's appointment on Tuesday. I truly hope this ends soon.</t>
        </is>
      </c>
      <c r="D926" t="n">
        <v>1</v>
      </c>
      <c r="E926" t="n">
        <v>23</v>
      </c>
      <c r="F926">
        <f>HYPERLINK("https://www.reddit.com/r/COVID19positive/comments/gg1dgz/my_story_long_read_no_structure_and_bad_language/")</f>
        <v/>
      </c>
      <c r="G926" t="inlineStr">
        <is>
          <t>2020-05-08 13:50:25</t>
        </is>
      </c>
      <c r="H926" t="inlineStr">
        <is>
          <t>Presumed Positive - From Doctor</t>
        </is>
      </c>
    </row>
    <row r="927">
      <c r="A927" t="inlineStr">
        <is>
          <t>gg207c</t>
        </is>
      </c>
      <c r="B927" t="inlineStr">
        <is>
          <t>Has anyone had these symptoms after recovering?</t>
        </is>
      </c>
      <c r="C927" t="inlineStr">
        <is>
          <t>I had symptoms of fever, chills, fatigue, slight sore throat and coughing on March 10. I tested positive on March 18. Symptoms were gone by March 22. 
On March 28 started to have random hot flashes that night with a mild headache. On March 29, I had a dull headache with brain fog that was constant all day. I have had this brain fog, dream-like perception (feels like I’m high), fatigue, dull head pressure, and light sensitivity from March 29 until now (almost a month and a half). Ibuprofen does not help.
I was retested on April 18 and was negative. I have seen two neurologists, both saying I have a post viral headache. I was prescribed Medrol dose pack, but this has not helped. I have an MRI scheduled on Monday.
I’m curious if anyone has had similar symptoms after recovery.</t>
        </is>
      </c>
      <c r="D927" t="n">
        <v>1</v>
      </c>
      <c r="E927" t="n">
        <v>40</v>
      </c>
      <c r="F927">
        <f>HYPERLINK("https://www.reddit.com/r/COVID19positive/comments/gg207c/has_anyone_had_these_symptoms_after_recovering/")</f>
        <v/>
      </c>
      <c r="G927" t="inlineStr">
        <is>
          <t>2020-05-08 14:23:21</t>
        </is>
      </c>
      <c r="H927" t="inlineStr">
        <is>
          <t>Tested Positive - Me</t>
        </is>
      </c>
    </row>
    <row r="928">
      <c r="A928" t="inlineStr">
        <is>
          <t>gg2hjz</t>
        </is>
      </c>
      <c r="B928" t="inlineStr">
        <is>
          <t>Does anyone feel like their immune system just isn’t doing anything?</t>
        </is>
      </c>
      <c r="C928" t="inlineStr">
        <is>
          <t>I’ve been sick for 13 days now and it feels like my body just isn’t working on the issue. Haven’t had a fever (99.8 was the highest) I don’t have any lung issues, I just feel awful (tired, weak, sweaty, achey, dizzy). If I get up to do anything I feel like I could faint. My blood o2 is normal. 
It feels like my body just isn’t recognizing this as a problem or something?... :( losing hope.</t>
        </is>
      </c>
      <c r="D928" t="n">
        <v>1</v>
      </c>
      <c r="E928" t="n">
        <v>12</v>
      </c>
      <c r="F928">
        <f>HYPERLINK("https://www.reddit.com/r/COVID19positive/comments/gg2hjz/does_anyone_feel_like_their_immune_system_just/")</f>
        <v/>
      </c>
      <c r="G928" t="inlineStr">
        <is>
          <t>2020-05-08 14:49:36</t>
        </is>
      </c>
      <c r="H928" t="inlineStr">
        <is>
          <t>Tested Positive - Me</t>
        </is>
      </c>
    </row>
    <row r="929">
      <c r="A929" t="inlineStr">
        <is>
          <t>gg30lo</t>
        </is>
      </c>
      <c r="B929" t="inlineStr">
        <is>
          <t>Male 25yo. Positive saliva test</t>
        </is>
      </c>
      <c r="C929" t="inlineStr">
        <is>
          <t>Just thought I'd share my symptoms since my experience wasn't nearly as bad as a lot of others who've posted on here. 
April 10th, started getting a sporatic dry cough. Didn't think much of it and felt mostly ok otherwise other than maybe a little tired. 
April 11th, woke up with a fever, bad aches and fatigue. That lasted through April 13th.
April 14th, aches started to go away but I developed a really awful headache. Still had a low grade fever
April 17th headache subsided but I developed bad eye pain. I started to lose sense of taste and smell around here too. Still had a low grade fever. I got tested on this day at a drive through testing center doing saliva tests.
April 19th, eye pain subsided but woke up with a rash on my legs and arms. Around here my lungs started to feel "irritated". It wasn't difficult to breath, but I could tell my lungs were inflamed. Still had low grade fever. Result came back positive from test on 17th. 
April 21st, my lungs were the worst this day. Still had no difficulty breathing but they were very inflamed and it would make me cough if I took a deep breath. Rash also spread to my torso and a little on my face. Still had a low grade fever. 
April 22nd, my body must have gotten a hold of itself and I woke almost all better. Lungs were very minimally irritated and rash was almost all gone. First day with a temp below 99. 
April 23rd, lungs still didn't feel 100% but I was otherwise feeling healthy. Fever did not come back after this and lungs slowly got better over the course of a few days. 
Overall the experience was miserable, but manageable, like any cold I've had, just longer. I work from home and there was only one day I wasn't able to work at all. I only took Tylenol for pain and fever reduction, and only needed to take it through the first half of the illness. 
I have two roommates, one never got symptoms, the other got a phlegmy cough and some fatigue for a few days. The roommate with the cough tested positive for it after I did. We weren't really isolating from each other since we live in a small apartment and didn't really have a choice. 
I also got an antibody test done on May 4th because I want to donate plasma, which came back negative. Though I've since been reading about how unreliable the current antibody tests are. I may try to get retested in another week to see if I can donate plasma. 
Ask whatever questions you'd like. I hope my symptoms can show people who are worried that it's not always as bad as some of the other posts on here.</t>
        </is>
      </c>
      <c r="D929" t="n">
        <v>1</v>
      </c>
      <c r="E929" t="n">
        <v>18</v>
      </c>
      <c r="F929">
        <f>HYPERLINK("https://www.reddit.com/r/COVID19positive/comments/gg30lo/male_25yo_positive_saliva_test/")</f>
        <v/>
      </c>
      <c r="G929" t="inlineStr">
        <is>
          <t>2020-05-08 15:19:20</t>
        </is>
      </c>
      <c r="H929" t="inlineStr">
        <is>
          <t>Tested Positive - Me</t>
        </is>
      </c>
    </row>
    <row r="930">
      <c r="A930" t="inlineStr">
        <is>
          <t>gg3wqe</t>
        </is>
      </c>
      <c r="B930" t="inlineStr">
        <is>
          <t>Feeling better and a word of hope for you all</t>
        </is>
      </c>
      <c r="C930" t="inlineStr">
        <is>
          <t>Hey, 
I am like almost two months in and I still have some lingering mild symptoms but seems better overall. Just FYI for all of you my doctor told some people back in January are just recovering now. I live in nyc. I am getting antibody testing now and autoimmune testing plus thyroid and heart.</t>
        </is>
      </c>
      <c r="D930" t="n">
        <v>1</v>
      </c>
      <c r="E930" t="n">
        <v>55</v>
      </c>
      <c r="F930">
        <f>HYPERLINK("https://www.reddit.com/r/COVID19positive/comments/gg3wqe/feeling_better_and_a_word_of_hope_for_you_all/")</f>
        <v/>
      </c>
      <c r="G930" t="inlineStr">
        <is>
          <t>2020-05-08 16:10:43</t>
        </is>
      </c>
      <c r="H930" t="inlineStr">
        <is>
          <t>Presumed Positive - From Test</t>
        </is>
      </c>
    </row>
    <row r="931">
      <c r="A931" t="inlineStr">
        <is>
          <t>gg485r</t>
        </is>
      </c>
      <c r="B931" t="inlineStr">
        <is>
          <t>39 days of symptoms, thus far</t>
        </is>
      </c>
      <c r="C931" t="inlineStr">
        <is>
          <t>Typing this up to share my experience with my presumed case of COVID 19. It helps to get it off my chest, and hopefully, this helps some of the rest of you out there. My apologies if this is long-winded.
Background: 23M, Black, Long Island, NY, 5’8, healthy, 165 lbs, daily juul-user and kratom user.
Supplements taken before and during: vit D, Iron, l-citrulline, folic acid, magnesium glycinate, cordyceps, b complex, zinc
Supplements added during: vit C, rhodiola rosea, turmeric capsule, make ginger tea throughout the day
&amp;amp;#x200B;
Extra Notes:
&amp;amp;#x200B;
\-  TESTING: I tested negative for COVID-19 about 3 weeks in but was presumed positive by a doc via tele-call, and tested negative for antibodies between weeks 4 and 5
\- FAMILY: My dad was never tested, but a day after my symptoms began, he was hit with 103-104 fevers, night sweats, exhaustion, the whole nine. The initial symptoms happed over the course of 14 days, and he has made a full recovery over the course of 4 weeks. My stepmother and stepsister have been exposed to him on a consistent basis since the beginning and neither have had any symptoms
\- NICOTINE &amp;amp; KRATOM: I stopped using my juul April 1st. When things began to feel better during weeks 2 and 3, I began to vape small amounts (a pull or 2 a day) just to lessen the withdrawals but feared that it was making lung symptoms worse. I’ve switched over to nicotine gum while I continue to battle this. I’ve lessened the amount of kratom that I take but continue to take it daily.
&amp;amp;#x200B;
&amp;amp;#x200B;
My symptoms started on March 30th. It was a Monday night and I began feeling some light SOB that would continue into Tuesday night. I wasn’t sure if it was a symptom or all just in my head, so I chalked it up to just being anxious. Wednesday night, April 1st, a slew of symptoms began. As I was on the cusp of sleep, I had this weird feeling that someone was standing behind me, as if I “sensed” their presence. This isn’t abnormal, as I’ve had hypnogogic hallucinations when I’m about to fall asleep my whole life and I can always brush them off. This time, this feeling sparked a genuine sense of fear which shot my body right up out of bed. Within 5 minutes, I was sweating, quickly alternated between cold and hot, felt this tingling sensation that would travel up and down my body as if I was being pricked by tiny needles in waves, and I just felt mentally aloof. The best word I could use to describe the mental aloofness is goofy. I just felt like a giant goofball. I also had a low-grade fever of about 99.2-99.5. 
&amp;amp;#x200B;
For the next 7 days, I would experience sweats, chills, aloofness, tiredness, and lethargic. It was weird, during this period everything seemed brighter and my pupils were dilated. I’ve had a few psychedelic experiences, and a low dose/microdose of shrooms is the closest thing that I can compare my perception to during this period. After the first week, SOB, the sensation of movement in my lungs, and chest tightness would be the main symptoms over the next 2 weeks. The initial chills and sweats subsided, and aside from the lung symptoms, I felt mentally spry, energetic, and like I was moving in the right direction. I was handling chores, playing games, and making music like normal. However, my lungs continued to feel weird. 
&amp;amp;#x200B;
On the 21st night, I was hit with the same symptoms I experienced on April 1st, with about 80%-90% of the intensity of the first time. It was an odd night, my shortness of breath would intensify for a few minutes, then disappear as if my breathing was perfect, then intensify again while my body continued to get chills and my brain continued to get foggy. After that night, I had another week of battling those symptoms that I thought I was through with after the first week. It wasn’t pleasant. 
&amp;amp;#x200B;
Monday (3 days from now) will make three weeks since that 2nd wave. Within the past week and a half, my shortness breath has been present in varying intensities, and I’ve developed small aches in my sides, arms, and legs. I’ve also been dealing with EXTREME fatigue. It’ll be 2-3 hours waves of tiredness that feels like I’m tired in every single fiber of my being down to my atoms. This fatigue usually comes with a sense of impending doom as feeling that tired just can’t be ok. Simply holding my phone up for 10+ seconds would feel as if I just did a few reps of weightlifting. My pulse has been on the higher side, resting in the high 90s and If I stand up it’ll jump up to 115. I’ve also had these small aches that come every 30min to 1hr that feels like it’s happening in my heart. They’re concerning for sure, but don’t feel major at this point, and I hope they remain that way.
&amp;amp;#x200B;
Yesterday I had fatigue early on, but I made an effort to get up and be in the sun for a bit and that seems to be the most impactful decision I’ve made throughout this whole thing. It was energizing being in its glow, which I didn’t expect being that I’ve been taking vitamin D daily for over 2 years. Last night wasn’t too bad. It felt like another wave was coming but it never arrived. Today my SOB has been minimal; unnoticeable at times, my energy has moments of being low, but has been pretty good throughout. The heart sensation has been happening at the same rate but seems to subside or lessen in intensity if I drink a good bit of water. On the bright side, my pulse has been consistently in the high 70s or low 80s and this is the closest to feeling normal that I’ve felt in a while. I feel like I’m moving in the right direction, but I am refraining from excitement, as I’ve felt good before, and have gotten hit with another wave, and I don’t know if or when that will happen again. 
&amp;amp;#x200B;
This whole experience has been mentally and physically exhausting. I’m currently on day 39 and I just want to feel normal again.  I’ve been glued to this subreddit the past couple of weeks, and I’m ready to be sick for a greater period of time if necessary. But like others have said, I need to know that there’s a light at the end of the tunnel. We just won’t know until or if we reach the end. This subreddit has been both incredibly reassuring and anxiety-inducing at the same time. While I fear for what may be to come, it’s helpful knowing that what each us are experiencing is real although it’s not a part of the mainstream narrative. I wish the best for those going through this for a longer, more intense period of time. Thank you, and I hope this helps.</t>
        </is>
      </c>
      <c r="D931" t="n">
        <v>1</v>
      </c>
      <c r="E931" t="n">
        <v>6</v>
      </c>
      <c r="F931">
        <f>HYPERLINK("https://www.reddit.com/r/COVID19positive/comments/gg485r/39_days_of_symptoms_thus_far/")</f>
        <v/>
      </c>
      <c r="G931" t="inlineStr">
        <is>
          <t>2020-05-08 16:29:12</t>
        </is>
      </c>
      <c r="H931" t="inlineStr">
        <is>
          <t>Presumed Positive - From Doctor</t>
        </is>
      </c>
    </row>
    <row r="932">
      <c r="A932" t="inlineStr">
        <is>
          <t>gg5e67</t>
        </is>
      </c>
      <c r="B932" t="inlineStr">
        <is>
          <t>31m NY 17 days after being tested for coronavirus and what I've been comparing experience to. If you're curious about someone who did everything right and still got the virus, read the bottom.</t>
        </is>
      </c>
      <c r="C932" t="inlineStr">
        <is>
          <t>A lot of people have been asking me what I've been feeling and I've been wanted to tell others what this illness reminds me of but I've been hesitant to say.
But 17 days out, I'm going come out and say that I struggled with and opioid addiction years back. I was abusing a drug called Opana or oxymorphone (different than oxycodone) and I don't know if the drug is even prescribed anymore.
I cold turkey'd Opana because my doctor refused to continue prescribing it. I did not go to any detox center and decided to white knuckle it at home.
I'll never forgot how sick I felt for the first 10 or so days.
**The Similarities:**
- The pain was intense. I would constantly have to take hot showers and even epsom salt baths. After a few days, it lessened but no matter the lack of energy, I had to take hot showers and ibuprofen. This checks out with COVID 19 except I'm taking paracetamol instead of ibuprofen. In both cases, the pain made it really difficult to sleep. There was no such thing as a "comfortable position".
- The hot and cold sweats were intense and extremely uncomfortable. Same with COVID 19. I never checked my temperature while I was going through withdrawal but the it felt the same as COVID 19. The room is too hot, you put a fan on you, it's too cold. This also happened mostly at night when you're trying to sleep making it very difficult to actually fall asleep.
- In both cases, sleep is downright strange. I remember not being able to describe the dreams during Opana withdrawal. Sometimes just scrambled words, terrifying, and I'd wake up, try to find a comfortable position and try to drift back to sleep. In the 17 day after testing positive, there have been times when I couldn't get back to sleep. My doctor treating me via telehealth gave me the OK to take benadryl to fall asleep and it's helped.
- There were days when I felt pretty ok. With Covid 19, the pain subsided after some pretty rough days and I thought it was over. It wasn't. Symptoms have gone and came back and that feels very discouraging. 
- My lack of energy, motivation, interest and overall depression. Sometimes when I can't sleep, I'll try to watch something on Netflix but it's basically background noise. You pay attention the plot for 5 minutes and then lose it. This was so similar to my opioid withdrawal. I am predisposed to depression, however, I was doing well before being infected. 
In addition to that, self-quarantining is difficult because my mother would help me during withdrawal, but I'm completely alone of course. None of my other family were infected. It's a lonely experience.
- Not eating or wanting to eat. This was consistent with opioid withdrawal except for one thing, opioid withdrawal gave me the runs whether I ate or not, and with COVID 19, I haven't experienced any noticeable GI issues.
I'm not hungry, I have no interest in eating, and my sense of smell and taste are no longer completely gone, but still not as strong as they were before. I still force myself to eat but not having the runs is a major plus because I haven't had to worry about dehydration.
- Impending sense of doom. So this may go along with the depression and losing motivation and being depressed but there is a certain feeling and you would have had to feel it before to understand it. It really hit me hard with opiod withdrawal, but it's definitely here and there with COVID 19. It's a strange sensation to experience, it's not something you want to experience, but in those moments, everything just feels dark, everything is meaningless, you think about your friends and family, your dreams and aspirations, and everything prior to this just feels grim and that's the best way I can describe this feeling. It's fleeting but still there, moreso now at day 17 than in the beginning.
**What is different:**
- As I mentioned, I had the runs with opioid withdrawal. This would be sooo much suckier if I had to worry about dehydration during this. I still make sure I'm hydrated of course.
- There's no "craving" for anything. There were days where I'd think it would be nice to have a painkiller right now, but I know it would complicate the matters. The pain isn't serious enough for a relapse, it just sucks. Hot showers and epsom salt baths AND MY HEATING PAD have been godsends.
- There weren't any respiratory problems with opiod withdrawal. My breathing is stable right now, but there was a point where I couldn't walk down the hall without feeling winded and that's when I realized I needed to get tested. I have to do a certain breathing exercise (not deep breathing) that requires me to lie on my stomach.
- Oh yeah, I didn't have to lie on my stomach for opioid withdrawal. This was suggested in the first days. I could lie on my side when I slept but was advised to lie on my stomach when relaxing.
I don't know if this helps anyone. My case was considered mild. I use a pulsometer to make sure my oxygen levels are normal and I'm doing much better. I'm in contact with my doctor and I've avoided reading others experiences. I always found that it could make symptoms worse, or make symptoms I didn't have suddenly "happen".
The last 3 days, I haven't had a fever and that "technically" means I'm ready to be tested again, and the virus should no longer be in my body but my doctor advised an additional 2 weeks of self-quarantining because of the lingering symptoms.
I think there will be an end when I'm fully recovered but for a case that's been considered mild, it's been a tough time. I know opioid withdrawal has NOTHING to do with Covid-19, but it was the closest experience I could compare it to. I've had the common cold, influenza, strep throat, but I have to say that this has been the hardest for me.
But if anyone watched Chris Cuomo on CNN when he was kind of documenting his experience, he kept saying how lucky he felt. Not really a fan of Chris Cuomo but he was right about certain things. This isn't the flu, nights (or whenever you can get to sleep) are when it's the worst, and I do feel lucky because maybe this could have killed me if I didn't act sooner. I was the only in my family was infected, I'm praying I didn't infect anyone else.
**DID EVERYTHING RIGHT AND STILL GOT THE VIRUS:**
I was isolating since March. I GET that I'm in NY but I took this incredibly seriously from the get go. I live alone with my cats in an apartment building, I didn't touch rails, I sanitized after touching door knobs or anything outside (while taking the garbage out or getting the mail), I used a grocery DELIVERY service where they bought the bags to my door without any contact. I wiped down EVERYTHING including my mail. I door-dashed with no contact (they give you the option). Wiped everything down just incase.
**Where I could have gone wrong:**
Walmart - I used a service called RXpay hoping they would bring my medication to me in my car and they could just scan my phone. In fact, the pharmacist told me I could do this. NOPE! I get there and they tell me I have to come pay inside. They couldn't bring the scanner outside. I was somewhat prepared but not with a proper mask. Let me tell you something, this April 4th, and couples and families were still going in together. This was right after our governor said you had to wear a some sort of face covering in public. I'd say half weren't. Social distancing? There was a lady at the entrance offering sanitized carts, GREAT! What wasn't great is that the lady was holding up a line of people who weren't respecting personal space or the markers on the ground that marked 6 feet. I go in with sunglasses, and a scarf, I'm on this ridiculous line and the guy in front of me turns around and yells to his girlfriend outside, "WE DON'T NEED A CART! ... A CART!" Jesus f'ing Christ. 
The guy yelled right into my face. Of course he didn't have a mask. I finally get in, the pharmacy seems to have things in check, they have a visor and everything, they scanned my phone, handed me my meds and I was out of there. But Walmart decided to put these stupid automatic gates that you could only enter through and stupid me, I'm trying to get out of the store ASAP, and I'm literally having a panic attack and walk up to the gate where you can't leave. I don't know Walmart's new layout, I don't go in there. PERIOD. I was prescribed a new med that CVS didn't have stock of. But yeah, I walk into this gate and the greeter is just staring at me? And I'm like, "How do I get out?!" I was panicked and overreacting a LITTLE, considering I had to go in there in the first place. So you have to walk around those stupid little gates THAT HAVE NO REAL PURPOSE RIGHT NOW and exit where you check out.
In my opinion, Wal Mart was the ONLY way I could have contracted this virus and it pisses me off so badly that I don't actually know. If it was that guy that decided to turn around and invade my personal space, man...
I posted about it on our county's Facebook group (YES, some people have FB in 2020, it's still absolutely terrible but useful at times) and others had the same experience at this Walmart.
Out of all the non-metro/city counties, mine had the highest count. And my city still has the highest count. I may be doxxing myself but if you know where in NY I'm talking about it, you'll know how our city is. The mayor of our county (R) is hyped about re-opening. I've written to Cuomo's office and have heard nothing.
Thanks for letting me say my part, if you got this thing, you truly are in my thoughts, no B.S. Write me. I could use a pen pal right now!</t>
        </is>
      </c>
      <c r="D932" t="n">
        <v>1</v>
      </c>
      <c r="E932" t="n">
        <v>27</v>
      </c>
      <c r="F932">
        <f>HYPERLINK("https://www.reddit.com/r/COVID19positive/comments/gg5e67/31m_ny_17_days_after_being_tested_for_coronavirus/")</f>
        <v/>
      </c>
      <c r="G932" t="inlineStr">
        <is>
          <t>2020-05-08 17:40:15</t>
        </is>
      </c>
      <c r="H932" t="inlineStr">
        <is>
          <t>Tested Positive</t>
        </is>
      </c>
    </row>
    <row r="933">
      <c r="A933" t="inlineStr">
        <is>
          <t>gg6jun</t>
        </is>
      </c>
      <c r="B933" t="inlineStr">
        <is>
          <t>Plasma donation questions</t>
        </is>
      </c>
      <c r="C933" t="inlineStr">
        <is>
          <t>Hey all you fellow positivirinos!
I’ve scheduled an appointment to donate my plasma next week( I tested positive for covid on the 17th of March, follow up test on April 30th tested negative). I was tested for antibodies on the 7th of May but have yet to receive my results. I’m female, 130 pounds, and met all the screening criteria to be able to donate. I do have a history of low blood pressure.
Will I be able to work after donating? I scheduled the donation on my day off(I’m an essential worker in retail), but I do have a shift the next day. I’ve heard that the plasma donation really wipes you out and my job is very physically demanding. 
Should I have someone drive me to the appointment? The donation center is about 40 minutes away and I don’t want to be too woozy to make the drive back myself. 
I’ve never donated blood before and am feeling a bit anxious. Obviously I understand that many variables come into play here but if any of you who have already donated could offer any tips or advice it would be greatly appreciated!</t>
        </is>
      </c>
      <c r="D933" t="n">
        <v>1</v>
      </c>
      <c r="E933" t="n">
        <v>7</v>
      </c>
      <c r="F933">
        <f>HYPERLINK("https://www.reddit.com/r/COVID19positive/comments/gg6jun/plasma_donation_questions/")</f>
        <v/>
      </c>
      <c r="G933" t="inlineStr">
        <is>
          <t>2020-05-08 18:55:31</t>
        </is>
      </c>
      <c r="H933" t="inlineStr">
        <is>
          <t>Tested Positive - Me</t>
        </is>
      </c>
    </row>
    <row r="934">
      <c r="A934" t="inlineStr">
        <is>
          <t>gg769a</t>
        </is>
      </c>
      <c r="B934" t="inlineStr">
        <is>
          <t>My 88-year old beat Covid19. Stay Strong you all</t>
        </is>
      </c>
      <c r="C934" t="inlineStr">
        <is>
          <t>My 88 year old grandmother was given about 4 months to live. This was since last October. She got Covid about 3 weeks ago. She was 2 weeks in the hospital and we didnt expect her to come back. She could walk with assistance before. Hospital didn't feed her much since she's been fighting not to eat even with us. And still she made it! Holy molly I dont know if this is what you all need to hear. She can't walk anymore which is understandable but she is still alive! Sorry I dont have pictures of her since I don't live with her but my cousin just told me and I wanted to share. I am so proud of my grandma. And I gotta stop feeling sorry for myself.
All I ask of you is to stay home ❤ please.</t>
        </is>
      </c>
      <c r="D934" t="n">
        <v>1</v>
      </c>
      <c r="E934" t="n">
        <v>21</v>
      </c>
      <c r="F934">
        <f>HYPERLINK("https://www.reddit.com/r/COVID19positive/comments/gg769a/my_88year_old_beat_covid19_stay_strong_you_all/")</f>
        <v/>
      </c>
      <c r="G934" t="inlineStr">
        <is>
          <t>2020-05-08 19:37:22</t>
        </is>
      </c>
      <c r="H934" t="inlineStr">
        <is>
          <t>Tested Positive - Family</t>
        </is>
      </c>
    </row>
    <row r="935">
      <c r="A935" t="inlineStr">
        <is>
          <t>gg7972</t>
        </is>
      </c>
      <c r="B935" t="inlineStr">
        <is>
          <t>Last possible exposure was 1 week ago today (Friday May 8), tested positive on Monday May 4th. Still no symptoms. Am I in the clear or should I not get my hopes up?</t>
        </is>
      </c>
      <c r="C935" t="inlineStr">
        <is>
          <t>I've had a cough for maybe a week before actually getting tested, had contact with someone Friday night that I believe had it a few weeks ago, so we both got tested. They were negative, I was positive. So far this week, my only symptom has been a cough. I lost got a decreased taste for about 20 minutes sunday night, and my smell and taste was 90% gone on tuesday night for about 2 hours. Other than that, I haven't experienced anything else. I'm wondering if I can feel confident that I'm safe, or if I can still expect to be knocked down by some symptoms.
I'm 20m.</t>
        </is>
      </c>
      <c r="D935" t="n">
        <v>1</v>
      </c>
      <c r="E935" t="n">
        <v>16</v>
      </c>
      <c r="F935">
        <f>HYPERLINK("https://www.reddit.com/r/COVID19positive/comments/gg7972/last_possible_exposure_was_1_week_ago_today/")</f>
        <v/>
      </c>
      <c r="G935" t="inlineStr">
        <is>
          <t>2020-05-08 19:43:00</t>
        </is>
      </c>
      <c r="H935" t="inlineStr">
        <is>
          <t>Tested Positive - Me</t>
        </is>
      </c>
    </row>
    <row r="936">
      <c r="A936" t="inlineStr">
        <is>
          <t>gg8bf9</t>
        </is>
      </c>
      <c r="B936" t="inlineStr">
        <is>
          <t>Has anyone tested positive and shown no symptoms at all?</t>
        </is>
      </c>
      <c r="C936" t="inlineStr">
        <is>
          <t>My mother in law has tested positive for COVID-19 today but she's showing no symptoms. Has anyone tested positive here and not had a single symptom? I'm curious how common asymptomatic cases are...</t>
        </is>
      </c>
      <c r="D936" t="n">
        <v>1</v>
      </c>
      <c r="E936" t="n">
        <v>6</v>
      </c>
      <c r="F936">
        <f>HYPERLINK("https://www.reddit.com/r/COVID19positive/comments/gg8bf9/has_anyone_tested_positive_and_shown_no_symptoms/")</f>
        <v/>
      </c>
      <c r="G936" t="inlineStr">
        <is>
          <t>2020-05-08 20:56:59</t>
        </is>
      </c>
      <c r="H936" t="inlineStr">
        <is>
          <t>Tested Positive</t>
        </is>
      </c>
    </row>
    <row r="937">
      <c r="A937" t="inlineStr">
        <is>
          <t>gg9m6f</t>
        </is>
      </c>
      <c r="B937" t="inlineStr">
        <is>
          <t>Mild case</t>
        </is>
      </c>
      <c r="C937" t="inlineStr">
        <is>
          <t>Anyone else get it super mild? I was positive but I was definitely not that bad off. The person who we found out gave it to me got it pretty bad</t>
        </is>
      </c>
      <c r="D937" t="n">
        <v>1</v>
      </c>
      <c r="E937" t="n">
        <v>3</v>
      </c>
      <c r="F937">
        <f>HYPERLINK("https://www.reddit.com/r/COVID19positive/comments/gg9m6f/mild_case/")</f>
        <v/>
      </c>
      <c r="G937" t="inlineStr">
        <is>
          <t>2020-05-08 22:31:12</t>
        </is>
      </c>
      <c r="H937" t="inlineStr">
        <is>
          <t>Tested Positive - Me</t>
        </is>
      </c>
    </row>
    <row r="938">
      <c r="A938" t="inlineStr">
        <is>
          <t>gg9r63</t>
        </is>
      </c>
      <c r="B938" t="inlineStr">
        <is>
          <t>Week 7 + 5 days with "shortness of breath" and brain fog symptoms. Anyone who been sick for more than 6 weeks - who actually got 100% healthy or feeling better?</t>
        </is>
      </c>
      <c r="C938" t="inlineStr">
        <is>
          <t>Greetings COVID-fighters!
WEEK 7 + 5 DAYS HERE. My wife and I (35 and 39 years old) are both sick with the same symptoms and are presumed positive by doctors. First 3 weeks, we had a crazy amount of weird symptoms, coming in waves on&amp;amp;off. The worse sickness feels started to wear off around three weeks ago. Still, it seems like the "shortness of breath" (+headaches, mild heart racing) and feeling generally bad after physical activity is not getting any better. It's impossible to live a normal life in our current situation. I also got another wave of brain fog which been worse for the last week.
We need more "light in the tunnel" stories about getting back to a healthy life after getting the long ver of COVID. Anyone being sick for 6 weeks+, who now recovered?
Thanks guys and stay strong!</t>
        </is>
      </c>
      <c r="D938" t="n">
        <v>1</v>
      </c>
      <c r="E938" t="n">
        <v>34</v>
      </c>
      <c r="F938">
        <f>HYPERLINK("https://www.reddit.com/r/COVID19positive/comments/gg9r63/week_7_5_days_with_shortness_of_breath_and_brain/")</f>
        <v/>
      </c>
      <c r="G938" t="inlineStr">
        <is>
          <t>2020-05-08 22:41:56</t>
        </is>
      </c>
      <c r="H938" t="inlineStr">
        <is>
          <t>Presumed Positive - From Doctor</t>
        </is>
      </c>
    </row>
    <row r="939">
      <c r="A939" t="inlineStr">
        <is>
          <t>ggaj23</t>
        </is>
      </c>
      <c r="B939" t="inlineStr">
        <is>
          <t>Interesting development with mom??</t>
        </is>
      </c>
      <c r="C939" t="inlineStr">
        <is>
          <t>My mother is currently stuck in an elderly care facility due to an injury back in January where she is supposed to be doing rehab to get back to walking. She is 63 and healthy prior (asides from diabetes). During her stay in this facility, she developed coronavirus (mind you this facility hasn’t done the best job when it comes to managing and containing this virus and has 8 dead so far). Anyway, mom has been in quarantine for about a month (once because they thought she was positive and they decided to keep her in her quarantined room, then decided to single out suspected infected in one wing of the facility.). While in that second room, she contracted it from an aide and has had it roughly a week and half. Today, I spoke with her and she said they gave her an antibiotic last night and have administered it three times that is supposed to “cure or help the virus” and she told me she feels like a completely different person. Anyone have an encounter similar to a “cure” or something that adversely affected the virus?</t>
        </is>
      </c>
      <c r="D939" t="n">
        <v>1</v>
      </c>
      <c r="E939" t="n">
        <v>8</v>
      </c>
      <c r="F939">
        <f>HYPERLINK("https://www.reddit.com/r/COVID19positive/comments/ggaj23/interesting_development_with_mom/")</f>
        <v/>
      </c>
      <c r="G939" t="inlineStr">
        <is>
          <t>2020-05-08 23:45:05</t>
        </is>
      </c>
      <c r="H939" t="inlineStr">
        <is>
          <t>Tested Positive - Family</t>
        </is>
      </c>
    </row>
    <row r="940">
      <c r="A940" t="inlineStr">
        <is>
          <t>ggatef</t>
        </is>
      </c>
      <c r="B940" t="inlineStr">
        <is>
          <t>Don’t lose hope! From someone who’s been sick since January...</t>
        </is>
      </c>
      <c r="C940" t="inlineStr">
        <is>
          <t>I’ve seen so many people posting today feeling crazy about their symptoms, worried they will last forever, feeling isolated and alone. 
I’ve been sick for months, and I’ve been in this place with you for so long. My heart goes out to all of you...this SUCKS. For real. 
Here’s just a few things that have helped me get through:
1) The anxiety is real, but sometimes it’s truly the virus. Have a plan for who to call and what to do that comforts you when you have a flare. (Weighted blankets, baths, music, breathing exercises, a good cry...We even adopted a dog once I could get out of bed a little, huge help!)
2) Don’t stop asking for help. If your doctor blows you off, get a second opinion. Get familiar with your insurance and your options. Ask other people who they saw. Go to the ER, the urgent care, the specialist. You KNOW when you’re sick. Get help, fight for it if you have to. There are people who will listen, but they might not be the first doctor you meet with. Keep asking!! 
3) Put your Devil Wears Prada attitude on when new symptoms come up, you feel sicker, or you flare. You’re a boss, take stock of what’s happening with control, don’t let those fear voices overwhelm you. Make a plan. Be the voice of reason for yourself, or find someone who can be (thanks to my scientist husband for doing this for me). 
4) Be kind to yourself. This might be over soon, or you may need more time to recover. It’s okay to take it. Take the time you need. Write yourself permission slips to do what you need to get well. 
The truth is, if you’re hoping for a quick fix, you’re going to crumble. 
That’s ok, it’s ok to let yourself feel sad or pissed and grieve how hard this is. 
It may take a while. But you’re going to be okay. 
It’s ok to let go of that “14 day” recovery. To put down that expectation to bounce back quickly, I promise you’re not a disappointment or a failure. Your body isn’t an enemy. It’s trying hard to help you. 
For those of you who are on this long suffering journey, know that you’re not alone. Chime in the comments, support each other. Get off WebMD and the news and talk to real people. 
Get help. Take the time. Give yourself compassion.</t>
        </is>
      </c>
      <c r="D940" t="n">
        <v>1</v>
      </c>
      <c r="E940" t="n">
        <v>33</v>
      </c>
      <c r="F940">
        <f>HYPERLINK("https://www.reddit.com/r/COVID19positive/comments/ggatef/dont_lose_hope_from_someone_whos_been_sick_since/")</f>
        <v/>
      </c>
      <c r="G940" t="inlineStr">
        <is>
          <t>2020-05-09 00:09:58</t>
        </is>
      </c>
      <c r="H940" t="inlineStr">
        <is>
          <t>Presumed Positive - From Doctor</t>
        </is>
      </c>
    </row>
    <row r="941">
      <c r="A941" t="inlineStr">
        <is>
          <t>ggbe94</t>
        </is>
      </c>
      <c r="B941" t="inlineStr">
        <is>
          <t>For those who have got lingering COVID symptoms for weeks- please KEEP POSITIVE!</t>
        </is>
      </c>
      <c r="C941" t="inlineStr">
        <is>
          <t>You are not alone! I’m 38F and it’s been 7 weeks since my first symptoms. I‘ve had mild sore throat occasionally, persistent low grade fever for days, chills, body aches, total exhaustion, pressure on chest, very elevated heart rate, palpitations, I lost senses of taste and smell, etc...etc... 
I got tested 2 weeks ago and the result came back positive. On my 7th week of self- isolation now! Although I am feeling slightly better, it’s still not over. However, try to keep positive as your body is fighting this! You’re nearly there! 
I have just found this article and it has given me hope! Stay strong! 
https://blogs.bmj.com/bmj/2020/05/05/paul-garner-people-who-have-a-more-protracted-illness-need-help-to-understand-and-cope-with-the-constantly-shifting-bizarre-symptoms/</t>
        </is>
      </c>
      <c r="D941" t="n">
        <v>1</v>
      </c>
      <c r="E941" t="n">
        <v>19</v>
      </c>
      <c r="F941">
        <f>HYPERLINK("https://www.reddit.com/r/COVID19positive/comments/ggbe94/for_those_who_have_got_lingering_covid_symptoms/")</f>
        <v/>
      </c>
      <c r="G941" t="inlineStr">
        <is>
          <t>2020-05-09 00:59:18</t>
        </is>
      </c>
      <c r="H941" t="inlineStr">
        <is>
          <t>Tested Positive - Me</t>
        </is>
      </c>
    </row>
    <row r="942">
      <c r="A942" t="inlineStr">
        <is>
          <t>ggcdjw</t>
        </is>
      </c>
      <c r="B942" t="inlineStr">
        <is>
          <t>Community Support, maybe a Discord?</t>
        </is>
      </c>
      <c r="C942" t="inlineStr">
        <is>
          <t>Hello! I've been lurking on this server for a while, but I was wondering how many people would be interested in a Discord server?   
It might make it easier to share our stories, encourage each other, and have a support system.   
If there's enough interest I don't mind getting one started, just leave a message or DM me if this seems like something you'd be into.  
I feel strange saying this as a stranger, so I'd like to tell you all a bit about my experience.  
My mom was hospitalized for COVID on the 9th of April and she passed away on the 24th. It's been hell to come to terms with and I'm sure that a lot of you have similar stories.   
I tested positive on the 22nd but I'd been having symptoms develop around the same time that she did (we were quarantining and lived together.)   
It started off as a what felt like a sinus infection on the first day, slammed into me like a truck with breathing troubles and exhaustion. Lost my sense of smell, my sense of taste. Currently I'm feeling mostly alright, but occasionally I have days where I am just... **tired.** My breathing is a bit off as well on some days. Chest feels like it weighs an actual ton.   
Coming on this subreddit has been great and I'm so happy that I get to read your stories. Sometimes, I wish I could connect more with you all and we could connect more with each other. I think that a discord could help.</t>
        </is>
      </c>
      <c r="D942" t="n">
        <v>1</v>
      </c>
      <c r="E942" t="n">
        <v>5</v>
      </c>
      <c r="F942">
        <f>HYPERLINK("https://www.reddit.com/r/COVID19positive/comments/ggcdjw/community_support_maybe_a_discord/")</f>
        <v/>
      </c>
      <c r="G942" t="inlineStr">
        <is>
          <t>2020-05-09 02:22:21</t>
        </is>
      </c>
      <c r="H942" t="inlineStr">
        <is>
          <t>Tested Positive - Me</t>
        </is>
      </c>
    </row>
    <row r="943">
      <c r="A943" t="inlineStr">
        <is>
          <t>ggfuuh</t>
        </is>
      </c>
      <c r="B943" t="inlineStr">
        <is>
          <t>Day 43: the virus returns</t>
        </is>
      </c>
      <c r="C943" t="inlineStr">
        <is>
          <t>I am really, really sad to write this after reporting my recovery. I was doing very well the past 10 days without any steps backwards...the last few days I felt totally well. 
Then last night my heart was beating very fast when I was trying to fall asleep, which was weird but I thought maybe I’m just thinking too much / buzzed. But now I wake up and my eyes are sore and red around the edges in that Covid way. That had been long gone! How is the virus still in my eyes?
And my head hurts a little and my body feels a little beat up. My back feels sore. I have a bad feeling I’m going to have SOB today :( Am afraid to try. 
How was the virus hiding in my body for 10 days and now it suddenly has the strength to come back?? I feel like I did something wrong but I can’t think what :( 
My symptoms are pretty mild but it’s very dispiriting.</t>
        </is>
      </c>
      <c r="D943" t="n">
        <v>1</v>
      </c>
      <c r="E943" t="n">
        <v>94</v>
      </c>
      <c r="F943">
        <f>HYPERLINK("https://www.reddit.com/r/COVID19positive/comments/ggfuuh/day_43_the_virus_returns/")</f>
        <v/>
      </c>
      <c r="G943" t="inlineStr">
        <is>
          <t>2020-05-09 06:58:03</t>
        </is>
      </c>
      <c r="H943" t="inlineStr">
        <is>
          <t>Presumed Positive - From Doctor</t>
        </is>
      </c>
    </row>
    <row r="944">
      <c r="A944" t="inlineStr">
        <is>
          <t>ggggfc</t>
        </is>
      </c>
      <c r="B944" t="inlineStr">
        <is>
          <t>Persistent mucus in throat - any thoughts?</t>
        </is>
      </c>
      <c r="C944" t="inlineStr">
        <is>
          <t>I’m on day 41, one of my lingering symptoms (except for nasty SOB) is persistent mucus in my throat. It doesn’t feel like it’s in my lungs, I don’t cough, it’s more like I have to clear my throat all the time. Anyone has it? Is there any way to fix it?</t>
        </is>
      </c>
      <c r="D944" t="n">
        <v>1</v>
      </c>
      <c r="E944" t="n">
        <v>12</v>
      </c>
      <c r="F944">
        <f>HYPERLINK("https://www.reddit.com/r/COVID19positive/comments/ggggfc/persistent_mucus_in_throat_any_thoughts/")</f>
        <v/>
      </c>
      <c r="G944" t="inlineStr">
        <is>
          <t>2020-05-09 07:36:06</t>
        </is>
      </c>
      <c r="H944" t="inlineStr">
        <is>
          <t>Presumed Positive - From Doctor</t>
        </is>
      </c>
    </row>
    <row r="945">
      <c r="A945" t="inlineStr">
        <is>
          <t>gghotx</t>
        </is>
      </c>
      <c r="B945" t="inlineStr">
        <is>
          <t>JUST BECAUSE SOMEONE IS HAVING A DIFFERENT REACTION TO COVID 19, DOES NOT NEGATE THE LONG TERM SYMPTOMS AND LENGTH OF ILLNESS FROM THIS VIRUS. EVERY DAY SCIENTIST ARE ADDING MORE SYMPTOMS AND FINDING MORE INFORMATION. THAT ALONE SHOULD PROVE THERE IS NOT AN EXACT SET OF RULES THAT COVER EVERYONE!</t>
        </is>
      </c>
      <c r="C945" t="inlineStr">
        <is>
          <t>I've been sick 7 months - 4 months before this virus even had the name covid 19 nor were there any testing. I've continue to be sick today. Not as bad as beginning. Tested positive with that invasive nasal swab. 
This is unthinkable to me so I can understand how some ppl may not believe my account!
Honestly, I pray if anyone who gets this virus has mild or are asymptomatic and totally healed within days and filled with good antibodies so they could help the rest of us. 
Maybe that day will come sooner than later bc people are still dying no matter how short or long their symptoms lasted!
God's gracious healing to all of you!</t>
        </is>
      </c>
      <c r="D945" t="n">
        <v>1</v>
      </c>
      <c r="E945" t="n">
        <v>33</v>
      </c>
      <c r="F945">
        <f>HYPERLINK("https://www.reddit.com/r/COVID19positive/comments/gghotx/just_because_someone_is_having_a_different/")</f>
        <v/>
      </c>
      <c r="G945" t="inlineStr">
        <is>
          <t>2020-05-09 08:47:58</t>
        </is>
      </c>
      <c r="H945" t="inlineStr">
        <is>
          <t>Tested Positive - Me</t>
        </is>
      </c>
    </row>
    <row r="946">
      <c r="A946" t="inlineStr">
        <is>
          <t>gghowb</t>
        </is>
      </c>
      <c r="B946" t="inlineStr">
        <is>
          <t>Positive Antibodies - Very Mild Symptoms</t>
        </is>
      </c>
      <c r="C946" t="inlineStr">
        <is>
          <t>Husband and I were both sick for about a week, my main symptoms were loss of taste and smell and lethargy.  His main symptoms were a light, nagging cough, and a mild fever.  Father-in-law was sick for about 2 weeks with no appetite, lethargy, mild-moderate fever, and confusion.  We were never tested for Covid, but FIL's doctor diagnosed him as presumed positive.   We have no residual symptoms and I am back to my full workout schedule (stopped for 2 weeks).  
I detailed my day-to-day symptoms, and summarized by husband and FIL's symptoms here:  [https://www.reddit.com/r/COVID19positive/comments/g1bcwk/all\_different\_mild\_symptoms\_in\_same\_household/](https://www.reddit.com/r/COVID19positive/comments/g1bcwk/all_different_mild_symptoms_in_same_household/) 
Frankly, I would have been in work Monday and Friday of that week (white collar desk job).  I may have taken off Tuesday, Wednesday, Thursday, but its tough to tell if the lethargy/feeling off was exacerbated by the quarantine blues/being on my period.  If it was a normal week, I probably would have gone to work - that's how mild the symptoms were. 
This week, husband and I waited for 2 hours to get an antibody test blood draw at CityMD.   They use the Abbot test, with Serology by Quest.    We both tested positive for antibodies - I understand that there are some questions regarding test accuracy, but I feel better that both of us had the same result.  We didn't take my FIL as waiting in line for 2 hours isn't in the cards for him.
I wanted to post this as there are a lot of "mild" cases on this sub that are much worse than ours, and a lot of extremely long lasting cases.  I feel for everyone who has had it worse than us, but I also want to be a source of help and hope for others.  We are looking into donating plasma.  Stay well everyone.</t>
        </is>
      </c>
      <c r="D946" t="n">
        <v>1</v>
      </c>
      <c r="E946" t="n">
        <v>14</v>
      </c>
      <c r="F946">
        <f>HYPERLINK("https://www.reddit.com/r/COVID19positive/comments/gghowb/positive_antibodies_very_mild_symptoms/")</f>
        <v/>
      </c>
      <c r="G946" t="inlineStr">
        <is>
          <t>2020-05-09 08:48:05</t>
        </is>
      </c>
      <c r="H946" t="inlineStr">
        <is>
          <t>Tested Positive - Me</t>
        </is>
      </c>
    </row>
    <row r="947">
      <c r="A947" t="inlineStr">
        <is>
          <t>ggkejo</t>
        </is>
      </c>
      <c r="B947" t="inlineStr">
        <is>
          <t>8 weeks plus since first symptom</t>
        </is>
      </c>
      <c r="C947" t="inlineStr">
        <is>
          <t>So glad I found this site.  I was so worried cos everything in the media suggests recovery in 14 days.  Yet, 8 weeks after first symptom, I still have occasional symptoms every few days. First symptom Friday March 13 (no kidding!).  Positive test on 3/20.  My symptoms are very mild, thankfully.  Fever (&amp;lt;99.5 F, but feel worse) and chills that 'go to your head'.  Nothing else, but when the chill waves come, cannot do anything but lay in bed and under the covers. Since then, I've had 3 consecutive negative tests but the symptoms still appear every few days.  But they are much less intense.  Overall, however, the 'good times' are very clearly increasingly outnumbering the 'bad times'; and there are longer periods of good days between the bad days.  It is mentally difficult to be positive when the symptoms come back just when you think you have fully recovered.  I just wanted to say thanks to this group and 'stay positive'.</t>
        </is>
      </c>
      <c r="D947" t="n">
        <v>1</v>
      </c>
      <c r="E947" t="n">
        <v>0</v>
      </c>
      <c r="F947">
        <f>HYPERLINK("https://www.reddit.com/r/COVID19positive/comments/ggkejo/8_weeks_plus_since_first_symptom/")</f>
        <v/>
      </c>
      <c r="G947" t="inlineStr">
        <is>
          <t>2020-05-09 11:09:55</t>
        </is>
      </c>
      <c r="H947" t="inlineStr">
        <is>
          <t>Tested Positive - Me</t>
        </is>
      </c>
    </row>
    <row r="948">
      <c r="A948" t="inlineStr">
        <is>
          <t>ggn30b</t>
        </is>
      </c>
      <c r="B948" t="inlineStr">
        <is>
          <t>New symptoms- insomnia</t>
        </is>
      </c>
      <c r="C948" t="inlineStr">
        <is>
          <t>F48 type 2 diabetes well controlled and over weight but not obese. Normally fit and healthy and regular runner.   I don’t eat sugar or many carbs. 
Most of my symptoms have been pretty mild. Only one day of fever. A lot of GI issues. Felt like I was getting over it a couple of days ago and did too much. 
I am in day 15 and symptoms have been coming back with a vengeance today. Bone crushingly tired but just can’t sleep. 
Slight chest tightness and torso feels hot to touch but no fever. My oxygen levels between 95 to 97 so a little low but nothing serious. 
Never had problems sleeping before and feeling very depressed at the moment. 
I am in the UK and I do feel those that are dealing with this virus at home are ignored. Can’t really get to see a doctor at the moment due to lockdown.  When you ring the NHS number you are fobbed off. 
Just needed to vent.</t>
        </is>
      </c>
      <c r="D948" t="n">
        <v>1</v>
      </c>
      <c r="E948" t="n">
        <v>0</v>
      </c>
      <c r="F948">
        <f>HYPERLINK("https://www.reddit.com/r/COVID19positive/comments/ggn30b/new_symptoms_insomnia/")</f>
        <v/>
      </c>
      <c r="G948" t="inlineStr">
        <is>
          <t>2020-05-09 13:32:23</t>
        </is>
      </c>
      <c r="H948" t="inlineStr">
        <is>
          <t>Presumed Positive - From Doctor</t>
        </is>
      </c>
    </row>
    <row r="949">
      <c r="A949" t="inlineStr">
        <is>
          <t>ggnjak</t>
        </is>
      </c>
      <c r="B949" t="inlineStr">
        <is>
          <t>How have drugs interacted with your symptoms?</t>
        </is>
      </c>
      <c r="C949" t="inlineStr">
        <is>
          <t>I mean this both for drugs that should help, and that would obviously not help.
In my case, vitamins, mucinex, pseudoephedrine, tylenol all have helped but not consistently. I ended up turning around my progress two separate times as well - once from drinking during a weekend after having thought it was gone (it wasn't). 
Second time was similar situation where I smoked a small amount of weed, having thought it was gone. Obviously both of those scenarios led to complete abstinence for 40 days or so. Still no alcohol, but I have tried edibles and they don't seem to have a negative effect.</t>
        </is>
      </c>
      <c r="D949" t="n">
        <v>1</v>
      </c>
      <c r="E949" t="n">
        <v>3</v>
      </c>
      <c r="F949">
        <f>HYPERLINK("https://www.reddit.com/r/COVID19positive/comments/ggnjak/how_have_drugs_interacted_with_your_symptoms/")</f>
        <v/>
      </c>
      <c r="G949" t="inlineStr">
        <is>
          <t>2020-05-09 13:57:29</t>
        </is>
      </c>
      <c r="H949" t="inlineStr">
        <is>
          <t>Presumed Positive - From Doctor</t>
        </is>
      </c>
    </row>
    <row r="950">
      <c r="A950" t="inlineStr">
        <is>
          <t>ggp3wb</t>
        </is>
      </c>
      <c r="B950" t="inlineStr">
        <is>
          <t>Update on my Previous Post: Grandpa passed away.</t>
        </is>
      </c>
      <c r="C950" t="inlineStr">
        <is>
          <t>Update on [this post](https://www.reddit.com/r/COVID19positive/comments/gbq51a/my_75_year_old_grandpa_with_lung_cancer_tested/). My grandfather passed away yesterday. He was doing surprisingly well according to the medical staff. He had developed pneumonia but his vitals were pretty good and his oxygen levels were getting better. We thought we were in the clear and he was gonna make it. I guess the stress from the mix of being on the ventilator, lung cancer, previous heart problems, and COVID were too much for his heart and he went into cardiac arrest twice in 3 hours. They couldn't bring him back with CPR the second time. Today, we performed the jannazah (Islmaic funeral) and sent him on his way. It hurts, it really does but it was his time and he went fighting as hard as he could. He died a martyr (death via plague is considered martyrdom). One of his friends also died and it was always his wish and prayer that they died around the same time. It was a Friday during Ramadan and the gates of jannah (heaven) are said to be open to those who pass. Inshallah he will pass the tests of the grave and enter Paradise. I know this post is a lot more religious than the previous one. Thank you for everyone's support. It meant a lot. The rest of my family has recovered.</t>
        </is>
      </c>
      <c r="D950" t="n">
        <v>1</v>
      </c>
      <c r="E950" t="n">
        <v>51</v>
      </c>
      <c r="F950">
        <f>HYPERLINK("https://www.reddit.com/r/COVID19positive/comments/ggp3wb/update_on_my_previous_post_grandpa_passed_away/")</f>
        <v/>
      </c>
      <c r="G950" t="inlineStr">
        <is>
          <t>2020-05-09 15:24:19</t>
        </is>
      </c>
      <c r="H950" t="inlineStr">
        <is>
          <t>Tested Positive - Family</t>
        </is>
      </c>
    </row>
    <row r="951">
      <c r="A951" t="inlineStr">
        <is>
          <t>ggpjh8</t>
        </is>
      </c>
      <c r="B951" t="inlineStr">
        <is>
          <t>I'm a young woman, 3-4 weeks since symptom onset and I have covid toes and skin rashes among the other symptoms as fever, musle pain, lung pain and shortness of breath. Please be aware that skin rashes is a symptom of covid-19 and isolate yourself if you have an unexplainable skin rash outbreak</t>
        </is>
      </c>
      <c r="C951" t="inlineStr">
        <is>
          <t>I've compiled some photos for all of you to show you that I have what is called "covid toes" and red skin rashes and bumps all over my body. These symptoms appeared 2 weeks before the rest of the symptoms.
https://imgur.com/a/fuS8KMb
There's been an effort to inform the public about covid toes and skin rashes being possible symptoms of covid but it feels like it gets buried by the media and only cough and fever are talked about. It's believed that many asymptomatic carriers have skin rashes as the only symptom, so if you have an unexplainable skin rash you need to take precaution and isolate yourself.
I'm also wondering if someone else is having these symptoms.</t>
        </is>
      </c>
      <c r="D951" t="n">
        <v>1</v>
      </c>
      <c r="E951" t="n">
        <v>56</v>
      </c>
      <c r="F951">
        <f>HYPERLINK("https://www.reddit.com/r/COVID19positive/comments/ggpjh8/im_a_young_woman_34_weeks_since_symptom_onset_and/")</f>
        <v/>
      </c>
      <c r="G951" t="inlineStr">
        <is>
          <t>2020-05-09 15:49:36</t>
        </is>
      </c>
      <c r="H951" t="inlineStr">
        <is>
          <t>Presumed Positive - From Doctor</t>
        </is>
      </c>
    </row>
    <row r="952">
      <c r="A952" t="inlineStr">
        <is>
          <t>ggq829</t>
        </is>
      </c>
      <c r="B952" t="inlineStr">
        <is>
          <t>Just about to finish week 2.</t>
        </is>
      </c>
      <c r="C952" t="inlineStr">
        <is>
          <t>I thought I’d feel good, but I kind of feel scared.  I had what felt like a heart attack day 3, I’m afraid i get another worse on the 2nd wave I won’t make it.  It nearly killed me.  Also have it go after my brain.  Feels like it kind of picks diffeeent areas to go after, then feels swollen but does heal.  Generally.  Including in the back.
I’m hoping that the adage of “if you make it past the first two weeks you’ll probably survive” but mybcase doesn’t seem very average.
If you had similar issues I’m welcome to here them.  If not just wanting to vent.  I’m scared of the road to come.  I know I shouldn’t worry, but I do sometimes.  Feels like I better get this problem solved, or another wave might push me over.</t>
        </is>
      </c>
      <c r="D952" t="n">
        <v>1</v>
      </c>
      <c r="E952" t="n">
        <v>8</v>
      </c>
      <c r="F952">
        <f>HYPERLINK("https://www.reddit.com/r/COVID19positive/comments/ggq829/just_about_to_finish_week_2/")</f>
        <v/>
      </c>
      <c r="G952" t="inlineStr">
        <is>
          <t>2020-05-09 16:29:14</t>
        </is>
      </c>
      <c r="H952" t="inlineStr">
        <is>
          <t>Presumed Positive - From Doctor</t>
        </is>
      </c>
    </row>
    <row r="953">
      <c r="A953" t="inlineStr">
        <is>
          <t>ggre45</t>
        </is>
      </c>
      <c r="B953" t="inlineStr">
        <is>
          <t>Fluttery heart beat</t>
        </is>
      </c>
      <c r="C953" t="inlineStr">
        <is>
          <t>Been sick for several weeks. Had all of the common symptoms. Was in the ER two days ago and blood work looked fine, heart looked fine etc.
However I can't sleep tonight because I have a fluttery heart beat. My pulse is normal, around 60-80 beats per minute but it feels fluttery and I'm so scared that this is actually something bad.
Have any of you had a fluttery heartbeat, like it's not beating like it should? Like a twitch once in a while?</t>
        </is>
      </c>
      <c r="D953" t="n">
        <v>1</v>
      </c>
      <c r="E953" t="n">
        <v>29</v>
      </c>
      <c r="F953">
        <f>HYPERLINK("https://www.reddit.com/r/COVID19positive/comments/ggre45/fluttery_heart_beat/")</f>
        <v/>
      </c>
      <c r="G953" t="inlineStr">
        <is>
          <t>2020-05-09 17:39:13</t>
        </is>
      </c>
      <c r="H953" t="inlineStr">
        <is>
          <t>Presumed Positive - From Doctor</t>
        </is>
      </c>
    </row>
    <row r="954">
      <c r="A954" t="inlineStr">
        <is>
          <t>ggry1m</t>
        </is>
      </c>
      <c r="B954" t="inlineStr">
        <is>
          <t>Article of interest for long termers</t>
        </is>
      </c>
      <c r="C954" t="inlineStr">
        <is>
          <t>https://www.dailymail.co.uk/health/article-8303305/Will-Covid-19-survivors-face-lifetime-illness-like-battled-polio.html</t>
        </is>
      </c>
      <c r="D954" t="n">
        <v>1</v>
      </c>
      <c r="E954" t="n">
        <v>10</v>
      </c>
      <c r="F954">
        <f>HYPERLINK("https://www.reddit.com/r/COVID19positive/comments/ggry1m/article_of_interest_for_long_termers/")</f>
        <v/>
      </c>
      <c r="G954" t="inlineStr">
        <is>
          <t>2020-05-09 18:13:08</t>
        </is>
      </c>
      <c r="H954" t="inlineStr">
        <is>
          <t>Presumed Positive - From Doctor</t>
        </is>
      </c>
    </row>
    <row r="955">
      <c r="A955" t="inlineStr">
        <is>
          <t>ggtqva</t>
        </is>
      </c>
      <c r="B955" t="inlineStr">
        <is>
          <t>Burning in arms and chest. 27yo</t>
        </is>
      </c>
      <c r="C955" t="inlineStr">
        <is>
          <t>Hi! I tested positive about 42 days ago. So far I've had mild symptoms with a cough, tons of mucus in the back of my throat and random chest pain as well as a constant temperature of around 99. I've been to the ER a few times, with shortness of breath, chest pain, and chills being the main reasons. I'm a 27year old male who had brain surgery back in January. I've been retested for Covid and results came back positive again today. I was feeling so good for the past week so I decided to do a little cleaning around the house today. And now I went to lie in bed for the night and the worst burning sensation in my arms and chest and face started to spread around my body. It burns like crazy and it's terrifying. It's like a fever or like a rash feeling. Has anyone else had this? Could it be anxiety or is it the virus? Should I be worried?</t>
        </is>
      </c>
      <c r="D955" t="n">
        <v>1</v>
      </c>
      <c r="E955" t="n">
        <v>17</v>
      </c>
      <c r="F955">
        <f>HYPERLINK("https://www.reddit.com/r/COVID19positive/comments/ggtqva/burning_in_arms_and_chest_27yo/")</f>
        <v/>
      </c>
      <c r="G955" t="inlineStr">
        <is>
          <t>2020-05-09 20:09:49</t>
        </is>
      </c>
      <c r="H955" t="inlineStr">
        <is>
          <t>Tested Positive - Me</t>
        </is>
      </c>
    </row>
    <row r="956">
      <c r="A956" t="inlineStr">
        <is>
          <t>ggts9x</t>
        </is>
      </c>
      <c r="B956" t="inlineStr">
        <is>
          <t>What if my second test says I’m still positive after weeks of recovery and no symptoms? Am I still contagious?</t>
        </is>
      </c>
      <c r="C956" t="inlineStr">
        <is>
          <t>I only loss my senses as mild symptoms and didn’t have a cough or anything else. I was considered an extremely mild case. I want to return back to work eventually, but I’ve heard it’s a good chance I’m still gonna test positive. Next week would be a whole month since my loss of smell and taste. It will also be 3 weeks since I’ve gained them back, “recovered” with no further symptoms. 
My question is: guidelines say people should isolate 2 weeks after recovery with no symptoms because most can’t get a second test. They are deemed not contagious by a few weeks. Since you don’t have access to multiple tests that is the rule apparently to be safe.
I got my second test and currently awaiting results now. If they say positive, should I have to continue to isolate forever until they come back negative? 2 tests was hard to fight for. Multiple...I don’t know. I haven’t had symptoms for a while now, and my only symptom while positive was loss of sense and smell. If my test comes back again, am I just as sick and contagious as I was the first time? What about those who don’t get a second test and go out after they recover?</t>
        </is>
      </c>
      <c r="D956" t="n">
        <v>1</v>
      </c>
      <c r="E956" t="n">
        <v>10</v>
      </c>
      <c r="F956">
        <f>HYPERLINK("https://www.reddit.com/r/COVID19positive/comments/ggts9x/what_if_my_second_test_says_im_still_positive/")</f>
        <v/>
      </c>
      <c r="G956" t="inlineStr">
        <is>
          <t>2020-05-09 20:12:27</t>
        </is>
      </c>
      <c r="H956" t="inlineStr">
        <is>
          <t>Tested Positive - Me</t>
        </is>
      </c>
    </row>
    <row r="957">
      <c r="A957" t="inlineStr">
        <is>
          <t>ggu3rk</t>
        </is>
      </c>
      <c r="B957" t="inlineStr">
        <is>
          <t>Another take on the road to recovery</t>
        </is>
      </c>
      <c r="C957" t="inlineStr">
        <is>
          <t xml:space="preserve"> 
Hi, I'm 35M/5'9/170lbs covid19-presumed positive and have been experiencing symptoms since March 18th. No previous health conditions I was aware of, was getting ready for a marathon before this all came down. While it's been an up and down battle, I feel significant progress after having a few relapses which I'll post on at another time. What I really wanted to get at today is I've been reading a lot of posts with people suffering relapses after trying to run/exercise again or asking when they can start running.
If I was to put this into sports injury terms, I feel this disease works in two ways for people. Some people get extremely mild symptoms that last 10-14 days - equivalent to a sprained ankle. They are able to be up and running really shortly after and it actually helps aid their recovery.
Those of us who had more severe pneumonia-like symptoms...it's equivalent to an ACL tear. You are going to have to take this real slow for some considerable time. There are going to be good days and bad, but just make sure you're trending upwards always. If you start running too fast, you're going to set yourself back big time and re-aggravate.
Take things slow people, listen to your body. The biggest takeaway I've had from this experience is that the the virus does not work on your timetable, but rather you work on it's time. We'll get through this :) don't lose hope!</t>
        </is>
      </c>
      <c r="D957" t="n">
        <v>1</v>
      </c>
      <c r="E957" t="n">
        <v>0</v>
      </c>
      <c r="F957">
        <f>HYPERLINK("https://www.reddit.com/r/COVID19positive/comments/ggu3rk/another_take_on_the_road_to_recovery/")</f>
        <v/>
      </c>
      <c r="G957" t="inlineStr">
        <is>
          <t>2020-05-09 20:35:07</t>
        </is>
      </c>
      <c r="H957" t="inlineStr">
        <is>
          <t>Presumed Positive - From Doctor</t>
        </is>
      </c>
    </row>
    <row r="958">
      <c r="A958" t="inlineStr">
        <is>
          <t>ggu7jf</t>
        </is>
      </c>
      <c r="B958" t="inlineStr">
        <is>
          <t>Survivor guilt is real</t>
        </is>
      </c>
      <c r="C958" t="inlineStr">
        <is>
          <t>I got sick back in March the week before everything shut down. Couldn't get any testing or help from medical or friends. When the hypoxia symptoms started I thought I might die, but I didn't. I'm ok enough now, but when I read these article and posts about strokes, kidney failure, extreme lung damage, etc and how young healthy people like myself are dying! I'm having feelings!!! Why am I still alive? How did I survive? Why was I spared from worse symptoms??? I'm kind of freaking out about this! I just want to cry!!!!</t>
        </is>
      </c>
      <c r="D958" t="n">
        <v>1</v>
      </c>
      <c r="E958" t="n">
        <v>12</v>
      </c>
      <c r="F958">
        <f>HYPERLINK("https://www.reddit.com/r/COVID19positive/comments/ggu7jf/survivor_guilt_is_real/")</f>
        <v/>
      </c>
      <c r="G958" t="inlineStr">
        <is>
          <t>2020-05-09 20:42:33</t>
        </is>
      </c>
      <c r="H958" t="inlineStr">
        <is>
          <t>Presumed Positive - From Doctor</t>
        </is>
      </c>
    </row>
    <row r="959">
      <c r="A959" t="inlineStr">
        <is>
          <t>gh0qax</t>
        </is>
      </c>
      <c r="B959" t="inlineStr">
        <is>
          <t>Huge resurgence at week 10...</t>
        </is>
      </c>
      <c r="C959" t="inlineStr">
        <is>
          <t>I'm living in Japan and had the virus since 25th of Feb. 
It has honestly been such a rollercoaster. Started with sinus pain and fatigue. Shortly after I developed a fever and SOB. 
Ended up with GI issues and lung pain that resulted in ER and a hospital trip. CT scan, ECG and xray comes back normal. Bloods show problems with kidneys and low potassium.. 
However,  around march 20th began to feel better. I even started exercising and just experienced a few bad days here and there. Some days I would have dull lung pain pr bad fatigue and small headaches. 
For over one month I felt human.
Since May 1st I have been hit hard again. Nerve pain, pain in my eye sockets (?!), SOB, lung pain, chest pain, GI issues, pain in my fingers, shooting pains in various parts of my body, fatigue and low grade fever. Oh, and INSANE dizziness to the point I feel I'm going to be sick and can't stand. The dizziness comes and goes as it pleases.
I honestly feel like I am going crazy. I feel so so down right now. Has anyone had such an intense resurgence after feeling ok for over a month?</t>
        </is>
      </c>
      <c r="D959" t="n">
        <v>1</v>
      </c>
      <c r="E959" t="n">
        <v>133</v>
      </c>
      <c r="F959">
        <f>HYPERLINK("https://www.reddit.com/r/COVID19positive/comments/gh0qax/huge_resurgence_at_week_10/")</f>
        <v/>
      </c>
      <c r="G959" t="inlineStr">
        <is>
          <t>2020-05-10 05:35:44</t>
        </is>
      </c>
      <c r="H959" t="inlineStr">
        <is>
          <t>Presumed Positive - From Doctor</t>
        </is>
      </c>
    </row>
    <row r="960">
      <c r="A960" t="inlineStr">
        <is>
          <t>gh2d1m</t>
        </is>
      </c>
      <c r="B960" t="inlineStr">
        <is>
          <t>After recovery, when did you start visiting people (if at all?)</t>
        </is>
      </c>
      <c r="C960" t="inlineStr">
        <is>
          <t>Tested positive on April 12th. I was sick for about 10 days and then fully recovered from all symptoms. The doctor cleared me to leave home isolation weeks ago, I have felt 100% healthy ever since. 
I want to see my parents but I’m afraid of possibly dragging the virus home from a grocery store, friends house, or running errands (I do still wear a mask). It would be great to see my mom for Mother’s Day today but I’m still so afraid. 
Has anyone here fully recovered and felt comfortable visiting people and no longer being a vector for the virus? How long did it take you? Thanks.</t>
        </is>
      </c>
      <c r="D960" t="n">
        <v>1</v>
      </c>
      <c r="E960" t="n">
        <v>11</v>
      </c>
      <c r="F960">
        <f>HYPERLINK("https://www.reddit.com/r/COVID19positive/comments/gh2d1m/after_recovery_when_did_you_start_visiting_people/")</f>
        <v/>
      </c>
      <c r="G960" t="inlineStr">
        <is>
          <t>2020-05-10 07:23:07</t>
        </is>
      </c>
      <c r="H960" t="inlineStr">
        <is>
          <t>Tested Positive - Me</t>
        </is>
      </c>
    </row>
    <row r="961">
      <c r="A961" t="inlineStr">
        <is>
          <t>gh3869</t>
        </is>
      </c>
      <c r="B961" t="inlineStr">
        <is>
          <t>Is there an acute phase?</t>
        </is>
      </c>
      <c r="C961" t="inlineStr">
        <is>
          <t>I read online about first two weeks.  But it seems like people have bad weeks 3 and 4.  What is the acute phase with this virus, just kind of different for everybody?  Or I guess it could be months?</t>
        </is>
      </c>
      <c r="D961" t="n">
        <v>1</v>
      </c>
      <c r="E961" t="n">
        <v>1</v>
      </c>
      <c r="F961">
        <f>HYPERLINK("https://www.reddit.com/r/COVID19positive/comments/gh3869/is_there_an_acute_phase/")</f>
        <v/>
      </c>
      <c r="G961" t="inlineStr">
        <is>
          <t>2020-05-10 08:13:23</t>
        </is>
      </c>
      <c r="H961" t="inlineStr">
        <is>
          <t>Presumed Positive - From Doctor</t>
        </is>
      </c>
    </row>
    <row r="962">
      <c r="A962" t="inlineStr">
        <is>
          <t>gh5kou</t>
        </is>
      </c>
      <c r="B962" t="inlineStr">
        <is>
          <t>Loss of smell and recovered but noticed something interesting (thought to share)</t>
        </is>
      </c>
      <c r="C962" t="inlineStr">
        <is>
          <t>I lost my sense of smell for about 3 weeks, it came back slowly.. I am 7weeks +, today I noticed something interesting: this is the first time my eyes are watery while cutting onions.. this was completely absent for the last 7 weeks. Every little positive change makes me smile these days, I am happy my body are recovering day by day.. 
I still get flare ups with lingering symptoms: headache, lightheaded/dizziness, sometimes my head feel warm and heavy but no fever anymore, inner ear pressure still come and go.. but I am a lot stronger compare to 2 weeks ago. 
It’s long journey, wish you all good recovery</t>
        </is>
      </c>
      <c r="D962" t="n">
        <v>26</v>
      </c>
      <c r="E962" t="n">
        <v>75</v>
      </c>
      <c r="F962">
        <f>HYPERLINK("https://www.reddit.com/r/COVID19positive/comments/gh5kou/loss_of_smell_and_recovered_but_noticed_something/")</f>
        <v/>
      </c>
      <c r="G962" t="inlineStr">
        <is>
          <t>2020-05-10 10:27:15</t>
        </is>
      </c>
      <c r="H962" t="inlineStr">
        <is>
          <t>Presumed Positive - From Doctor</t>
        </is>
      </c>
    </row>
    <row r="963">
      <c r="A963" t="inlineStr">
        <is>
          <t>gh5o8b</t>
        </is>
      </c>
      <c r="B963" t="inlineStr">
        <is>
          <t>Those with lingering / long-term chest pain or tightness...</t>
        </is>
      </c>
      <c r="C963" t="inlineStr">
        <is>
          <t>**Did your chest pain &amp;amp; tightness eventually resolve, or are you continually improving?**
**What did you do (tests, meds, supps) to identify or help it?**
\-----------------
I'm on Day 60. Mostly better, but still dealing with chest pain and tightness. Sternum area + right side of sternum. Getting worried about lung damage, clotting, etc.
I was using Albuterol inhaler for 30\~ days but stopped in case it's making things worse. Don't think it's meant for long-term daily use several times a day. I also tried a steroid inhaler (Arnuity) 2 weeks ago, but had a virus relapse and stopped it just in case it was the cause.
Supps:  NAC, Vitamin C, Vitamin D, Turmeric, L-Lysine, Quercetin, Zinc, Olive Leaf Extract
O2 levels: &amp;gt;96, testing at home
Thanks!</t>
        </is>
      </c>
      <c r="D963" t="n">
        <v>2</v>
      </c>
      <c r="E963" t="n">
        <v>9</v>
      </c>
      <c r="F963">
        <f>HYPERLINK("https://www.reddit.com/r/COVID19positive/comments/gh5o8b/those_with_lingering_longterm_chest_pain_or/")</f>
        <v/>
      </c>
      <c r="G963" t="inlineStr">
        <is>
          <t>2020-05-10 10:32:33</t>
        </is>
      </c>
      <c r="H963" t="inlineStr">
        <is>
          <t>Presumed Positive - From Doctor</t>
        </is>
      </c>
    </row>
    <row r="964">
      <c r="A964" t="inlineStr">
        <is>
          <t>gh7tj2</t>
        </is>
      </c>
      <c r="B964" t="inlineStr">
        <is>
          <t>Positive antibody and swab test?</t>
        </is>
      </c>
      <c r="C964" t="inlineStr">
        <is>
          <t>So, on 5/8, which was day 53 since first symptoms, I got an antibody test, and since I was also still mildly symptomatic (lingering cough), the doctor gave me another swab test. 
Today, I found out both were positive. I’m happy about the antibody results (even though I know we don’t know what it means, yet), but perplexed about the PCR results. 
Anyone else experience this, or have an informed take on what it might mean?</t>
        </is>
      </c>
      <c r="D964" t="n">
        <v>1</v>
      </c>
      <c r="E964" t="n">
        <v>11</v>
      </c>
      <c r="F964">
        <f>HYPERLINK("https://www.reddit.com/r/COVID19positive/comments/gh7tj2/positive_antibody_and_swab_test/")</f>
        <v/>
      </c>
      <c r="G964" t="inlineStr">
        <is>
          <t>2020-05-10 12:30:49</t>
        </is>
      </c>
      <c r="H964" t="inlineStr">
        <is>
          <t>Tested Positive - Me</t>
        </is>
      </c>
    </row>
    <row r="965">
      <c r="A965" t="inlineStr">
        <is>
          <t>gh84hg</t>
        </is>
      </c>
      <c r="B965" t="inlineStr">
        <is>
          <t>Is there a way out of this?</t>
        </is>
      </c>
      <c r="C965" t="inlineStr">
        <is>
          <t>I keep seeing SO many posts about people who can’t shake this off over the course of months, and others who barely show any symptoms. It seems like there’s no in between. Has anyone experienced symptoms like SOB and chest pain and the other key symptoms for a week or two and just gotten better? Like officially better where they haven’t had issues for weeks/months after? It’s so easy to lose hope in the pool of negative articles :/ I just want to feel like myself again</t>
        </is>
      </c>
      <c r="D965" t="n">
        <v>2</v>
      </c>
      <c r="E965" t="n">
        <v>26</v>
      </c>
      <c r="F965">
        <f>HYPERLINK("https://www.reddit.com/r/COVID19positive/comments/gh84hg/is_there_a_way_out_of_this/")</f>
        <v/>
      </c>
      <c r="G965" t="inlineStr">
        <is>
          <t>2020-05-10 12:48:00</t>
        </is>
      </c>
      <c r="H965" t="inlineStr">
        <is>
          <t>Presumed Positive - From Test</t>
        </is>
      </c>
    </row>
    <row r="966">
      <c r="A966" t="inlineStr">
        <is>
          <t>gh8o00</t>
        </is>
      </c>
      <c r="B966" t="inlineStr">
        <is>
          <t>Has anyone (especially people with long term symptoms) experienced hands shaking and seizing up?</t>
        </is>
      </c>
      <c r="C966" t="inlineStr">
        <is>
          <t>My knees feel shaky and like they might buckle when I stand, too.
Brand new symptom, 8 weeks in. I read a blog comparing the shifting symptoms to surprises in an advent calendar.
I'm really concerned about the neurological component to this. Like please let me keep my motor skills, ffs.
I've had so much blood drawn my arms look like I've been shooting up. If my doctors find anything conclusive, I'll share here. I've just been waiting and waiting, for more tests, more appointments. And waiting.</t>
        </is>
      </c>
      <c r="D966" t="n">
        <v>3</v>
      </c>
      <c r="E966" t="n">
        <v>5</v>
      </c>
      <c r="F966">
        <f>HYPERLINK("https://www.reddit.com/r/COVID19positive/comments/gh8o00/has_anyone_especially_people_with_long_term/")</f>
        <v/>
      </c>
      <c r="G966" t="inlineStr">
        <is>
          <t>2020-05-10 13:16:30</t>
        </is>
      </c>
      <c r="H966" t="inlineStr">
        <is>
          <t>Tested Positive</t>
        </is>
      </c>
    </row>
    <row r="967">
      <c r="A967" t="inlineStr">
        <is>
          <t>gh9ado</t>
        </is>
      </c>
      <c r="B967" t="inlineStr">
        <is>
          <t>Does your doctor take your long term symptoms seriously?</t>
        </is>
      </c>
      <c r="C967" t="inlineStr">
        <is>
          <t>Mine does not. He basically feels me I’m faking it (e.g., “Really!  You can’t even work from home?”).  I feel very much cast aside and on my own.</t>
        </is>
      </c>
      <c r="D967" t="n">
        <v>5</v>
      </c>
      <c r="E967" t="n">
        <v>66</v>
      </c>
      <c r="F967">
        <f>HYPERLINK("https://www.reddit.com/r/COVID19positive/comments/gh9ado/does_your_doctor_take_your_long_term_symptoms/")</f>
        <v/>
      </c>
      <c r="G967" t="inlineStr">
        <is>
          <t>2020-05-10 13:49:36</t>
        </is>
      </c>
      <c r="H967" t="inlineStr">
        <is>
          <t>Tested Positive - Family</t>
        </is>
      </c>
    </row>
    <row r="968">
      <c r="A968" t="inlineStr">
        <is>
          <t>gha1fb</t>
        </is>
      </c>
      <c r="B968" t="inlineStr">
        <is>
          <t>(25M) 2 Months In, Short on Breath and Constantly Clearing Mucus From Throat</t>
        </is>
      </c>
      <c r="C968" t="inlineStr">
        <is>
          <t>Hey all, 
Was hoping to see if anyone had input on this or was experiencing a similar journey. I had Covid about 50 days ago, pretty minor symptoms - ran a fever that floated around 100, a minor cough and a headache. Had a period of getting better for a week or two, but now I have bothersome symptoms. I feel as if I have a pretty mild, but definitely apparent, case of shortness of breath/slightly tight chested, as well as pretty consistent production of white, foamy phlegm. I’m still very much able to perform day to day activities, including working out near daily. 
My only wish is to not get worse. I’ve seen my physician last week, tests are all pending at this point, but definitely rattled over this. I think every other google search on my phone is am I going to die lol. Anyone experiencing something similar? Best to all.</t>
        </is>
      </c>
      <c r="D968" t="n">
        <v>3</v>
      </c>
      <c r="E968" t="n">
        <v>35</v>
      </c>
      <c r="F968">
        <f>HYPERLINK("https://www.reddit.com/r/COVID19positive/comments/gha1fb/25m_2_months_in_short_on_breath_and_constantly/")</f>
        <v/>
      </c>
      <c r="G968" t="inlineStr">
        <is>
          <t>2020-05-10 14:30:16</t>
        </is>
      </c>
      <c r="H968" t="inlineStr">
        <is>
          <t>Presumed Positive - From Test</t>
        </is>
      </c>
    </row>
    <row r="969">
      <c r="A969" t="inlineStr">
        <is>
          <t>ghag7c</t>
        </is>
      </c>
      <c r="B969" t="inlineStr">
        <is>
          <t>Anything help with constipation?</t>
        </is>
      </c>
      <c r="C969" t="inlineStr">
        <is>
          <t>I drank a lot of water yesterday and felt better, so I tried to have some solid foods - bad idea. Feel like death today, usually do after eating. I’ve had sporadic diarrhea, but mostly constipation - and I usually don’t feel better until I can clear myself out. Anyone have any tips for this?</t>
        </is>
      </c>
      <c r="D969" t="n">
        <v>1</v>
      </c>
      <c r="E969" t="n">
        <v>8</v>
      </c>
      <c r="F969">
        <f>HYPERLINK("https://www.reddit.com/r/COVID19positive/comments/ghag7c/anything_help_with_constipation/")</f>
        <v/>
      </c>
      <c r="G969" t="inlineStr">
        <is>
          <t>2020-05-10 14:53:24</t>
        </is>
      </c>
      <c r="H969" t="inlineStr">
        <is>
          <t>Presumed Positive - From Doctor</t>
        </is>
      </c>
    </row>
    <row r="970">
      <c r="A970" t="inlineStr">
        <is>
          <t>ghb3kh</t>
        </is>
      </c>
      <c r="B970" t="inlineStr">
        <is>
          <t>Vitamin D and Expectorants</t>
        </is>
      </c>
      <c r="C970" t="inlineStr">
        <is>
          <t>For those of you that started taking vitamin D once you’ve already been sick for more than a month, did it help? I’m wondering if vitamin D actually helps once it’s entrenched in your lungs? 
I’m also wondering if there’s any expectorant herbs or methods that will actually bring up the thick wall of mucus that covid brings along with it?</t>
        </is>
      </c>
      <c r="D970" t="n">
        <v>1</v>
      </c>
      <c r="E970" t="n">
        <v>8</v>
      </c>
      <c r="F970">
        <f>HYPERLINK("https://www.reddit.com/r/COVID19positive/comments/ghb3kh/vitamin_d_and_expectorants/")</f>
        <v/>
      </c>
      <c r="G970" t="inlineStr">
        <is>
          <t>2020-05-10 15:30:48</t>
        </is>
      </c>
      <c r="H970" t="inlineStr">
        <is>
          <t>Presumed Positive - From Doctor</t>
        </is>
      </c>
    </row>
    <row r="971">
      <c r="A971" t="inlineStr">
        <is>
          <t>ghb4wa</t>
        </is>
      </c>
      <c r="B971" t="inlineStr">
        <is>
          <t>COVID-19 killed my Great-Grandmother.</t>
        </is>
      </c>
      <c r="C971" t="inlineStr">
        <is>
          <t>Imagine: you’re 90 years-old, living alone in an assisted living facility, diabetic, and suffering from dementia. For the past 20+ years you have relied on having contact with at least one of your three daughters everyday. You rely on them for taking you to the doctor, buying your groceries, checking in on you daily, and providing companionship.
Suddenly, your family cannot visit anymore, you’re in quarantine. You remain in a depressive state that begins to effect more than just your emotional health.
You wake up in a hospital, all alone. Your daughters call, but they say they cannot visit because of the virus. Nurses and doctors come in to check on you, you’re doing ok, but really confused.
After a week or so, you’re transferred to a rehab facility. Still, no visitors are allowed. You talk to your precious daughters, grandchildren, etc. everyday. You begin to sound more out of touch everyday. You’re not making sense.
“An angel has come to visit me!” You tell them over the phone.
After days of this, you become unresponsive. Vitals look good, but you are not there. You lay in a room that’s not yours, all alone. No one is there to hold your hand, no one is there to help you transition from this life.
Today is Mother’s Day, and we put you to rest yesterday.
COVID-19 killed my great-grandmother, and no one could tell you, “Goodbye.”
Right now, our elderly are going through an unprecedented time and need our love and support now more than ever. Treat everyday as if it could be their last, call your grandparents, parents, etc. Tell them you love them.</t>
        </is>
      </c>
      <c r="D971" t="n">
        <v>5</v>
      </c>
      <c r="E971" t="n">
        <v>32</v>
      </c>
      <c r="F971">
        <f>HYPERLINK("https://www.reddit.com/r/COVID19positive/comments/ghb4wa/covid19_killed_my_greatgrandmother/")</f>
        <v/>
      </c>
      <c r="G971" t="inlineStr">
        <is>
          <t>2020-05-10 15:32:53</t>
        </is>
      </c>
      <c r="H971" t="inlineStr">
        <is>
          <t>Presumed Positive - From Test</t>
        </is>
      </c>
    </row>
    <row r="972">
      <c r="A972" t="inlineStr">
        <is>
          <t>ghcii2</t>
        </is>
      </c>
      <c r="B972" t="inlineStr">
        <is>
          <t>Day 24 - New Onset Muscle Aches</t>
        </is>
      </c>
      <c r="C972" t="inlineStr">
        <is>
          <t>I’m in the midst of an apparent second wave of symptoms, and they seem to come and go throughout the day. When it’s good, it’s good, but when it’s bad, all I can do is lay down. I went on a bit of a walk today - not as lengthy as the one earlier in the week - and now I have new onset muscle aches.
It feels like the lower half of my legs are on fire. No fever, nothing of that nature, but the muscle aches are bothersome. I did not have the aches in my first wave of symptoms, which is troubling and makes me nervous. It feels like what I would imagine arthritis feels like (it runs in my family) - stinging in my legs, burning, and a feeling of heaviness in them. 
Anyone else deal with this? What helps you the most? Drinking a sports drink to make sure my levels are up.</t>
        </is>
      </c>
      <c r="D972" t="n">
        <v>1</v>
      </c>
      <c r="E972" t="n">
        <v>4</v>
      </c>
      <c r="F972">
        <f>HYPERLINK("https://www.reddit.com/r/COVID19positive/comments/ghcii2/day_24_new_onset_muscle_aches/")</f>
        <v/>
      </c>
      <c r="G972" t="inlineStr">
        <is>
          <t>2020-05-10 16:51:42</t>
        </is>
      </c>
      <c r="H972" t="inlineStr">
        <is>
          <t>Presumed Positive - From Doctor</t>
        </is>
      </c>
    </row>
    <row r="973">
      <c r="A973" t="inlineStr">
        <is>
          <t>ghcj1c</t>
        </is>
      </c>
      <c r="B973" t="inlineStr">
        <is>
          <t>Sick family member experiencing breathing issues. Want to try alternatives before going to hospital</t>
        </is>
      </c>
      <c r="C973" t="inlineStr">
        <is>
          <t>So my uncle has been confirmed positive and his symptoms have been going up and down. I think for fever right now it’s gone but the issue is that he is running out of breathe with minor activities such as going up the stairs. His oxygenation was already checked and is low. He was given medicine where it’s like vaporized with a little machine and mask for like people who have asthma, I’m not to sure of the name. But one doctor prescribed him that and we asked an opinion from another one and he said that’s not good as it opens your lungs up and helps to spread the virus in the lungs. But it makes him feel better and helps the cough go away. So at this point no one in the family knows who to listen to or what to do. We want to try and everything we can before deciding to have him go to the hospital b/c we know at the point no one will be able to see him. So does anyone have anything that has helped them be able to breathe, help the cough and shortness of breathe go away.</t>
        </is>
      </c>
      <c r="D973" t="n">
        <v>1</v>
      </c>
      <c r="E973" t="n">
        <v>6</v>
      </c>
      <c r="F973">
        <f>HYPERLINK("https://www.reddit.com/r/COVID19positive/comments/ghcj1c/sick_family_member_experiencing_breathing_issues/")</f>
        <v/>
      </c>
      <c r="G973" t="inlineStr">
        <is>
          <t>2020-05-10 16:52:33</t>
        </is>
      </c>
      <c r="H973" t="inlineStr">
        <is>
          <t>Tested Positive - Family</t>
        </is>
      </c>
    </row>
    <row r="974">
      <c r="A974" t="inlineStr">
        <is>
          <t>ghcrhw</t>
        </is>
      </c>
      <c r="B974" t="inlineStr">
        <is>
          <t>What to send my father</t>
        </is>
      </c>
      <c r="C974" t="inlineStr">
        <is>
          <t>Hi! My father has tested positive and he is in a different state, lives alone, not many people around to help. He claims he has everything he needs but I don’t believe him. What can I send him if I were to make a Walmart delivery ? He has all his vitamins. What did you find convenient ?</t>
        </is>
      </c>
      <c r="D974" t="n">
        <v>1</v>
      </c>
      <c r="E974" t="n">
        <v>19</v>
      </c>
      <c r="F974">
        <f>HYPERLINK("https://www.reddit.com/r/COVID19positive/comments/ghcrhw/what_to_send_my_father/")</f>
        <v/>
      </c>
      <c r="G974" t="inlineStr">
        <is>
          <t>2020-05-10 17:06:38</t>
        </is>
      </c>
      <c r="H974" t="inlineStr">
        <is>
          <t>Tested Positive - Family</t>
        </is>
      </c>
    </row>
    <row r="975">
      <c r="A975" t="inlineStr">
        <is>
          <t>ghcvdl</t>
        </is>
      </c>
      <c r="B975" t="inlineStr">
        <is>
          <t>Has anyone here actually test negative the second time they got tested?</t>
        </is>
      </c>
      <c r="C975" t="inlineStr">
        <is>
          <t>How long apart were your tests? What were your symptoms during positive?</t>
        </is>
      </c>
      <c r="D975" t="n">
        <v>1</v>
      </c>
      <c r="E975" t="n">
        <v>5</v>
      </c>
      <c r="F975">
        <f>HYPERLINK("https://www.reddit.com/r/COVID19positive/comments/ghcvdl/has_anyone_here_actually_test_negative_the_second/")</f>
        <v/>
      </c>
      <c r="G975" t="inlineStr">
        <is>
          <t>2020-05-10 17:13:19</t>
        </is>
      </c>
      <c r="H975" t="inlineStr">
        <is>
          <t>Tested Positive - Me</t>
        </is>
      </c>
    </row>
    <row r="976">
      <c r="A976" t="inlineStr">
        <is>
          <t>ghdj61</t>
        </is>
      </c>
      <c r="B976" t="inlineStr">
        <is>
          <t>Presumed ‘asymptomatic’ carrier</t>
        </is>
      </c>
      <c r="C976" t="inlineStr">
        <is>
          <t>I have yet to share the full story with anyone on Reddit, figured here would be the best place. My mom and I have been held up in our apartment together ever since March. Both of us have had repeated and prolonged contact with each other as it’s pretty much unavoidable.
I’m a male, 17, and have no underlying health conditions
My mom is 57, overweight, and has high blood pressure
April 22nd: My mom complains of a sore throat and mild fatigue
April 23rd: Next morning she said she feels perfectly fine and that she doesn’t know what was up with her yesterday
April 24th: I notice she has a cough, and a dry one at that, but she didn’t say anything so i figure it’s okay. That night we had dinner together and watched a movie
April 25th: my mom’s condition worsened. She had a high fever, dry cough, terrible aches and pains, chills, a migraine that she says she’s never had anything like before, and she remains in bed the whole day. I figure I was probably already exposed so I help her and make sure she’s doing okay.
April 29th: She was mainly on and off throughout the week. We contacted our doctor and he presumed her positive simply over the phone based on her symptoms. He said to keep an eye out for worsening symptoms and that we could pay for a test from multiple labs he referred us to. We figured a test wasn’t necessary especially as she was able to get up and walk around during the day. However, it was at night when she really suffered. The night of April 29/30 was particularly bad. She was complaining about a tight severe pain throughout her chest and that every time she took a breath it felt like “tiny shards of glass in her lungs”
April 30th: I couldn’t sleep at all. I laid awake really worried and then my mom texted me that she can barley breathe and that she’s really worried. I go to check on her and her breaths are short and really laboured. With every inhale she winced in pain. It was at this time, around 1:30am, that we both decided to call an ambulance.
At the hospital she learned she had pneumonia and her blood oxygen levels were very low. She also was swabbed and awaited a test. I didn’t get a minute of sleep that night. So much shit was racing through my mind and I was terrified of losing her
May 3rd: Results came back and she was positive. No surprises there. What was a surprise to me was that I wasn’t feeling any symptoms, but I was still waiting for the 14 day mark
May 4th: The antibiotics were working and her pneumonia was getting better, but her blood oxygen levels weren’t much better and she remained in the hospital. Still no symptoms on my end and I still wasn’t getting much sleep
May 5th: My mom is doing even better and over FaceTime her breaths and talking was noticeably better. On my end, I have a very mild headache. It felt as if I was looking at my phone too long.
May 7th: My mom is discharged! Doing much better and continues to recover at home. She’s had a couple bad nights after the hospital but so far is improving! This is where my story comes into play. This night I was noticeably sluggish and didn’t feel like eating dinner either. The headache along with very mild aches persisted from Tuesday
May 8th: My symptoms are the same. Still no cough, no fever, nothing other than feeling a bit tired.
May 9th: I feel fine, and I ate dinner normally
Today: I guess I’ve made a recovery? I have no clue if I was even infected and my symptoms were just in my head, as I was expecting for me to get sick as well. I mean this is something I probably would never have noticed if it wasn’t for my mom getting sick. I’m in the process of getting an antibody test but right now I’m waiting on my mom to make a full recovery. Aside from bad fatigue and a lingering cough she seems normal and has an appetite again.
I wanted to make this post for awareness. First, is that even if someone you love gets sick and goes to the hospital it’s not a death sentence. My mom is doing well and I’m extremely thankful for her making it out okay. The second, is to share my experience with being asymptomatic or oligosymptomatic. You may not always know you’re sick and this is one of the reasons mask wearing is important! 
I’m willing to keep people updated for anyone who’s wondering! It’s been an interesting past couple weeks for us to the say the least. Any questions you have I’m happy to answer :)
Stay safe, and wear a damn mask.</t>
        </is>
      </c>
      <c r="D976" t="n">
        <v>1</v>
      </c>
      <c r="E976" t="n">
        <v>40</v>
      </c>
      <c r="F976">
        <f>HYPERLINK("https://www.reddit.com/r/COVID19positive/comments/ghdj61/presumed_asymptomatic_carrier/")</f>
        <v/>
      </c>
      <c r="G976" t="inlineStr">
        <is>
          <t>2020-05-10 17:53:28</t>
        </is>
      </c>
      <c r="H976" t="inlineStr">
        <is>
          <t>Tested Positive - Family</t>
        </is>
      </c>
    </row>
    <row r="977">
      <c r="A977" t="inlineStr">
        <is>
          <t>ghed4p</t>
        </is>
      </c>
      <c r="B977" t="inlineStr">
        <is>
          <t>For those with prolonged recoveries (symptoms past 6-8 wks), has anyone been prescribed steroids?</t>
        </is>
      </c>
      <c r="C977" t="inlineStr">
        <is>
          <t>My story: I'm a sports med physician with COVID. I started in early March with an on/off sore throat before I really felt ill 3/13. Over the next day developed a fever of 101 and eventually got tested and it came back positive. I started feeling better around 2 wks and got cleared from isolation. I felt good for 4-5 days and resumed taking my Flonase (a mistake?). By the time the 4th wk hit, the fatigue, sore throat, chest pressure, dry cough returned. When I feel badly it correlates to a temp in the 99s but not above 100. This week I went to the ED because I had noticeable and frequent palpitations. Thankfully the EKG and echo looked good but I definitely had PVCs. My labs were normal, COVID swab negative (the hospitals test is known to be false negative 30% of the time). The infectious disease doc is diagnosing this as post-viral and recommends steroids. Because of the evidence suggesting steroids are dangerous, I am really scared to consider this option. Has anyone else done this with good result? Has anyone else done this with bad result?  Like everyone else in this boat, scared, frustrated, trying to hang on...</t>
        </is>
      </c>
      <c r="D977" t="n">
        <v>1</v>
      </c>
      <c r="E977" t="n">
        <v>29</v>
      </c>
      <c r="F977">
        <f>HYPERLINK("https://www.reddit.com/r/COVID19positive/comments/ghed4p/for_those_with_prolonged_recoveries_symptoms_past/")</f>
        <v/>
      </c>
      <c r="G977" t="inlineStr">
        <is>
          <t>2020-05-10 18:46:08</t>
        </is>
      </c>
      <c r="H977" t="inlineStr">
        <is>
          <t>Tested Positive</t>
        </is>
      </c>
    </row>
    <row r="978">
      <c r="A978" t="inlineStr">
        <is>
          <t>ghehcn</t>
        </is>
      </c>
      <c r="B978" t="inlineStr">
        <is>
          <t>Interesting personal essay here from Singapore's Covid-19 case number 862! Beyond a mild cough, he describes how he had virtually no symptoms before testing positive</t>
        </is>
      </c>
      <c r="C978" t="inlineStr">
        <is>
          <t>[https://southeastasiaglobe.com/my-experience-contracting-covid-19-as-case-862/](https://southeastasiaglobe.com/my-experience-contracting-covid-19-as-case-862/)</t>
        </is>
      </c>
      <c r="D978" t="n">
        <v>1</v>
      </c>
      <c r="E978" t="n">
        <v>2</v>
      </c>
      <c r="F978">
        <f>HYPERLINK("https://www.reddit.com/r/COVID19positive/comments/ghehcn/interesting_personal_essay_here_from_singapores/")</f>
        <v/>
      </c>
      <c r="G978" t="inlineStr">
        <is>
          <t>2020-05-10 18:53:41</t>
        </is>
      </c>
      <c r="H978" t="inlineStr">
        <is>
          <t>Tested Positive</t>
        </is>
      </c>
    </row>
    <row r="979">
      <c r="A979" t="inlineStr">
        <is>
          <t>ghesjj</t>
        </is>
      </c>
      <c r="B979" t="inlineStr">
        <is>
          <t>Update on my dad (Happy)</t>
        </is>
      </c>
      <c r="C979" t="inlineStr">
        <is>
          <t>For everyone who [saw my last post](https://www.reddit.com/r/COVID19positive/comments/gdmj5p/looking_for_hope_for_dad/?utm_source=share&amp;amp;utm_medium=ios_app&amp;amp;utm_name=iossmf), my dad’s improved quite a bit!
For those who don’t wanna read all the text, essentially the doctors were unsure of whether or not he was going to get better and we were almost about to get palliative care for him. This week, he’s woken up and (thankfully) doesn’t seem to have any cognitive issues. He has a bit of phlegm that he uses a tube to take out sometimes, but otherwise his breathing is great and he’s most likely going off the vent soon(!!!!) 
It’s been honestly the biggest turn around for me and my family, and although he still has a long way to go in terms of recovery, he’s doing better and I’m so relieved. We were even able to video call him today and he was talking (weakly and quietly but still)! He seems to have some amnesia and didn’t remember he had COVID so he thought he got into an accident, but other than that he’s on his way to recovery :)
Thank you for everyone who sent me the comforting messages, they honestly got my family through our test of faith and kept us positive during all the chaos.</t>
        </is>
      </c>
      <c r="D979" t="n">
        <v>1</v>
      </c>
      <c r="E979" t="n">
        <v>8</v>
      </c>
      <c r="F979">
        <f>HYPERLINK("https://www.reddit.com/r/COVID19positive/comments/ghesjj/update_on_my_dad_happy/")</f>
        <v/>
      </c>
      <c r="G979" t="inlineStr">
        <is>
          <t>2020-05-10 19:13:36</t>
        </is>
      </c>
      <c r="H979" t="inlineStr">
        <is>
          <t>Tested Positive - Family</t>
        </is>
      </c>
    </row>
    <row r="980">
      <c r="A980" t="inlineStr">
        <is>
          <t>ghg711</t>
        </is>
      </c>
      <c r="B980" t="inlineStr">
        <is>
          <t>Positive for antibodies - symptoms reappeared day 60</t>
        </is>
      </c>
      <c r="C980" t="inlineStr">
        <is>
          <t>I just tested positive for antibodies a week ago and over the past few days symptoms have come back. Headaches, dizzy, shortness of breathe, fatigue, and my heart races sometimes. It’s happens for a short part of the day maybe few hours but it happens everyday. I thought for 2 weeks I was in the clear. Physically and mentally exhausted. That aside, Happy Mother’s  Day.</t>
        </is>
      </c>
      <c r="D980" t="n">
        <v>1</v>
      </c>
      <c r="E980" t="n">
        <v>22</v>
      </c>
      <c r="F980">
        <f>HYPERLINK("https://www.reddit.com/r/COVID19positive/comments/ghg711/positive_for_antibodies_symptoms_reappeared_day_60/")</f>
        <v/>
      </c>
      <c r="G980" t="inlineStr">
        <is>
          <t>2020-05-10 20:50:03</t>
        </is>
      </c>
      <c r="H980" t="inlineStr">
        <is>
          <t>Tested Positive - Me</t>
        </is>
      </c>
    </row>
    <row r="981">
      <c r="A981" t="inlineStr">
        <is>
          <t>ghhe47</t>
        </is>
      </c>
      <c r="B981" t="inlineStr">
        <is>
          <t>Tested positive on 5/06</t>
        </is>
      </c>
      <c r="C981" t="inlineStr">
        <is>
          <t>I started to feel chest pain around 4/29 I’m not sure what to do. It hasn’t gone away. When I lay on my sides I feel pressure and it’s uncomfortable. I don’t have a fever. My temperature has been 98F. I do have a cough but it not persistent and when I cough 
sometimes I hear a rattle in my chest.</t>
        </is>
      </c>
      <c r="D981" t="n">
        <v>1</v>
      </c>
      <c r="E981" t="n">
        <v>5</v>
      </c>
      <c r="F981">
        <f>HYPERLINK("https://www.reddit.com/r/COVID19positive/comments/ghhe47/tested_positive_on_506/")</f>
        <v/>
      </c>
      <c r="G981" t="inlineStr">
        <is>
          <t>2020-05-10 22:16:08</t>
        </is>
      </c>
      <c r="H981" t="inlineStr">
        <is>
          <t>Tested Positive</t>
        </is>
      </c>
    </row>
    <row r="982">
      <c r="A982" t="inlineStr">
        <is>
          <t>ghhfqx</t>
        </is>
      </c>
      <c r="B982" t="inlineStr">
        <is>
          <t>Paul Garner: For 7 weeks I have been through a roller coaster of ill health, extreme emotions, and utter exhaustion</t>
        </is>
      </c>
      <c r="C982" t="inlineStr">
        <is>
          <t>[https://blogs.bmj.com/bmj/2020/05/05/paul-garner-people-who-have-a-more-protracted-illness-need-help-to-understand-and-cope-with-the-constantly-shifting-bizarre-symptoms/](https://blogs.bmj.com/bmj/2020/05/05/paul-garner-people-who-have-a-more-protracted-illness-need-help-to-understand-and-cope-with-the-constantly-shifting-bizarre-symptoms/)</t>
        </is>
      </c>
      <c r="D982" t="n">
        <v>1</v>
      </c>
      <c r="E982" t="n">
        <v>6</v>
      </c>
      <c r="F982">
        <f>HYPERLINK("https://www.reddit.com/r/COVID19positive/comments/ghhfqx/paul_garner_for_7_weeks_i_have_been_through_a/")</f>
        <v/>
      </c>
      <c r="G982" t="inlineStr">
        <is>
          <t>2020-05-10 22:19:40</t>
        </is>
      </c>
      <c r="H982" t="inlineStr">
        <is>
          <t>Presumed Positive - From Doctor</t>
        </is>
      </c>
    </row>
    <row r="983">
      <c r="A983" t="inlineStr">
        <is>
          <t>ghjc31</t>
        </is>
      </c>
      <c r="B983" t="inlineStr">
        <is>
          <t>NYTimes finally covering our plight...</t>
        </is>
      </c>
      <c r="C983" t="inlineStr">
        <is>
          <t>https://www.nytimes.com/2020/05/10/world/europe/coronavirus-italy-recovery.html</t>
        </is>
      </c>
      <c r="D983" t="n">
        <v>1</v>
      </c>
      <c r="E983" t="n">
        <v>3</v>
      </c>
      <c r="F983">
        <f>HYPERLINK("https://www.reddit.com/r/COVID19positive/comments/ghjc31/nytimes_finally_covering_our_plight/")</f>
        <v/>
      </c>
      <c r="G983" t="inlineStr">
        <is>
          <t>2020-05-11 00:57:04</t>
        </is>
      </c>
      <c r="H983" t="inlineStr">
        <is>
          <t>Presumed Positive - From Doctor</t>
        </is>
      </c>
    </row>
    <row r="984">
      <c r="A984" t="inlineStr">
        <is>
          <t>ghjsgk</t>
        </is>
      </c>
      <c r="B984" t="inlineStr">
        <is>
          <t>What can I do for my coworker coming back to work after having COVID?</t>
        </is>
      </c>
      <c r="C984" t="inlineStr">
        <is>
          <t>Without going into too much detail, I work in retail and a couple weeks ago one of my coworkers tested positive. We don't know the specifics but we've heard they had moderate symptoms from it. 
When they come back, what are some things we could do to make it easier on them? There isn't much information on this so we're all kind of at a loss on how to help. Thanks</t>
        </is>
      </c>
      <c r="D984" t="n">
        <v>1</v>
      </c>
      <c r="E984" t="n">
        <v>6</v>
      </c>
      <c r="F984">
        <f>HYPERLINK("https://www.reddit.com/r/COVID19positive/comments/ghjsgk/what_can_i_do_for_my_coworker_coming_back_to_work/")</f>
        <v/>
      </c>
      <c r="G984" t="inlineStr">
        <is>
          <t>2020-05-11 01:36:42</t>
        </is>
      </c>
      <c r="H984" t="inlineStr">
        <is>
          <t>Tested Positive - Friends</t>
        </is>
      </c>
    </row>
    <row r="985">
      <c r="A985" t="inlineStr">
        <is>
          <t>ghpqgk</t>
        </is>
      </c>
      <c r="B985" t="inlineStr">
        <is>
          <t>My employer is asking questions that make me wonder if they think I am faking.</t>
        </is>
      </c>
      <c r="C985" t="inlineStr">
        <is>
          <t>I was tested at a drive thru center last week after I've started with shortness of breath, chest pains, feeling feverish, chills, shaky feeling inside and extreme fatigue.
I work in alarm and CCTV systems. My company didnt get us any PPE until after Louisiana was #1 in rising cases. My job brought me in contact with hundreds of people spanning the state from Baton Rouge to Lake Charles to Houma to Shreveport. 
I don't currently have a doctor so I called the local call center and was sent to a test and am now waiting for results.
The owner of my company has called three times in a week wondering why the testing takes so long and that they have 15 minute tests and this is awfully strange. 
Today I called my old doctor today because the chest pains were a little worse yesterday and I got a bit worried. 
They wouldn't see me, told me to stay in quarentine unless it's an emergency.
Meanwhile my employer is now asking for doctor's notes that I can't get.
I really really wanna tell these fools to take a hike because my health is more important than someone's smart home system but I am afraid of losing my income(company still paying me a base salary but I'm losing thousands in weekend work).
I'm just curious how some of you have handled work with COVID testing/positive.</t>
        </is>
      </c>
      <c r="D985" t="n">
        <v>2</v>
      </c>
      <c r="E985" t="n">
        <v>7</v>
      </c>
      <c r="F985">
        <f>HYPERLINK("https://www.reddit.com/r/COVID19positive/comments/ghpqgk/my_employer_is_asking_questions_that_make_me/")</f>
        <v/>
      </c>
      <c r="G985" t="inlineStr">
        <is>
          <t>2020-05-11 08:31:24</t>
        </is>
      </c>
      <c r="H985" t="inlineStr">
        <is>
          <t>Presumed Positive - From Test</t>
        </is>
      </c>
    </row>
    <row r="986">
      <c r="A986" t="inlineStr">
        <is>
          <t>ghprjk</t>
        </is>
      </c>
      <c r="B986" t="inlineStr">
        <is>
          <t>35M, survived Covid but what about the leftover damage?</t>
        </is>
      </c>
      <c r="C986" t="inlineStr">
        <is>
          <t>It has been exactly 6 weeks since I felt my symptoms.  For the first 10 days I had a high fever, dizziness, aches.  Luckily I own a pulse oximeter..O2 levels were 97 in the beginning.  On day 11 it fell to 90%, so I rushed to the hospital, diagnosed with covid pneumonia, and admitted.  With only supportive care, my condition quickly deteriorated..my O2 levels fell to low 80’s with the help of oxygen, and I was running a fever of 104.6.  They quickly started me on high dose steroids and Anakinra (for the cytokines storm that is becoming all too common now).  After a week I was discharged.  On May 1 I visited my pulmonologist, still badly SOB.  I failed my 6 min walking test, and my X-ray showed residual damage (pneumonitis).  Today I am better but still SOB and sometimes cough up blood.  Please, I want to hear of other people’s stories about their recoveries, post covid chest imaging, and symptoms.
Mike</t>
        </is>
      </c>
      <c r="D986" t="n">
        <v>11</v>
      </c>
      <c r="E986" t="n">
        <v>27</v>
      </c>
      <c r="F986">
        <f>HYPERLINK("https://www.reddit.com/r/COVID19positive/comments/ghprjk/35m_survived_covid_but_what_about_the_leftover/")</f>
        <v/>
      </c>
      <c r="G986" t="inlineStr">
        <is>
          <t>2020-05-11 08:32:59</t>
        </is>
      </c>
      <c r="H986" t="inlineStr">
        <is>
          <t>Tested Positive - Me</t>
        </is>
      </c>
    </row>
    <row r="987">
      <c r="A987" t="inlineStr">
        <is>
          <t>ghprt9</t>
        </is>
      </c>
      <c r="B987" t="inlineStr">
        <is>
          <t>Prophylaxis with Vitamin C, D, and Quercetin - an anecdotal experience</t>
        </is>
      </c>
      <c r="C987" t="inlineStr">
        <is>
          <t>My fiance, who I live with, got a fever and dry cough starting last Monday, and tested positive last Wednesday.  I have been taking vitamin C (Emergen-C), Vitamin D, and Quercetin on a semi-daily basis since March. 
I started to get a headache last Friday (two days after my fiance tested positive and still showing peak symptoms).  My primary care doctor ordered me a test, which came out negative.  
Fast forward to now.  My headache went away and I have virtually no symptoms.  I have not taken another test, but my doctor said I can take one later this week if my symptoms come back.  
The doc was surprised at the negative result -- I was in extremely close proximity to an infected person for multiple days.  I told her about the supplements I was taking, but she seemed to think supplements don't do anything at all. 
My fiance started taking the same set of supplements this weekend and began to feel much better within a day or so.  Currently, she has a slight cough and no fever.  
Hope this information helps.  Please try not to draw any sweeping conclusions from this.  However, it doesn't hurt to buy or take these supplements, which are largely considered cheap and safe.</t>
        </is>
      </c>
      <c r="D987" t="n">
        <v>15</v>
      </c>
      <c r="E987" t="n">
        <v>58</v>
      </c>
      <c r="F987">
        <f>HYPERLINK("https://www.reddit.com/r/COVID19positive/comments/ghprt9/prophylaxis_with_vitamin_c_d_and_quercetin_an/")</f>
        <v/>
      </c>
      <c r="G987" t="inlineStr">
        <is>
          <t>2020-05-11 08:33:22</t>
        </is>
      </c>
      <c r="H987" t="inlineStr">
        <is>
          <t>Tested Positive - Family</t>
        </is>
      </c>
    </row>
    <row r="988">
      <c r="A988" t="inlineStr">
        <is>
          <t>ghq6wk</t>
        </is>
      </c>
      <c r="B988" t="inlineStr">
        <is>
          <t>One-sided lymph node pain</t>
        </is>
      </c>
      <c r="C988" t="inlineStr">
        <is>
          <t>I've had Covid for a while now, and I've been having a lot of pain and moderate swelling in just one lymph node, in my left neck area. It woke me up a few days ago from the pain, a kind of stabbing, throbbing pain.
Anyone else experiencing this?</t>
        </is>
      </c>
      <c r="D988" t="n">
        <v>3</v>
      </c>
      <c r="E988" t="n">
        <v>8</v>
      </c>
      <c r="F988">
        <f>HYPERLINK("https://www.reddit.com/r/COVID19positive/comments/ghq6wk/onesided_lymph_node_pain/")</f>
        <v/>
      </c>
      <c r="G988" t="inlineStr">
        <is>
          <t>2020-05-11 08:55:32</t>
        </is>
      </c>
      <c r="H988" t="inlineStr">
        <is>
          <t>Tested Positive</t>
        </is>
      </c>
    </row>
    <row r="989">
      <c r="A989" t="inlineStr">
        <is>
          <t>ghqcpw</t>
        </is>
      </c>
      <c r="B989" t="inlineStr">
        <is>
          <t>Tested negative twice. Doctor wonders if it's rheumatoid or thyroid problems.</t>
        </is>
      </c>
      <c r="C989" t="inlineStr">
        <is>
          <t>32 / Male / NYC / Symptomatic for 43 days (Chest tightness / burning / pressure, shortness of breath, low grade fever, rib aches, nausea, fatigue).
Got a third Covid test today. All vitals look good and no sign of acute infection in my lungs, heart, etc. My doctor recommended consulting an Infectious Disease expert and start investigating if this could be a Rheumatoid or Thyroid disease. Has anyone else explored this path? If so, what have you learned?</t>
        </is>
      </c>
      <c r="D989" t="n">
        <v>1</v>
      </c>
      <c r="E989" t="n">
        <v>12</v>
      </c>
      <c r="F989">
        <f>HYPERLINK("https://www.reddit.com/r/COVID19positive/comments/ghqcpw/tested_negative_twice_doctor_wonders_if_its/")</f>
        <v/>
      </c>
      <c r="G989" t="inlineStr">
        <is>
          <t>2020-05-11 09:03:29</t>
        </is>
      </c>
      <c r="H989" t="inlineStr">
        <is>
          <t>Presumed Positive - From Doctor</t>
        </is>
      </c>
    </row>
    <row r="990">
      <c r="A990" t="inlineStr">
        <is>
          <t>ghr1uy</t>
        </is>
      </c>
      <c r="B990" t="inlineStr">
        <is>
          <t>Strange feeling when waking up.</t>
        </is>
      </c>
      <c r="C990" t="inlineStr">
        <is>
          <t>Just after I take my first breaths after weaning up I have this feeling in my lung like I have to reinflate it. I take a deep breath and it seems like there's something sticky inside that I have to pull apart. After the first breath it becomes normal until I sleep again.</t>
        </is>
      </c>
      <c r="D990" t="n">
        <v>0</v>
      </c>
      <c r="E990" t="n">
        <v>1</v>
      </c>
      <c r="F990">
        <f>HYPERLINK("https://www.reddit.com/r/COVID19positive/comments/ghr1uy/strange_feeling_when_waking_up/")</f>
        <v/>
      </c>
      <c r="G990" t="inlineStr">
        <is>
          <t>2020-05-11 09:38:20</t>
        </is>
      </c>
      <c r="H990" t="inlineStr">
        <is>
          <t>Presumed Positive - From Doctor</t>
        </is>
      </c>
    </row>
    <row r="991">
      <c r="A991" t="inlineStr">
        <is>
          <t>ghrhjn</t>
        </is>
      </c>
      <c r="B991" t="inlineStr">
        <is>
          <t>Negative antibody test for boyfriend??</t>
        </is>
      </c>
      <c r="C991" t="inlineStr">
        <is>
          <t>I tested positive for covid on March 29th. Boyfriend and his son who both live with me full time got sick a few days later just not as severe. I was way worse with shortness of breathe, etc. BF had a fever for one day, sore throat, cough, and some aches. BF was never tested for covid as his doctor said to assume he was positive.
Well, he just got an antibody test and result was "not detected". His quantitative results were a 5 and to have a "detected" result it would have to be over 15. Mine was 67 and of course I had a "detected" result. Does this mean he never had it or just had it, but not severe enough and didn't make many antibodies? I know there's a lot of unknown, but it's very confusing to us. He never isolated from me as we have a smaller house and no furniture in other rooms (just moved in 2 months before). All very amazing.</t>
        </is>
      </c>
      <c r="D991" t="n">
        <v>4</v>
      </c>
      <c r="E991" t="n">
        <v>3</v>
      </c>
      <c r="F991">
        <f>HYPERLINK("https://www.reddit.com/r/COVID19positive/comments/ghrhjn/negative_antibody_test_for_boyfriend/")</f>
        <v/>
      </c>
      <c r="G991" t="inlineStr">
        <is>
          <t>2020-05-11 09:59:49</t>
        </is>
      </c>
      <c r="H991" t="inlineStr">
        <is>
          <t>Tested Positive</t>
        </is>
      </c>
    </row>
    <row r="992">
      <c r="A992" t="inlineStr">
        <is>
          <t>ghrulb</t>
        </is>
      </c>
      <c r="B992" t="inlineStr">
        <is>
          <t>Anyone's shortness of breath worse after eating?</t>
        </is>
      </c>
      <c r="C992" t="inlineStr">
        <is>
          <t>SOB has been my only symptom with this whole thing. I was advised I may have had a false negative test. Never had a fever, cough, sore throat, etc. I am trying to find patterns in my SOB in case I don't have Covid.
Edit: I was already checked for pulmonary embolism and heart issues with ECG, CT scan, chest x ray, and echo. Been 3 weeks of SOB.</t>
        </is>
      </c>
      <c r="D992" t="n">
        <v>2</v>
      </c>
      <c r="E992" t="n">
        <v>14</v>
      </c>
      <c r="F992">
        <f>HYPERLINK("https://www.reddit.com/r/COVID19positive/comments/ghrulb/anyones_shortness_of_breath_worse_after_eating/")</f>
        <v/>
      </c>
      <c r="G992" t="inlineStr">
        <is>
          <t>2020-05-11 10:17:24</t>
        </is>
      </c>
      <c r="H992" t="inlineStr">
        <is>
          <t>Presumed Positive - From Doctor</t>
        </is>
      </c>
    </row>
    <row r="993">
      <c r="A993" t="inlineStr">
        <is>
          <t>ghrxrk</t>
        </is>
      </c>
      <c r="B993" t="inlineStr">
        <is>
          <t>My friend has Covid and has a bmi of 34, he's 24 and about 291 pounds, how worried should he be abit his weight being a factor? Says he feels okay at the moment.</t>
        </is>
      </c>
      <c r="C993" t="inlineStr">
        <is>
          <t>He's quite tall too you wouldn't know looking at him that he's that heavy, he's a smoker too.</t>
        </is>
      </c>
      <c r="D993" t="n">
        <v>1</v>
      </c>
      <c r="E993" t="n">
        <v>6</v>
      </c>
      <c r="F993">
        <f>HYPERLINK("https://www.reddit.com/r/COVID19positive/comments/ghrxrk/my_friend_has_covid_and_has_a_bmi_of_34_hes_24/")</f>
        <v/>
      </c>
      <c r="G993" t="inlineStr">
        <is>
          <t>2020-05-11 10:21:44</t>
        </is>
      </c>
      <c r="H993" t="inlineStr">
        <is>
          <t>Tested Positive - Friends</t>
        </is>
      </c>
    </row>
    <row r="994">
      <c r="A994" t="inlineStr">
        <is>
          <t>ghs0m2</t>
        </is>
      </c>
      <c r="B994" t="inlineStr">
        <is>
          <t>My temperature is 96.7 F—should I be concerned</t>
        </is>
      </c>
      <c r="C994" t="inlineStr">
        <is>
          <t>Just got a really intense dizzy spell and now my head hurts a little bit. I took my temperature to try and get an indicator of what was going on and it read as 96.7. Earlier this week, my standard temperature (and I think my average temperature when I’m not sick?) was 97.5
Should I be concerned about a lower reading? Seems like most people are getting higher ones.</t>
        </is>
      </c>
      <c r="D994" t="n">
        <v>2</v>
      </c>
      <c r="E994" t="n">
        <v>6</v>
      </c>
      <c r="F994">
        <f>HYPERLINK("https://www.reddit.com/r/COVID19positive/comments/ghs0m2/my_temperature_is_967_fshould_i_be_concerned/")</f>
        <v/>
      </c>
      <c r="G994" t="inlineStr">
        <is>
          <t>2020-05-11 10:25:41</t>
        </is>
      </c>
      <c r="H994" t="inlineStr">
        <is>
          <t>Presumed Positive - From Test</t>
        </is>
      </c>
    </row>
    <row r="995">
      <c r="A995" t="inlineStr">
        <is>
          <t>ght2uo</t>
        </is>
      </c>
      <c r="B995" t="inlineStr">
        <is>
          <t>Can you get other diseases when you have COVID?</t>
        </is>
      </c>
      <c r="C995" t="inlineStr">
        <is>
          <t>Hi! My mom was tested for COVID a little while ago when she donated some blood. Apparently she had it and she thinks that she probably got it from me. 
A bit before COVID became this huge ordeal, I was super super sick. I had a high fever and a headache so bad I almost passed out at one point, a sore throat, it was a bit difficult to breathe sometimes, and I was extremely tired and worn out. I was taken to the doctor and for some reason they didn't even test me for anything, they just said I probably had the flu so they told me to take some meds. The meds didn't do anything at all and soon I had an ear infection. A couple days later I had an ear infection in the other ear. Then just a few days later after that I had pink eye in one of my eyes. I actually don't know if it was really pink eye or if it was just pink for some reason because it wasn't too irritated or itchy, only a little bit. My mom kept taking me to the doctor and they couldn't figure out what I had even though they didn't do any tests which I thought was really weird. One of the ear infections got so bad it damaged my ear drum a bit (it's still healing and is a bit difficult to hear out of). I basically just had to sleep it out, but even that was super difficult as it was painful sometimes to breathe and my ears were hurting. 
So I was wondering if like corona can really weaken your immune system? And is a pink eye a sign?</t>
        </is>
      </c>
      <c r="D995" t="n">
        <v>1</v>
      </c>
      <c r="E995" t="n">
        <v>3</v>
      </c>
      <c r="F995">
        <f>HYPERLINK("https://www.reddit.com/r/COVID19positive/comments/ght2uo/can_you_get_other_diseases_when_you_have_covid/")</f>
        <v/>
      </c>
      <c r="G995" t="inlineStr">
        <is>
          <t>2020-05-11 11:17:01</t>
        </is>
      </c>
      <c r="H995" t="inlineStr">
        <is>
          <t>Tested Positive</t>
        </is>
      </c>
    </row>
    <row r="996">
      <c r="A996" t="inlineStr">
        <is>
          <t>ghtdix</t>
        </is>
      </c>
      <c r="B996" t="inlineStr">
        <is>
          <t>Grandmother, 80 recovered</t>
        </is>
      </c>
      <c r="C996" t="inlineStr">
        <is>
          <t>Hi all, I thought it might offer some hope to people whose grandparents/parents have tested positive. My grandmother is 80 and not the most healthy person. She is quite overweight and very inactive, she uses a walking frame to walk around although doesn't have any heart issues or diabetes afaik.  
Around 6 weeks ago, she came down with what seemed like a regular flu (baring in mind that the published symptoms of coronavirus have developed over time). She had headache, blocked sinuses and a fever but only a mild occasional cough and no breathing difficulties. Thinking back, she did also complain that the food she was having tasted bad, which could be related to loss of taste people are experiencing but we didn't make that connection at the time. After 2 weeks, she was still struggling so we were able to get her seen by a paramedic, she tested positive for covid-19 and was taken to hospital as I believe she had low oxygen levels.  
In hospital, she was given oxygen via a mask for a day, then via nose tubes for a week or so as well as a round of antibiotics. I'm not certain what the antibiotics were for as we weren't told she had developed pneumonia or anything but apparently lots of people are being given antibiotics in hospital.  
After 10~ days in hospital, she was able to go home and has been recovering there. She still has a mild cough and seems very tired but otherwise okay, I've been talking to her on the phone.  
I've been reading this subreddit a lot in the past months and I believe there is a strong concentration of some of the worst cases here. I know of friends and friends of friends that have had the virus to various severities and recovered well. It's valuable to see this can be bad for people of all ages but I also believe it's important to remind everyone this isn't a death sentence. There are people recovering in all age ranges and anyone with family or friends that have tested positive should remain hopeful.  
Stay safe everyone</t>
        </is>
      </c>
      <c r="D996" t="n">
        <v>7</v>
      </c>
      <c r="E996" t="n">
        <v>22</v>
      </c>
      <c r="F996">
        <f>HYPERLINK("https://www.reddit.com/r/COVID19positive/comments/ghtdix/grandmother_80_recovered/")</f>
        <v/>
      </c>
      <c r="G996" t="inlineStr">
        <is>
          <t>2020-05-11 11:31:21</t>
        </is>
      </c>
      <c r="H996" t="inlineStr">
        <is>
          <t>Tested Positive - Family</t>
        </is>
      </c>
    </row>
    <row r="997">
      <c r="A997" t="inlineStr">
        <is>
          <t>ghtnlh</t>
        </is>
      </c>
      <c r="B997" t="inlineStr">
        <is>
          <t>Has anyone tried fasting to ease their symptoms?</t>
        </is>
      </c>
      <c r="C997" t="inlineStr">
        <is>
          <t>I’ve seen some people mention fasting here. Does anyone find it useful while sick with covid? I’m on day 43, just had a major relapse of SOB.</t>
        </is>
      </c>
      <c r="D997" t="n">
        <v>2</v>
      </c>
      <c r="E997" t="n">
        <v>9</v>
      </c>
      <c r="F997">
        <f>HYPERLINK("https://www.reddit.com/r/COVID19positive/comments/ghtnlh/has_anyone_tried_fasting_to_ease_their_symptoms/")</f>
        <v/>
      </c>
      <c r="G997" t="inlineStr">
        <is>
          <t>2020-05-11 11:44:56</t>
        </is>
      </c>
      <c r="H997" t="inlineStr">
        <is>
          <t>Presumed Positive - From Doctor</t>
        </is>
      </c>
    </row>
    <row r="998">
      <c r="A998" t="inlineStr">
        <is>
          <t>ghu90t</t>
        </is>
      </c>
      <c r="B998" t="inlineStr">
        <is>
          <t>30/m confirmed ground glass opacities</t>
        </is>
      </c>
      <c r="C998" t="inlineStr">
        <is>
          <t>Day 53 since symptoms started. I went to the ER a week and a half ago for a strong blood pressure change after a light workout, i thought my heart was failing. Bloodwork came back fine, oxygen saturation 98%, ordered a CT scan and ECG. The Cardiologist showed the GGO's on my lungs and advised for a follow up in a month to see if theyve improved. After basically controlling portion sizes, cutting out sugar, supplementing vitamins B,C,D, zinc, magnesium, i dont know what else i can do to improve my situation. Any advice or links to how i can better manage my lungs? thanks everyone</t>
        </is>
      </c>
      <c r="D998" t="n">
        <v>4</v>
      </c>
      <c r="E998" t="n">
        <v>19</v>
      </c>
      <c r="F998">
        <f>HYPERLINK("https://www.reddit.com/r/COVID19positive/comments/ghu90t/30m_confirmed_ground_glass_opacities/")</f>
        <v/>
      </c>
      <c r="G998" t="inlineStr">
        <is>
          <t>2020-05-11 12:12:38</t>
        </is>
      </c>
      <c r="H998" t="inlineStr">
        <is>
          <t>Presumed Positive - From Doctor</t>
        </is>
      </c>
    </row>
    <row r="999">
      <c r="A999" t="inlineStr">
        <is>
          <t>ghubmz</t>
        </is>
      </c>
      <c r="B999" t="inlineStr">
        <is>
          <t>Crazy heart rate/SOB during shower (50+ days of symptoms)</t>
        </is>
      </c>
      <c r="C999" t="inlineStr">
        <is>
          <t>I have noticed that my heart rate spikes to a ridiculous extent whilst showering. I can feel it is around 150-160 bpm, triggered just by standing in the shower and after contact with warm water.
Just by standing up usually it does not go up to this extent (post covid it is usually 90-100 just standing up vs 150-160 whilst showering). I also notice after my shower my pulse stays elevated for 30ish minutes and my ox levels just after coming out are on the low side of normal 95/96.
Could this be a sign of a nervous system dysfunction or what? Is anyone else noticing this?</t>
        </is>
      </c>
      <c r="D999" t="n">
        <v>2</v>
      </c>
      <c r="E999" t="n">
        <v>18</v>
      </c>
      <c r="F999">
        <f>HYPERLINK("https://www.reddit.com/r/COVID19positive/comments/ghubmz/crazy_heart_ratesob_during_shower_50_days_of/")</f>
        <v/>
      </c>
      <c r="G999" t="inlineStr">
        <is>
          <t>2020-05-11 12:16:00</t>
        </is>
      </c>
      <c r="H999" t="inlineStr">
        <is>
          <t>Presumed Positive - From Doctor</t>
        </is>
      </c>
    </row>
    <row r="1000">
      <c r="A1000" t="inlineStr">
        <is>
          <t>ghupio</t>
        </is>
      </c>
      <c r="B1000" t="inlineStr">
        <is>
          <t>Wondering if anyone else has had a situation similar to this. Day 61 of symptoms. 27/F/no health conditions prior</t>
        </is>
      </c>
      <c r="C1000" t="inlineStr">
        <is>
          <t>Symptoms started on March 12, with just a weird cough and difficulty breathing through nose... but without congestion. Started to get nervous because I work at a restaurant that hosts lots of travelers-including international. This was five days before they closed restaurants in my states. Initial symptoms lasted about a week or two. They included:
Fever, cough, sore throat, loss of smell, headache, eye pain, body aches, fatigue, insane...sticky persistent phlegm/post-nasal drip. 
Was denied a Covid test due to age and fever not being high enough. Took a flu test that came out negative. I thought to myself there’s no way these body aches are just a common cold and why can’t I smell anything ? That was before loss of smell was added as a symptom. I thought I was going crazy. After those initial symptoms went away, SOB kicked in. I have been experiencing SOB, chest tightness and fast heart rate and post nasal drip/phlegm for two months now. I thought it was partially anxiety, which I am being treated for. 
I went and got my oxygen levels looked at and an antibody test done. Test came out positive but ox levels normal. The doctor doesn’t seem to concerned. My biggest issue is that I cannot seem to go a day where I feel normal and can breathe, especially if I do any sort of physical activity. I thought getting a little cardio would help and get me back into shape after basically being couch ridden for two months, but every time I do I feel like I am gasping for air. 
I feel like I cannot get a full breathe of air through my nose but it is not congested. I will breathe through my mouth to get a full breathe and sometimes start wheezing and feel like I am gasping for air. The phlegm finally slowed down like 50 days in. The chest tightness has eased up. So now all that’s going on is the breathing issues and the fast heart beat. I am going in to get a full screening done in a couple weeks. 
Does anyone have a similar story and were there any turning points where you genuinely felt completely recovered ? What did you do ? I am hearing that exercise is not good and that time will be the only option.</t>
        </is>
      </c>
      <c r="D1000" t="n">
        <v>1</v>
      </c>
      <c r="E1000" t="n">
        <v>13</v>
      </c>
      <c r="F1000">
        <f>HYPERLINK("https://www.reddit.com/r/COVID19positive/comments/ghupio/wondering_if_anyone_else_has_had_a_situation/")</f>
        <v/>
      </c>
      <c r="G1000" t="inlineStr">
        <is>
          <t>2020-05-11 12:34:13</t>
        </is>
      </c>
      <c r="H1000" t="inlineStr">
        <is>
          <t>Presumed Positive - From Doctor</t>
        </is>
      </c>
    </row>
    <row r="1001">
      <c r="A1001" t="inlineStr">
        <is>
          <t>ghv0i4</t>
        </is>
      </c>
      <c r="B1001" t="inlineStr">
        <is>
          <t>Can someone explain their second wave of symptoms?</t>
        </is>
      </c>
      <c r="C1001" t="inlineStr">
        <is>
          <t>A week after I had recovered, I got some congestion back for a day. During my first wave, I only lost my sense of smell. 
My mom has gotten worse case than me, as she actually did have mild cough but extreme fatigue. Last week, she felt completely recovered for a good 8 days. Today, she says she’s scared bc it feels like she’s also getting nasal congestion. I can’t compare her case to mine bc I was extremely mild. Does it sound like she’s getting a second wave? 
She doesn’t feel sick really, but just congested (if she didn’t test positive she would’ve thought allergies). Is the second wave gonna be more worse for her? I thought she was gonna be okay and felt relieved.</t>
        </is>
      </c>
      <c r="D1001" t="n">
        <v>1</v>
      </c>
      <c r="E1001" t="n">
        <v>4</v>
      </c>
      <c r="F1001">
        <f>HYPERLINK("https://www.reddit.com/r/COVID19positive/comments/ghv0i4/can_someone_explain_their_second_wave_of_symptoms/")</f>
        <v/>
      </c>
      <c r="G1001" t="inlineStr">
        <is>
          <t>2020-05-11 12:49:01</t>
        </is>
      </c>
      <c r="H1001" t="inlineStr">
        <is>
          <t>Tested Positive - Family</t>
        </is>
      </c>
    </row>
    <row r="1002">
      <c r="A1002" t="inlineStr">
        <is>
          <t>ghvksw</t>
        </is>
      </c>
      <c r="B1002" t="inlineStr">
        <is>
          <t>Anyone similar to these symptoms week 8</t>
        </is>
      </c>
      <c r="C1002" t="inlineStr">
        <is>
          <t>Is anyone facing dizziness, focus issues, headaches and just general malaise. feeling like there floating/ high constantly week 8 ?</t>
        </is>
      </c>
      <c r="D1002" t="n">
        <v>2</v>
      </c>
      <c r="E1002" t="n">
        <v>19</v>
      </c>
      <c r="F1002">
        <f>HYPERLINK("https://www.reddit.com/r/COVID19positive/comments/ghvksw/anyone_similar_to_these_symptoms_week_8/")</f>
        <v/>
      </c>
      <c r="G1002" t="inlineStr">
        <is>
          <t>2020-05-11 13:16:28</t>
        </is>
      </c>
      <c r="H1002" t="inlineStr">
        <is>
          <t>Presumed Positive - From Doctor</t>
        </is>
      </c>
    </row>
    <row r="1003">
      <c r="A1003" t="inlineStr">
        <is>
          <t>ghvv95</t>
        </is>
      </c>
      <c r="B1003" t="inlineStr">
        <is>
          <t>My mom has been positive for a month.</t>
        </is>
      </c>
      <c r="C1003" t="inlineStr">
        <is>
          <t>My mom and I both tested positive on Easter 2020. I had a fever that was 102.6. One more tenth of a degree and I would’ve had to be hospitalized. Also had 80% of the typical symptoms
She had minimal symptoms but was tested because I was tested and because she’s a nurse and is the main “swabber” for her clinic, which is one of the only spots in the 6 surrounding counties to get a test. We were numbers 2 and 3 of 7 family members to test positive. 
Anyways, she’s taken off work and the two of us quarantine together in the house away from my siblings and stepdad (he also tested positive, but much later. Like a week and a half later. This is important).
In order to return to her job, she had to be tested again after her 14 day period (not protocol, but simply because of how high risk her job/patients/environment is. I wasn’t retested because I’m not essential and my only job is to watch the kids while she works). Anyways, her 14th day fell on a Saturday so she couldn’t go to the clinic for a retest until that Monday which made her retest period fall at 16 days.  Her results came back and she was still positive so they took her off for another week, pending results. Mind you, she had yet to be symptomatic in anyway, except for a chronic cough that she’s had for a year or so prior to this whole fiasco. 
At this point, we are at about a month of positive tests (not to mention, 2-3 wasted tests because our health dept is telling her to keep getting them weekly. 
It’s scary because 1 of 2 things is happening. 
1. The quarantine period is longer than 14 days and it is possible to transmit it even after the 14 days. That’s super dangerous because people can quarantine correctly but if the virus is still contagious after 14 days and they return to their (newly) normal lives, then they could be unknowingly spreading it; or 
2. It is possible to recontract the virus. We are almost certain that my mom gave it to my stepdad because on the way to get our tests, they kissed each other in the mouth saying “If this is the last time we get to kiss for a few weeks, we might as well make it count” (Don’t ask me why, old people logic)... but if the 14 day period is correct then she recontracted it from him. She slept in the bed with him on the last day of her quarantine and if he had it by then, then it’s entirely possible he gave it to her again. Also dangerous, because that would affect how the antibodies works and it’ll definitely impact the vaccine and immunity. 
Keep in mind: I only tested positive once, but for all I know — my 14 days weren’t enough, either since I share a house with her. 
Has this happened to anyone else? Where you have to be retested for job related reasons or otherwise and get a positive test long after the “quarantine” period? Or felt that you recontracted it or something?
TL;DR - My mom has tested positive for COVID for a month straight. Dangerous for lots of reasons.</t>
        </is>
      </c>
      <c r="D1003" t="n">
        <v>1</v>
      </c>
      <c r="E1003" t="n">
        <v>3</v>
      </c>
      <c r="F1003">
        <f>HYPERLINK("https://www.reddit.com/r/COVID19positive/comments/ghvv95/my_mom_has_been_positive_for_a_month/")</f>
        <v/>
      </c>
      <c r="G1003" t="inlineStr">
        <is>
          <t>2020-05-11 13:32:03</t>
        </is>
      </c>
      <c r="H1003" t="inlineStr">
        <is>
          <t>Tested Positive</t>
        </is>
      </c>
    </row>
    <row r="1004">
      <c r="A1004" t="inlineStr">
        <is>
          <t>ghvy3l</t>
        </is>
      </c>
      <c r="B1004" t="inlineStr">
        <is>
          <t>False negative?</t>
        </is>
      </c>
      <c r="C1004" t="inlineStr">
        <is>
          <t>I heard that 30% of the tests are false negatives and my mom tested back negative but her symptoms are aches, headache, and a little cough. Should she still self isolate??</t>
        </is>
      </c>
      <c r="D1004" t="n">
        <v>1</v>
      </c>
      <c r="E1004" t="n">
        <v>6</v>
      </c>
      <c r="F1004">
        <f>HYPERLINK("https://www.reddit.com/r/COVID19positive/comments/ghvy3l/false_negative/")</f>
        <v/>
      </c>
      <c r="G1004" t="inlineStr">
        <is>
          <t>2020-05-11 13:36:39</t>
        </is>
      </c>
      <c r="H1004" t="inlineStr">
        <is>
          <t>Tested Positive - Family</t>
        </is>
      </c>
    </row>
    <row r="1005">
      <c r="A1005" t="inlineStr">
        <is>
          <t>ghw4yp</t>
        </is>
      </c>
      <c r="B1005" t="inlineStr">
        <is>
          <t>UPDATE: Finally Recovering - Allergic reactions</t>
        </is>
      </c>
      <c r="C1005" t="inlineStr">
        <is>
          <t>Hi everyone! 
Just wanted to give a final update on my situation. I have my original post with my first update down below. Basically, I started having allergic reactions six weeks after coronavirus. 
I went to the allergist today and tested negative for all allergens, food and otherwise. Even dairy, which I was diagnosed with two and a half years ago by another allergist who did not do a skin prick test for food. 
I am ecstatic. I was really expecting the worst. The doctor said that a perform storm occurred in my body: the effects from the coronavirus, stress, and awful acid reflux. The hives were my bodies overreaction to everything going on. I have reflux that is irritating my throat so much that the inflammation feels like my throat swelling shut. The food caused the reflux to be too much and the hives compounded the reaction. My body was weakened by the coronavirus, allowing all of this to take place. All of the general problems I’ve been having are due to reflux and am on meds. I could get a stomach ulcer if I’m not careful. 
The best part in all of this is that he told me that it’s safe for me to be around people again. 
I wish I could explain it the way the doctor did. It made much more sense than how I’m putting it. Thank you everyone for the support. I’m glad to finally get all of this behind me. 
UPDATE: Finally Recovering - Now having allergic reactions (likely?) unrelated to covid 19
Link to original post: https://www.reddit.com/r/COVID19positive/comments/ga1vth/finally_recovering/?utm_source=share&amp;amp;utm_medium=ios_app&amp;amp;utm_name=iossmf
Thank you to everyone that showed so much love and support! It felt great. So far I have not relapsed in any of my coronavirus symptoms, and feel great in that aspect. 
However, I now have experienced anaphylaxis-like reactions twice since 5/2 that put me in the ER. It definitely seems to be food related (I already have an easy to manage dairy allergy). My throat now gets tight and swollen, hives, hard to breathe, the whole thing. I have a short list of what I think it is and other items I’m suspicious about. I’m seeing an allergist tomorrow. 
The thing that makes it so strange is the timing. As soon as I get over corona, I now have this life threatening allergic reaction that doesn’t seem to be going away; out of left field. I’m just really curious to see if anyone else has heard of this type of thing in association with covid. With how finicky this virus is, and how little is known in the grand scheme of things, I doubt I can get an answer but thought it’d be worth checking out. 
Thanks!
Edit: Seeing the allergist Monday. The doctor said to take a Zyrtec every night before bed and absolutely avoid all hummus products (my first large reaction was red pepper hummus). Was able to eat boiled chicken and rice with no problem today. Feeling relieved to be getting close to answers.</t>
        </is>
      </c>
      <c r="D1005" t="n">
        <v>2</v>
      </c>
      <c r="E1005" t="n">
        <v>11</v>
      </c>
      <c r="F1005">
        <f>HYPERLINK("https://www.reddit.com/r/COVID19positive/comments/ghw4yp/update_finally_recovering_allergic_reactions/")</f>
        <v/>
      </c>
      <c r="G1005" t="inlineStr">
        <is>
          <t>2020-05-11 13:47:26</t>
        </is>
      </c>
      <c r="H1005" t="inlineStr">
        <is>
          <t>Tested Positive - Me</t>
        </is>
      </c>
    </row>
    <row r="1006">
      <c r="A1006" t="inlineStr">
        <is>
          <t>ghw82j</t>
        </is>
      </c>
      <c r="B1006" t="inlineStr">
        <is>
          <t>My husband and I tested positive and are still experiencing symptoms after 10 weeks</t>
        </is>
      </c>
      <c r="C1006" t="inlineStr">
        <is>
          <t>My Husband and I still feel chest tightness and have days where it’s harder to breathe. It’s been about 10 weeks now and everything we have read is telling us that we shouldnt have any symptoms anymore. Just curious to see if others have experienced prolong chest tightness after the typical symptomatic window.</t>
        </is>
      </c>
      <c r="D1006" t="n">
        <v>4</v>
      </c>
      <c r="E1006" t="n">
        <v>33</v>
      </c>
      <c r="F1006">
        <f>HYPERLINK("https://www.reddit.com/r/COVID19positive/comments/ghw82j/my_husband_and_i_tested_positive_and_are_still/")</f>
        <v/>
      </c>
      <c r="G1006" t="inlineStr">
        <is>
          <t>2020-05-11 13:52:37</t>
        </is>
      </c>
      <c r="H1006" t="inlineStr">
        <is>
          <t>Tested Positive - Me</t>
        </is>
      </c>
    </row>
    <row r="1007">
      <c r="A1007" t="inlineStr">
        <is>
          <t>ghx2x4</t>
        </is>
      </c>
      <c r="B1007" t="inlineStr">
        <is>
          <t>Great info</t>
        </is>
      </c>
      <c r="C1007" t="inlineStr">
        <is>
          <t>https://www.wsj.com/video/why-fully-recovering-from-coronavirus-might-take-longer-than-expected/985A51E7-D3C9-4375-BC3B-9E5E2E03691E.html</t>
        </is>
      </c>
      <c r="D1007" t="n">
        <v>2</v>
      </c>
      <c r="E1007" t="n">
        <v>2</v>
      </c>
      <c r="F1007">
        <f>HYPERLINK("https://www.reddit.com/r/COVID19positive/comments/ghx2x4/great_info/")</f>
        <v/>
      </c>
      <c r="G1007" t="inlineStr">
        <is>
          <t>2020-05-11 14:39:42</t>
        </is>
      </c>
      <c r="H1007" t="inlineStr">
        <is>
          <t>Presumed Positive - From Doctor</t>
        </is>
      </c>
    </row>
    <row r="1008">
      <c r="A1008" t="inlineStr">
        <is>
          <t>ghx379</t>
        </is>
      </c>
      <c r="B1008" t="inlineStr">
        <is>
          <t>For those with taste or smell issues, good info in this podcast, as well as other neurological symptoms</t>
        </is>
      </c>
      <c r="C1008" t="inlineStr">
        <is>
          <t>The Mayo clinic podcast:
https://newsnetwork.mayoclinic.org/discussion/mayo-clinic-qa-podcast-possible-neurological-effects-of-covid-19/</t>
        </is>
      </c>
      <c r="D1008" t="n">
        <v>1</v>
      </c>
      <c r="E1008" t="n">
        <v>2</v>
      </c>
      <c r="F1008">
        <f>HYPERLINK("https://www.reddit.com/r/COVID19positive/comments/ghx379/for_those_with_taste_or_smell_issues_good_info_in/")</f>
        <v/>
      </c>
      <c r="G1008" t="inlineStr">
        <is>
          <t>2020-05-11 14:40:06</t>
        </is>
      </c>
      <c r="H1008" t="inlineStr">
        <is>
          <t>Tested Positive</t>
        </is>
      </c>
    </row>
    <row r="1009">
      <c r="A1009" t="inlineStr">
        <is>
          <t>ghz1z7</t>
        </is>
      </c>
      <c r="B1009" t="inlineStr">
        <is>
          <t>60+ Days, Antibody Test Negative. WTF</t>
        </is>
      </c>
      <c r="C1009" t="inlineStr">
        <is>
          <t>Background
31M NYC
All symptoms minus vomiting
60 Days
Went for antibody testing here in NYC at the CityMD and just got back my results. Negative. Test was only the IGG but per their website they use the Abbott test which is supposed to be super accurate. I don’t know how that’s possible this long since my symptoms started. I don’t know if I can truly trust any test out right now but it’s very defeating news to get if true because whatever it hitting me is miserable and to know 2 months have gone by and I haven’t even earned my “potential” immunity hurts.</t>
        </is>
      </c>
      <c r="D1009" t="n">
        <v>7</v>
      </c>
      <c r="E1009" t="n">
        <v>95</v>
      </c>
      <c r="F1009">
        <f>HYPERLINK("https://www.reddit.com/r/COVID19positive/comments/ghz1z7/60_days_antibody_test_negative_wtf/")</f>
        <v/>
      </c>
      <c r="G1009" t="inlineStr">
        <is>
          <t>2020-05-11 16:24:35</t>
        </is>
      </c>
      <c r="H1009" t="inlineStr">
        <is>
          <t>Presumed Positive - From Doctor</t>
        </is>
      </c>
    </row>
    <row r="1010">
      <c r="A1010" t="inlineStr">
        <is>
          <t>ghz3f1</t>
        </is>
      </c>
      <c r="B1010" t="inlineStr">
        <is>
          <t>Day 60+ and still struggling... anyone’s been this long and any data on when and if there’s a recovery...</t>
        </is>
      </c>
      <c r="C1010" t="inlineStr">
        <is>
          <t>It’s started for me around March 10th. With GI issues and all that followed. Now with sharp stabbing pain this week in chest. Got to a cardiologist who saw me last week and seemed least interested in finding the cause and just said could be tachycardia as I see some minor pvc which is normal and nothing to worry about. Imagine hr goes from 60-115 in an instant. Sharp stabbing pain on left side of chest (I’m suspecting pericarditis). Palpitations, feel like sometime like a electric shock when heart hears. Causes insomnia. And it’s 60+ days. 
Does anyone have any data from China or places this has been going on for longer on when is the end in sight</t>
        </is>
      </c>
      <c r="D1010" t="n">
        <v>1</v>
      </c>
      <c r="E1010" t="n">
        <v>11</v>
      </c>
      <c r="F1010">
        <f>HYPERLINK("https://www.reddit.com/r/COVID19positive/comments/ghz3f1/day_60_and_still_struggling_anyones_been_this/")</f>
        <v/>
      </c>
      <c r="G1010" t="inlineStr">
        <is>
          <t>2020-05-11 16:26:56</t>
        </is>
      </c>
      <c r="H1010" t="inlineStr">
        <is>
          <t>Presumed Positive - From Doctor</t>
        </is>
      </c>
    </row>
    <row r="1011">
      <c r="A1011" t="inlineStr">
        <is>
          <t>ghzngl</t>
        </is>
      </c>
      <c r="B1011" t="inlineStr">
        <is>
          <t>Shortness of Breath or Anxiety</t>
        </is>
      </c>
      <c r="C1011" t="inlineStr">
        <is>
          <t>Hello everyone.  Been trying to stay offline because I get carried away and in my head reading too much about this stuff.  But today I had a bad day.  I think Im getting shortness of breath.  I am on day 17 of this illness and I had to go back to work today.  I tested negative twice over the weekend and a dr. cleared me.  Anyway at work I thought I was getting shortness of breath, but I also suffer with anxiety so I cant tell.  Anyway is a good way to tell.?  My Spo2 is at 97.</t>
        </is>
      </c>
      <c r="D1011" t="n">
        <v>1</v>
      </c>
      <c r="E1011" t="n">
        <v>22</v>
      </c>
      <c r="F1011">
        <f>HYPERLINK("https://www.reddit.com/r/COVID19positive/comments/ghzngl/shortness_of_breath_or_anxiety/")</f>
        <v/>
      </c>
      <c r="G1011" t="inlineStr">
        <is>
          <t>2020-05-11 16:58:05</t>
        </is>
      </c>
      <c r="H1011" t="inlineStr">
        <is>
          <t>Tested Positive</t>
        </is>
      </c>
    </row>
    <row r="1012">
      <c r="A1012" t="inlineStr">
        <is>
          <t>gi0r6g</t>
        </is>
      </c>
      <c r="B1012" t="inlineStr">
        <is>
          <t>Prolonged COVID symptoms - an explanation?</t>
        </is>
      </c>
      <c r="C1012" t="inlineStr">
        <is>
          <t>As I contemplate going on steroids for my persistent and seemingly endless cycling of sore throat, SOB, chest pressure/cramping, ectopy (PVCs), something I like to call chest anxiety, and variable fatigue, I found this and felt like it was the first time I found a medical explanation that actually was capable of explaining what I felt like my body was going through physiologically. I have no clue if this is relevant to us and this virus but the few ppl here who've said steroids changed the game for them with persistent symptoms makes me wonder and hope.
https://www.nature.com/articles/ncpendmet0007
https://pubmed.ncbi.nlm.nih.gov/15488660/
https://link.springer.com/article/10.1007/s12020-020-02325-1</t>
        </is>
      </c>
      <c r="D1012" t="n">
        <v>2</v>
      </c>
      <c r="E1012" t="n">
        <v>37</v>
      </c>
      <c r="F1012">
        <f>HYPERLINK("https://www.reddit.com/r/COVID19positive/comments/gi0r6g/prolonged_covid_symptoms_an_explanation/")</f>
        <v/>
      </c>
      <c r="G1012" t="inlineStr">
        <is>
          <t>2020-05-11 18:02:22</t>
        </is>
      </c>
      <c r="H1012" t="inlineStr">
        <is>
          <t>Tested Positive - Me</t>
        </is>
      </c>
    </row>
    <row r="1013">
      <c r="A1013" t="inlineStr">
        <is>
          <t>gi1343</t>
        </is>
      </c>
      <c r="B1013" t="inlineStr">
        <is>
          <t>Low/high heart rate</t>
        </is>
      </c>
      <c r="C1013" t="inlineStr">
        <is>
          <t>25M, healthy BMI, in shape/runner/workout 3-4xweek
Don’t smoke and haven’t had a drink since 12/31/19, but barely drank before then.
I’ve been experiencing super mild symptoms aside from SOB which as lasted since late march. Im starting to worry if I’m experiencing silent hypoxia because my heart rate is super abnormal.
Typically, it’s around 45-55 resting but lately it’s been 55-75 resting and 110-120 walking.
Im alarmed because just a moment ago while I was relaxing on the couch, it dropped to 35, which I’ve never had happen before (while awake at least). I ordered an oximeter in the mail but it hasn’t come in yet. 
Also, lately when I’ve been going to bed (not easy with SOB), I’ve been waking up lightheaded and double vision (like cross-eyed almost for a second or two).
I went to the doc last week and they checked my Oxygen levels and it was at 99% but I’m worried that it may have been inaccurate. 
Any thoughts?</t>
        </is>
      </c>
      <c r="D1013" t="n">
        <v>1</v>
      </c>
      <c r="E1013" t="n">
        <v>19</v>
      </c>
      <c r="F1013">
        <f>HYPERLINK("https://www.reddit.com/r/COVID19positive/comments/gi1343/lowhigh_heart_rate/")</f>
        <v/>
      </c>
      <c r="G1013" t="inlineStr">
        <is>
          <t>2020-05-11 18:22:00</t>
        </is>
      </c>
      <c r="H1013" t="inlineStr">
        <is>
          <t>Presumed Positive - From Doctor</t>
        </is>
      </c>
    </row>
    <row r="1014">
      <c r="A1014" t="inlineStr">
        <is>
          <t>gi1w2n</t>
        </is>
      </c>
      <c r="B1014" t="inlineStr">
        <is>
          <t>Tested positive for corona today after testing negative for IgM and positive for IgG</t>
        </is>
      </c>
      <c r="C1014" t="inlineStr">
        <is>
          <t>I got an antibody last week because I was in affected European regions in early February (Milan) and my whole study abroad floor experienced flu like symptoms around the same time. Tested IgG positive and IgM negative. (And didn’t experience any symptoms since the ones in February.) Today I tested positive for Corona-super shocked since the antibody results would signal I’ve already had it and have developed immunity but am positive nonetheless. Not sure if it’s somehow lingered since I first showed symptoms, I’ve caught a different strain, or I simply didn’t have it until now and the antibody test was botched... but in any case, super weird! Feeling totally fine fortunately as I am young and healthy.</t>
        </is>
      </c>
      <c r="D1014" t="n">
        <v>1</v>
      </c>
      <c r="E1014" t="n">
        <v>17</v>
      </c>
      <c r="F1014">
        <f>HYPERLINK("https://www.reddit.com/r/COVID19positive/comments/gi1w2n/tested_positive_for_corona_today_after_testing/")</f>
        <v/>
      </c>
      <c r="G1014" t="inlineStr">
        <is>
          <t>2020-05-11 19:09:44</t>
        </is>
      </c>
      <c r="H1014" t="inlineStr">
        <is>
          <t>Tested Positive - Me</t>
        </is>
      </c>
    </row>
    <row r="1015">
      <c r="A1015" t="inlineStr">
        <is>
          <t>gi39o0</t>
        </is>
      </c>
      <c r="B1015" t="inlineStr">
        <is>
          <t>Post Viral Fatigue Syndrome - I’m not going crazy!!!</t>
        </is>
      </c>
      <c r="C1015" t="inlineStr">
        <is>
          <t>This has been the most informative information Ive read in 60 + days since initally having Covid-19. I feel the medical professionals have let me (personlly) down by attributing my post virus with anxiety or something else. Ive tested positive for the IgG antibidies and 60 days later experiencing many of the symptoms on the report below. I hope this becomes a conversarion among medical professionals and topic for people suffering to collaborare on. 
[post viral fatigue syndrome (article)](https://www.meassociation.org.uk/wp-content/uploads/MEA-PVF-and-PVFS-Following-Coronavirus-Infection-30.04.20.pdf)</t>
        </is>
      </c>
      <c r="D1015" t="n">
        <v>1</v>
      </c>
      <c r="E1015" t="n">
        <v>54</v>
      </c>
      <c r="F1015">
        <f>HYPERLINK("https://www.reddit.com/r/COVID19positive/comments/gi39o0/post_viral_fatigue_syndrome_im_not_going_crazy/")</f>
        <v/>
      </c>
      <c r="G1015" t="inlineStr">
        <is>
          <t>2020-05-11 20:35:37</t>
        </is>
      </c>
      <c r="H1015" t="inlineStr">
        <is>
          <t>Tested Positive - Me</t>
        </is>
      </c>
    </row>
    <row r="1016">
      <c r="A1016" t="inlineStr">
        <is>
          <t>gi3gdn</t>
        </is>
      </c>
      <c r="B1016" t="inlineStr">
        <is>
          <t>Anybody else keep smelling like something is burning (incense, candles).</t>
        </is>
      </c>
      <c r="C1016" t="inlineStr">
        <is>
          <t>Im presumed positive as I came in contact with (May 3) and now, a positive diagnosed person. Symptoms began about 4 days later. Felt body aches and fever for 2 days straight. Reduced it with Advil and some Alkaseltzer cold dissolveable tablets. This past Saturday I felt fine, fever was fluctuating between 98-100. Sunday I began smelling this burning scent but I can still smell other things if I get close to them. 
Not sure if my body is recovering or it's still in the beginning phases. I'm on day 8 from contact and luckily it's not as serious as others so far. 
Am gonna get tested tomorrow.</t>
        </is>
      </c>
      <c r="D1016" t="n">
        <v>1</v>
      </c>
      <c r="E1016" t="n">
        <v>18</v>
      </c>
      <c r="F1016">
        <f>HYPERLINK("https://www.reddit.com/r/COVID19positive/comments/gi3gdn/anybody_else_keep_smelling_like_something_is/")</f>
        <v/>
      </c>
      <c r="G1016" t="inlineStr">
        <is>
          <t>2020-05-11 20:48:25</t>
        </is>
      </c>
      <c r="H1016" t="inlineStr">
        <is>
          <t>Presumed Positive - From Test</t>
        </is>
      </c>
    </row>
    <row r="1017">
      <c r="A1017" t="inlineStr">
        <is>
          <t>gi3tu3</t>
        </is>
      </c>
      <c r="B1017" t="inlineStr">
        <is>
          <t>38 days and still lacking taste and smell</t>
        </is>
      </c>
      <c r="C1017" t="inlineStr">
        <is>
          <t>Is this normal? Has anyone else lost it for this long here? It's starting to piss me off and depress me. I'm worried that it may be permanent at this point</t>
        </is>
      </c>
      <c r="D1017" t="n">
        <v>1</v>
      </c>
      <c r="E1017" t="n">
        <v>14</v>
      </c>
      <c r="F1017">
        <f>HYPERLINK("https://www.reddit.com/r/COVID19positive/comments/gi3tu3/38_days_and_still_lacking_taste_and_smell/")</f>
        <v/>
      </c>
      <c r="G1017" t="inlineStr">
        <is>
          <t>2020-05-11 21:13:42</t>
        </is>
      </c>
      <c r="H1017" t="inlineStr">
        <is>
          <t>Tested Positive - Me</t>
        </is>
      </c>
    </row>
    <row r="1018">
      <c r="A1018" t="inlineStr">
        <is>
          <t>gi4zav</t>
        </is>
      </c>
      <c r="B1018" t="inlineStr">
        <is>
          <t>After 50(??) days, my wife is recovered.</t>
        </is>
      </c>
      <c r="C1018" t="inlineStr">
        <is>
          <t>You can find links to more of our story in my post history. My whole family was presumed positive and my wife tested positive. 
It’s crazy to me that she was the only one of us who really got sick, but doctors say we’re all pretty much in the clear as of today. 
My wife had what they considered a severe case. She was hospitalized and on a ventilator. I wanted to write more about it, but I feel like I just... can’t. I want to forget it ever happened. I can’t explain how scared I was... how scared SHE was. 
When she came home, our toddler cried in a way that I don’t think I knew small children could cry. This was life changing for all of us. Thank you to those of you that checked in with me over the last several weeks. I wish I had more to say. I just wanted to give a positive update and let people know that even when things get really bad there’s still hope for recovery.</t>
        </is>
      </c>
      <c r="D1018" t="n">
        <v>1</v>
      </c>
      <c r="E1018" t="n">
        <v>21</v>
      </c>
      <c r="F1018">
        <f>HYPERLINK("https://www.reddit.com/r/COVID19positive/comments/gi4zav/after_50_days_my_wife_is_recovered/")</f>
        <v/>
      </c>
      <c r="G1018" t="inlineStr">
        <is>
          <t>2020-05-11 22:36:47</t>
        </is>
      </c>
      <c r="H1018" t="inlineStr">
        <is>
          <t>Tested Positive - Family</t>
        </is>
      </c>
    </row>
    <row r="1019">
      <c r="A1019" t="inlineStr">
        <is>
          <t>gi7yd0</t>
        </is>
      </c>
      <c r="B1019" t="inlineStr">
        <is>
          <t>Anyone has had long lasting periods experiencing palpitations with Covid?</t>
        </is>
      </c>
      <c r="C1019" t="inlineStr">
        <is>
          <t>27F. I’m awaiting my test results but am scared. I have fever and a bit of chest discomfort. Have had bad fatigue, dizziness, bit of diarrhea so far as well. Scariest part so far have been the palpitations or really fast heart beating/ pounding that has been lasting a long time. BPM has gone to the 80’s-90’s in the bad moments while resting. I went to the ER last Friday and EKG/ blood work/ x-ray came out fine, but that was already a few days ago. I also contacted my PCP and am awaiting a referral to a cardiologist, but that could take a while...
Anyone in a similar experience? If so, what have you done to cope? Please help.</t>
        </is>
      </c>
      <c r="D1019" t="n">
        <v>1</v>
      </c>
      <c r="E1019" t="n">
        <v>21</v>
      </c>
      <c r="F1019">
        <f>HYPERLINK("https://www.reddit.com/r/COVID19positive/comments/gi7yd0/anyone_has_had_long_lasting_periods_experiencing/")</f>
        <v/>
      </c>
      <c r="G1019" t="inlineStr">
        <is>
          <t>2020-05-12 02:30:10</t>
        </is>
      </c>
      <c r="H1019" t="inlineStr">
        <is>
          <t>Presumed Positive - From Doctor</t>
        </is>
      </c>
    </row>
    <row r="1020">
      <c r="A1020" t="inlineStr">
        <is>
          <t>gi987g</t>
        </is>
      </c>
      <c r="B1020" t="inlineStr">
        <is>
          <t>Stay positive on the recovery journey still notice some strange symptoms: Cold /numbness in toes and fingers</t>
        </is>
      </c>
      <c r="C1020" t="inlineStr">
        <is>
          <t>I started this covid19 journey on the 16th March, think I started to feel more like myself from week5... still not 100% which sucks, but I stay positive as most flare ups are manageable.
I am wondering if anyone experiencing numbness in the fingers/toes? (Pins and needles) extremely cold toes, if so did it go away ? What you use to manage the symptoms 
Other symptoms (how I feel) I still have flare ups: headache, warm head ( no fever), head pressure seems to be generated from inner ear.. dizziness/lightheaded, increased heart rate when walking, needs for deep breath but not always able to take it all in 
Tests done around week4/5: xRay clear, blood oxygen perfect, all other blood work ok (including d-Dimer), echocardiogram done seems all good 
I guess only time will heal my body..appreciate if you have tips to share together</t>
        </is>
      </c>
      <c r="D1020" t="n">
        <v>1</v>
      </c>
      <c r="E1020" t="n">
        <v>17</v>
      </c>
      <c r="F1020">
        <f>HYPERLINK("https://www.reddit.com/r/COVID19positive/comments/gi987g/stay_positive_on_the_recovery_journey_still/")</f>
        <v/>
      </c>
      <c r="G1020" t="inlineStr">
        <is>
          <t>2020-05-12 04:13:15</t>
        </is>
      </c>
      <c r="H1020" t="inlineStr">
        <is>
          <t>Presumed Positive - From Doctor</t>
        </is>
      </c>
    </row>
    <row r="1021">
      <c r="A1021" t="inlineStr">
        <is>
          <t>gi9ame</t>
        </is>
      </c>
      <c r="B1021" t="inlineStr">
        <is>
          <t>Today my dad had his final battle with COVID</t>
        </is>
      </c>
      <c r="C1021" t="inlineStr">
        <is>
          <t>And today, heaven gained a new angel.
I want to thank everyone in this thread for sharing their stories and journeys. These past three weeks have been a rollercoaster, but I can honestly say that I was so happy to have found this community.
Reading so many different stories has helped my family and my family immensely. It helped me understand the ups and downs my father went through, right until the end.
What I do want to say is if you or a loved one is fighting this virus, please don’t be afraid to reach out to this community for answers and support. Out of everyone I knew, I found the most comfort in strangers—those who truly understood what it was like to experience COVID.
I also want to thank any healthcare or any other essential worker out there. You, like the brave workers who helped my dad ‘til the end, deserve so much love and more.
Please take care everyone. Spread love.</t>
        </is>
      </c>
      <c r="D1021" t="n">
        <v>1</v>
      </c>
      <c r="E1021" t="n">
        <v>130</v>
      </c>
      <c r="F1021">
        <f>HYPERLINK("https://www.reddit.com/r/COVID19positive/comments/gi9ame/today_my_dad_had_his_final_battle_with_covid/")</f>
        <v/>
      </c>
      <c r="G1021" t="inlineStr">
        <is>
          <t>2020-05-12 04:18:21</t>
        </is>
      </c>
      <c r="H1021" t="inlineStr">
        <is>
          <t>Tested Positive - Family</t>
        </is>
      </c>
    </row>
    <row r="1022">
      <c r="A1022" t="inlineStr">
        <is>
          <t>giae90</t>
        </is>
      </c>
      <c r="B1022" t="inlineStr">
        <is>
          <t>Advice for caregivers of Positive family member</t>
        </is>
      </c>
      <c r="C1022" t="inlineStr">
        <is>
          <t>My partner was tested yesterday-  we now wait for the results. He has had diarrhea first day, fever bouncing all around up to 104 (Tylenol is keeping it down), burning eyes, headaches, night sweats, aches, chills, dizziness when moving too much. We are on day 4 of symptoms today and he is starting a dry cough and chest tightness but not bad. 
Good things: he is fairly healthy, we have a pulse oximeter (readings still good), and we have a best friend who is an ER Dr so she has been guiding us through the clinical what to expect and look for. She also is concerned about his viral load due to the high fever so I am not going in room at all and if I have any contact to pick up dishes etc. I am to wear a n95, goggles, gloves, and hair covering. That info was terrifying.
Any advice for me as a caregiver to him? I try to keep him eating, keep texting him when he texts, we call a few times a day. We took a small card table and chair in the bedroom so he has somewhere different to sit. What else can I do to help him be as comfortable as possible? Any tips or tricks you found helpful from your experiences? 
Also- if you had a positive test did they automatically test your family or not unless they showed symptoms? I have teenagers who I worry are showing very mild symptoms but no fever. This entire situation has me feeling so many emotions and only creating more questions. I know that is normal.</t>
        </is>
      </c>
      <c r="D1022" t="n">
        <v>1</v>
      </c>
      <c r="E1022" t="n">
        <v>14</v>
      </c>
      <c r="F1022">
        <f>HYPERLINK("https://www.reddit.com/r/COVID19positive/comments/giae90/advice_for_caregivers_of_positive_family_member/")</f>
        <v/>
      </c>
      <c r="G1022" t="inlineStr">
        <is>
          <t>2020-05-12 05:36:17</t>
        </is>
      </c>
      <c r="H1022" t="inlineStr">
        <is>
          <t>Presumed Positive - From Doctor</t>
        </is>
      </c>
    </row>
    <row r="1023">
      <c r="A1023" t="inlineStr">
        <is>
          <t>giaxfz</t>
        </is>
      </c>
      <c r="B1023" t="inlineStr">
        <is>
          <t>Bruising, symptom or not?</t>
        </is>
      </c>
      <c r="C1023" t="inlineStr">
        <is>
          <t>I know about covid toes and rashes. I woke up with a massive black n blue bruise on my thigh. Any correlation? 
For reference, I started feeling sick the first week of April. I'm mainly symptom free now.</t>
        </is>
      </c>
      <c r="D1023" t="n">
        <v>1</v>
      </c>
      <c r="E1023" t="n">
        <v>5</v>
      </c>
      <c r="F1023">
        <f>HYPERLINK("https://www.reddit.com/r/COVID19positive/comments/giaxfz/bruising_symptom_or_not/")</f>
        <v/>
      </c>
      <c r="G1023" t="inlineStr">
        <is>
          <t>2020-05-12 06:11:04</t>
        </is>
      </c>
      <c r="H1023" t="inlineStr">
        <is>
          <t>Tested Positive - Me</t>
        </is>
      </c>
    </row>
    <row r="1024">
      <c r="A1024" t="inlineStr">
        <is>
          <t>gibbvs</t>
        </is>
      </c>
      <c r="B1024" t="inlineStr">
        <is>
          <t>Do you suddenly forget the right word for a sentence during a conversation?</t>
        </is>
      </c>
      <c r="C1024" t="inlineStr">
        <is>
          <t>I was talking with my mom today and kept forgetting the right words during a convo and even mis-pronouncing some. 
I'm sure it isn't a stroke because my face is symmetrical, my memory is alright, and im overall alright whilst texting.
It only happens when im talking.</t>
        </is>
      </c>
      <c r="D1024" t="n">
        <v>1</v>
      </c>
      <c r="E1024" t="n">
        <v>5</v>
      </c>
      <c r="F1024">
        <f>HYPERLINK("https://www.reddit.com/r/COVID19positive/comments/gibbvs/do_you_suddenly_forget_the_right_word_for_a/")</f>
        <v/>
      </c>
      <c r="G1024" t="inlineStr">
        <is>
          <t>2020-05-12 06:35:16</t>
        </is>
      </c>
      <c r="H1024" t="inlineStr">
        <is>
          <t>Tested Positive - Me</t>
        </is>
      </c>
    </row>
    <row r="1025">
      <c r="A1025" t="inlineStr">
        <is>
          <t>gibi3f</t>
        </is>
      </c>
      <c r="B1025" t="inlineStr">
        <is>
          <t>Nearly 9 weeks. I’m feeling better, but I now have a dull ache in my lower leg, almost like cramp. Anyone else experienced this?</t>
        </is>
      </c>
      <c r="C1025" t="inlineStr">
        <is>
          <t>I was going to get some more tests done at the hospital but I was feeling better so I thought I’d wait to see how I felt and now I’m worried about this.</t>
        </is>
      </c>
      <c r="D1025" t="n">
        <v>1</v>
      </c>
      <c r="E1025" t="n">
        <v>16</v>
      </c>
      <c r="F1025">
        <f>HYPERLINK("https://www.reddit.com/r/COVID19positive/comments/gibi3f/nearly_9_weeks_im_feeling_better_but_i_now_have_a/")</f>
        <v/>
      </c>
      <c r="G1025" t="inlineStr">
        <is>
          <t>2020-05-12 06:45:28</t>
        </is>
      </c>
      <c r="H1025" t="inlineStr">
        <is>
          <t>Presumed Positive - From Doctor</t>
        </is>
      </c>
    </row>
    <row r="1026">
      <c r="A1026" t="inlineStr">
        <is>
          <t>gibkz7</t>
        </is>
      </c>
      <c r="B1026" t="inlineStr">
        <is>
          <t>Post Virus Symptoms - fatigue, headaches, dizziness, etc.</t>
        </is>
      </c>
      <c r="C1026" t="inlineStr">
        <is>
          <t>[Post Viral Syndrome Video](https://youtu.be/1MHlum4AOlY) excellent information for those suffering from symptoms for weeks and even months after the virus. You’re not alone.</t>
        </is>
      </c>
      <c r="D1026" t="n">
        <v>1</v>
      </c>
      <c r="E1026" t="n">
        <v>14</v>
      </c>
      <c r="F1026">
        <f>HYPERLINK("https://www.reddit.com/r/COVID19positive/comments/gibkz7/post_virus_symptoms_fatigue_headaches_dizziness/")</f>
        <v/>
      </c>
      <c r="G1026" t="inlineStr">
        <is>
          <t>2020-05-12 06:50:10</t>
        </is>
      </c>
      <c r="H1026" t="inlineStr">
        <is>
          <t>Tested Positive - Me</t>
        </is>
      </c>
    </row>
    <row r="1027">
      <c r="A1027" t="inlineStr">
        <is>
          <t>gibp04</t>
        </is>
      </c>
      <c r="B1027" t="inlineStr">
        <is>
          <t>The CDC says 72 hours fever free and you’re good to go back to your regular life routine</t>
        </is>
      </c>
      <c r="C1027" t="inlineStr">
        <is>
          <t>Couldn’t you still be contagious even though you aren’t running a fever?</t>
        </is>
      </c>
      <c r="D1027" t="n">
        <v>1</v>
      </c>
      <c r="E1027" t="n">
        <v>7</v>
      </c>
      <c r="F1027">
        <f>HYPERLINK("https://www.reddit.com/r/COVID19positive/comments/gibp04/the_cdc_says_72_hours_fever_free_and_youre_good/")</f>
        <v/>
      </c>
      <c r="G1027" t="inlineStr">
        <is>
          <t>2020-05-12 06:57:02</t>
        </is>
      </c>
      <c r="H1027" t="inlineStr">
        <is>
          <t>Tested Positive - Me</t>
        </is>
      </c>
    </row>
    <row r="1028">
      <c r="A1028" t="inlineStr">
        <is>
          <t>gickl6</t>
        </is>
      </c>
      <c r="B1028" t="inlineStr">
        <is>
          <t>FINALLY, Retested again last Fridaylll! Covid 19 nasal swab-NEG and have finally made just enough antibodies -POSITIVE (68F South Carolina sick since Nov!!!!)</t>
        </is>
      </c>
      <c r="C1028" t="inlineStr">
        <is>
          <t>Thank you God for your grace and healing!
3rd testing: NEG nasal swap for co-vid 19 and FINALLY just enough antibodies to test POS for co-vid 19.
I really doubted I'd see this day. I've been "stay at home" since Nov, exceptions only to doctors and specialists, including my oncologist. Due to low immunity caused by cancer, I never thought I'd get well and definitely never have enough antibodies against co-vid 19 and the many other viruses and illnesses to get a positive test result for co-vid 19.
Because of these reasons, I've been symptomatic since November. My journey has been much longer than most. My symptoms have been tough on my body and the "stay at home" quarantine was even more tough on my sanity! I struggled often and was questioned frequently by family, friends, and some OP here on this Reddit quorum.
I have proof for any other doubters and I have FINALLY been symptom free for 4 days (still have occasional headaches - but hey everyone have them sometimes) I call them "Relief Reminder Headaches" I still have not left my  my home except for Dr testing!
I want to thank all those who have prayed for me, those who have offered positive uplift and support, and God's grace and healing.
For those still fighting co-vid 19 symptoms - there is light at the end of the tunnel, no matter however long the journey. I pray for your symptom free days to be soon!
I'm a SURVIVOR! This is my second survivorship - Co-vid 19 and stage 4 ovarian cancer! I am truly blessed and thank God daily for these special extra days given to my life!</t>
        </is>
      </c>
      <c r="D1028" t="n">
        <v>1</v>
      </c>
      <c r="E1028" t="n">
        <v>73</v>
      </c>
      <c r="F1028">
        <f>HYPERLINK("https://www.reddit.com/r/COVID19positive/comments/gickl6/finally_retested_again_last_fridaylll_covid_19/")</f>
        <v/>
      </c>
      <c r="G1028" t="inlineStr">
        <is>
          <t>2020-05-12 07:46:47</t>
        </is>
      </c>
      <c r="H1028" t="inlineStr">
        <is>
          <t>Tested Positive - Me</t>
        </is>
      </c>
    </row>
    <row r="1029">
      <c r="A1029" t="inlineStr">
        <is>
          <t>gicq5w</t>
        </is>
      </c>
      <c r="B1029" t="inlineStr">
        <is>
          <t>Any students here going through what I’m going?</t>
        </is>
      </c>
      <c r="C1029" t="inlineStr">
        <is>
          <t>Having summer college courses is both a blessing and a curse in that it keeps me busy but it’s damn hard keeping up while also looking out for my health and dealing with all these symptoms. I’m already falling behind in my classes cause yesterday I just wanted nothing more than to sleep during my class discussion. It doesn’t help that I’ve asked the professor for due date extensions two days ago and he hasn’t responded yet.</t>
        </is>
      </c>
      <c r="D1029" t="n">
        <v>1</v>
      </c>
      <c r="E1029" t="n">
        <v>6</v>
      </c>
      <c r="F1029">
        <f>HYPERLINK("https://www.reddit.com/r/COVID19positive/comments/gicq5w/any_students_here_going_through_what_im_going/")</f>
        <v/>
      </c>
      <c r="G1029" t="inlineStr">
        <is>
          <t>2020-05-12 07:55:30</t>
        </is>
      </c>
      <c r="H1029" t="inlineStr">
        <is>
          <t>Presumed Positive - From Test</t>
        </is>
      </c>
    </row>
    <row r="1030">
      <c r="A1030" t="inlineStr">
        <is>
          <t>gid6j1</t>
        </is>
      </c>
      <c r="B1030" t="inlineStr">
        <is>
          <t>If you tested positive for antibodies do you need another swab test?</t>
        </is>
      </c>
      <c r="C1030" t="inlineStr">
        <is>
          <t>Short story I tested positive for virus on the 20th of April. No fever since 22nd. Tested positive for antibodies on the 6th of May. Doc said I could come in a week later for a swab test if I wanted to. My local rite aid is doing free testing but ran out of appointments today  so I called the store hoping there still might be a window for me. I told her about testing positive for antibodies and she told me I can't take the swab test again. I read on here that some places won't let you take the test again if you tested positive for antibodies. The only symptom I have now is a cough. My anxiety is a whole nother matter.  
My question is why is this and if it's really necessary for a second test? I read that some nurses has said that positive antibodies mean either you don't have it or not contagious but I know a person that's positive for antibodies but still relapsed (granted she never stayed home and practiced social distance). I'm gonna call my PCP and ask for the test for a piece of mind but I wanted to use Rite Aid as my second test. I'm gonna make an appointment there tomorrow too to see what happens (sneak a test I guess) and make the appointment for my doctor the next day.  I'm just wondering if it's necessary for me to do this now.</t>
        </is>
      </c>
      <c r="D1030" t="n">
        <v>1</v>
      </c>
      <c r="E1030" t="n">
        <v>7</v>
      </c>
      <c r="F1030">
        <f>HYPERLINK("https://www.reddit.com/r/COVID19positive/comments/gid6j1/if_you_tested_positive_for_antibodies_do_you_need/")</f>
        <v/>
      </c>
      <c r="G1030" t="inlineStr">
        <is>
          <t>2020-05-12 08:19:41</t>
        </is>
      </c>
      <c r="H1030" t="inlineStr">
        <is>
          <t>Tested Positive</t>
        </is>
      </c>
    </row>
    <row r="1031">
      <c r="A1031" t="inlineStr">
        <is>
          <t>gifcc0</t>
        </is>
      </c>
      <c r="B1031" t="inlineStr">
        <is>
          <t>How do you convince doctors to run tests when you have symptoms for longer periods of time? Not being taken seriously anymore.</t>
        </is>
      </c>
      <c r="C1031" t="inlineStr">
        <is>
          <t>I’m on 7+ weeks now of active symptoms. Oxygen level is normal, but the pain while breathing and shortness of breath is constant. I’m always exhausted, always having a tightness in my chest. I’ve seen some posts on here about post viral syndrome and doctors running bloodwork. 
I’ve gone to walk in clinics, spoken to my own doctor, done virtual doctors appointments, and they all have told me the same thing. Symptoms linger and there’s nothing they can do. And I totally get it, but I feel like every single day is a struggle and I really don’t think I’m being taken seriously. I had another test done, and I am still positive for covid while minimal with antibodies. 
Any advice would be greatly appreciated.</t>
        </is>
      </c>
      <c r="D1031" t="n">
        <v>1</v>
      </c>
      <c r="E1031" t="n">
        <v>20</v>
      </c>
      <c r="F1031">
        <f>HYPERLINK("https://www.reddit.com/r/COVID19positive/comments/gifcc0/how_do_you_convince_doctors_to_run_tests_when_you/")</f>
        <v/>
      </c>
      <c r="G1031" t="inlineStr">
        <is>
          <t>2020-05-12 10:06:54</t>
        </is>
      </c>
      <c r="H1031" t="inlineStr">
        <is>
          <t>Tested Positive - Me</t>
        </is>
      </c>
    </row>
    <row r="1032">
      <c r="A1032" t="inlineStr">
        <is>
          <t>gifoxb</t>
        </is>
      </c>
      <c r="B1032" t="inlineStr">
        <is>
          <t>28M Mass. Confirmed Positive by Doctor. 2 Negative tests, waiting on third. Day 14</t>
        </is>
      </c>
      <c r="C1032" t="inlineStr">
        <is>
          <t>It's been a long journey. It's probably more like day 30+ at least of fatigue and extreme muscle aches but it's day 14 of shortness of breath. Day 7 of lungs burning and chest pain. Anxiety about this is through the roof and it's all scary to me. FYI 28M, cyclist, 165lbs 5'8. No cycling for me at the moment! 
Yesterday was first in person visit to a COVID center (non-ER) to finally get a checkup after testing negative twice (Quest). A generally feel okay in the morning, brother is an EMT, sister is an RN, and I consult them very frequently to help distinguish anxiety from actual health problems. It's been a mix of having really bad days and okay days. But never able to do more than walk around the house. However, we all decided this is allergy induced asthma, and i'm going to take my flovent, albuterol, flonase, and Allegra. Which haven't really been doing much and it's odd that my asthma all of the sudden returns after about 20 years of not having it. So I made an appointment just to be sure I don't have un-related pneumonia because that's what it feels like to me, and if it's bacterial...gotta get that taken care of. 
Went to primary care respiratory center, n95, safety glasses, gloves, hand sanitizer, and all. They wear full PPE, get you from your car, and escort you straight to the room to be seen by Doctor.
Told him my story, he listened to my lungs, and he said I have COVID no question. I'm absolutely miserable but I was actually a little surprised given that I don't have a cough or fever. Just awful shortness of breath and my lungs are on fire, muscle/joint pain, and i'm clammy AF. My lungs are crackling like pneumonia and he said it probably won't show up on the Xray and he was right. COVID pneumonia when it's mild like mine is in small patches, not like traditional where there will be a big black spot on the Xray. 
Anyways, doing Ok. SP02 &amp;gt;98, Blood work came back fine, he did not do an anti-body test, lymphocytes are 28.2 which is on the lower side of the scale but still okay and same with basophils. But i'm not a Dr. so can't comment. 
I listen to the advice of Chris Masterjohn, PHD nutritionist who seems to really know what he's researching. His suggestion is actually not any more C or D than you get from diet or sunlight, but to take 900mg of echinacea, zinc lozenge every hour (totaling 60-100mg), 1 clove of garlic a day, 1000mg of elderberry, and liquid copper. Anyone else heard of him? His research is all based on ACE-2 and replication of the virus. Basically some things can create more ACE-2 receptors which is bad and the above either block the spike or slow down/void replication. Thoughts? Zinc seems to be the most helpful by far.</t>
        </is>
      </c>
      <c r="D1032" t="n">
        <v>1</v>
      </c>
      <c r="E1032" t="n">
        <v>12</v>
      </c>
      <c r="F1032">
        <f>HYPERLINK("https://www.reddit.com/r/COVID19positive/comments/gifoxb/28m_mass_confirmed_positive_by_doctor_2_negative/")</f>
        <v/>
      </c>
      <c r="G1032" t="inlineStr">
        <is>
          <t>2020-05-12 10:23:23</t>
        </is>
      </c>
      <c r="H1032" t="inlineStr">
        <is>
          <t>Presumed Positive - From Doctor</t>
        </is>
      </c>
    </row>
    <row r="1033">
      <c r="A1033" t="inlineStr">
        <is>
          <t>giggon</t>
        </is>
      </c>
      <c r="B1033" t="inlineStr">
        <is>
          <t>Is this normal?</t>
        </is>
      </c>
      <c r="C1033" t="inlineStr">
        <is>
          <t>I just got my test results back for COVID-19 and it came back negative. The thing is, I still feel lingering symptoms from it, like headaches and tiredness. Is that normal?</t>
        </is>
      </c>
      <c r="D1033" t="n">
        <v>1</v>
      </c>
      <c r="E1033" t="n">
        <v>8</v>
      </c>
      <c r="F1033">
        <f>HYPERLINK("https://www.reddit.com/r/COVID19positive/comments/giggon/is_this_normal/")</f>
        <v/>
      </c>
      <c r="G1033" t="inlineStr">
        <is>
          <t>2020-05-12 10:57:21</t>
        </is>
      </c>
      <c r="H1033" t="inlineStr">
        <is>
          <t>Tested Positive - Me</t>
        </is>
      </c>
    </row>
    <row r="1034">
      <c r="A1034" t="inlineStr">
        <is>
          <t>gigups</t>
        </is>
      </c>
      <c r="B1034" t="inlineStr">
        <is>
          <t>Nurse asked me if my pain was worse than when Jesus died in the cross. Really ??</t>
        </is>
      </c>
      <c r="C1034" t="inlineStr">
        <is>
          <t>To start off with I am Covid positive. Started having symptoms the 18th of April and started isolation that day, and got tested the 28th . I have been feeling worse since this past Saturday. I went into the ER yesterday night at Scripps Mercy In Chula Vista on H St. My chest pain and upper back pain is getting worse to the point where my neck is stiff and it hurts when I try to move my neck. I can’t even comb my hair. I try not to go to the Doctors for anything unless I think it’s absolutely necessary. People that know me know that I’m good with Pain management and I don’t complain about anything that’s minor. But I am worried because of being Covid positive and since I’ve had bronchitis last week I was worried that it may have turned Into pneumonia. The stabbing pain in my back is horrible. Tylenol does not help. I went in the ER parking where they are registering Patients. The male nurse that took my vitals asked me what was wrong and I told him what I was feeling. Asked me in a scale of 1-10 how much pain I felt. I told him  I was really hurting, that I couldn’t even lie down on my back because of the pain so to me it was a 10. This nurse then asked me if my pain was worse “that when Jesus died in the cross”... I just looked at him, thinking of what I heard was right. He asked me again the same question. I told him how can you compare that to my situation ? Am I not allowed to feel pain ? Of course I’m not dying and bleeding out ! But my pain is not letting me sleep and I can’t stand it anymore. I have had twitching-jerking in my body for days now. I am scared this might be something else. This is a new illness that no one knows what new symptoms are. They make me feel like I shouldn’t complain about my pain, like hey stop complaining and go home your not dying. They don’t know how I feel. They can’t feel the stiffness, pressure, tightness I have in my chest and back. The massive headache I have and the numbness and pain in my neck. You are really going to compare my pain to what Jesus felt on the stake? This is why I wait to go to the doctor or hospital unless it’s absolutely necessary. When I can’t handle the pain anymore is when i have decided to go. Never going to Scripps again. This broke my heart and feelings toward nurses in this time I need them the most. By the way, the female nurses inside the ER hospital where so nice. This complaint is towards that specific male nurse that made me feel like shit, made me feel like a liar and exaggerating my pain. I know what pain is like. I have had twins with no anesthesia. I suffered 3 years of gallbladder pain and that was way worse than giving birth. Totally disappointed in how he minimized my pain and how I should feel. I was not going to complain about it but I can’t stop thinking about it and needed to take this off my chest. I am feeling so humiliated. I usually let things go but this just hit my heart. This Covid illness is new. How do you know what the pain level is ?? I can’t fucken breath right !!! I can’t lift my arms or do my bed without taking a rest every minute to breath grab air and stop coughing!!! Nurses inside where so nice, did an EKG, heart ultrasound, told me I was ok and send me home with stronger painkillers and muscle spasms medicine which has helped. I finally took a good nights rest. Woke up at 430 am and pain is back so the pills are exactly lasting 8 hours. Need no sympathy from anyone but please do not tell me that my pain isn’t as bad as Jesus when they brutally nailed him on the stake. That’s a horrible comparison. Shame on you especially if your religious and mentioning His name for that type of question. Next thing you know he will be asking me if it hurts when I breathe as much as the Jews when they were brutally gassed to death. No offense meant. Unbelievable.</t>
        </is>
      </c>
      <c r="D1034" t="n">
        <v>1</v>
      </c>
      <c r="E1034" t="n">
        <v>68</v>
      </c>
      <c r="F1034">
        <f>HYPERLINK("https://www.reddit.com/r/COVID19positive/comments/gigups/nurse_asked_me_if_my_pain_was_worse_than_when/")</f>
        <v/>
      </c>
      <c r="G1034" t="inlineStr">
        <is>
          <t>2020-05-12 11:14:14</t>
        </is>
      </c>
      <c r="H1034" t="inlineStr">
        <is>
          <t>Tested Positive - Me</t>
        </is>
      </c>
    </row>
    <row r="1035">
      <c r="A1035" t="inlineStr">
        <is>
          <t>giiowk</t>
        </is>
      </c>
      <c r="B1035" t="inlineStr">
        <is>
          <t>Covid Antibody IgG - what's it mean?</t>
        </is>
      </c>
      <c r="C1035" t="inlineStr">
        <is>
          <t>I got an antibody test about a month after having a positive covid test. The test was Bioreference and it came back with an IgG of 16.  The threshold is 15 to be positive for antibodies. Does an IgG of 16 translate into a titer? Is there any information about what IgG ranges are in the population for people who have had Covid. Is a higher IgG better?</t>
        </is>
      </c>
      <c r="D1035" t="n">
        <v>1</v>
      </c>
      <c r="E1035" t="n">
        <v>4</v>
      </c>
      <c r="F1035">
        <f>HYPERLINK("https://www.reddit.com/r/COVID19positive/comments/giiowk/covid_antibody_igg_whats_it_mean/")</f>
        <v/>
      </c>
      <c r="G1035" t="inlineStr">
        <is>
          <t>2020-05-12 12:40:47</t>
        </is>
      </c>
      <c r="H1035" t="inlineStr">
        <is>
          <t>Tested Positive</t>
        </is>
      </c>
    </row>
    <row r="1036">
      <c r="A1036" t="inlineStr">
        <is>
          <t>giixl0</t>
        </is>
      </c>
      <c r="B1036" t="inlineStr">
        <is>
          <t>Good just doesn’t taste good?</t>
        </is>
      </c>
      <c r="C1036" t="inlineStr">
        <is>
          <t>I’m on around day 18 since symptoms. Smell and taste slowly coming back I think. Problem is I don’t enjoy food. It doesn’t have the satisfaction it once had. Anyone experience this?</t>
        </is>
      </c>
      <c r="D1036" t="n">
        <v>1</v>
      </c>
      <c r="E1036" t="n">
        <v>8</v>
      </c>
      <c r="F1036">
        <f>HYPERLINK("https://www.reddit.com/r/COVID19positive/comments/giixl0/good_just_doesnt_taste_good/")</f>
        <v/>
      </c>
      <c r="G1036" t="inlineStr">
        <is>
          <t>2020-05-12 12:52:28</t>
        </is>
      </c>
      <c r="H1036" t="inlineStr">
        <is>
          <t>Tested Positive</t>
        </is>
      </c>
    </row>
    <row r="1037">
      <c r="A1037" t="inlineStr">
        <is>
          <t>gij3n7</t>
        </is>
      </c>
      <c r="B1037" t="inlineStr">
        <is>
          <t>Retested negative, okay to exercise?</t>
        </is>
      </c>
      <c r="C1037" t="inlineStr">
        <is>
          <t>I had a mild case with just loss of senses, no cough or respiratory issues. I got lucky but want my health back, as I feel super guilty for living the way I did before I was positive. 
I retested negative exactly 2 weeks after my smell and taste came back. I know many relapse so just wondering if you guys with mild cases who have been picking up exercising would recommend it after recovery. I didn’t experience shortness of breath during my case, and if I was positive the second time testing even with no symptoms I wouldn’t try to go for it. Any advice on picking up exercise in this case?</t>
        </is>
      </c>
      <c r="D1037" t="n">
        <v>1</v>
      </c>
      <c r="E1037" t="n">
        <v>17</v>
      </c>
      <c r="F1037">
        <f>HYPERLINK("https://www.reddit.com/r/COVID19positive/comments/gij3n7/retested_negative_okay_to_exercise/")</f>
        <v/>
      </c>
      <c r="G1037" t="inlineStr">
        <is>
          <t>2020-05-12 13:00:51</t>
        </is>
      </c>
      <c r="H1037" t="inlineStr">
        <is>
          <t>Tested Positive</t>
        </is>
      </c>
    </row>
    <row r="1038">
      <c r="A1038" t="inlineStr">
        <is>
          <t>gikmsf</t>
        </is>
      </c>
      <c r="B1038" t="inlineStr">
        <is>
          <t>Quarantining duration due to loss of smell and taste only.</t>
        </is>
      </c>
      <c r="C1038" t="inlineStr">
        <is>
          <t>Is there a general rule for how long a person needs to stay in quarantine when their only symptoms are loss of smell and taste and those symptoms have lessened. But they have not fully returned. 
I've been hearing that those symptoms can linger for even six to eight weeks (maybe longer!). Is a person supposed to remain in quarantine that entire time?</t>
        </is>
      </c>
      <c r="D1038" t="n">
        <v>1</v>
      </c>
      <c r="E1038" t="n">
        <v>16</v>
      </c>
      <c r="F1038">
        <f>HYPERLINK("https://www.reddit.com/r/COVID19positive/comments/gikmsf/quarantining_duration_due_to_loss_of_smell_and/")</f>
        <v/>
      </c>
      <c r="G1038" t="inlineStr">
        <is>
          <t>2020-05-12 14:17:32</t>
        </is>
      </c>
      <c r="H1038" t="inlineStr">
        <is>
          <t>Tested Positive - Me</t>
        </is>
      </c>
    </row>
    <row r="1039">
      <c r="A1039" t="inlineStr">
        <is>
          <t>gikv7r</t>
        </is>
      </c>
      <c r="B1039" t="inlineStr">
        <is>
          <t>Insomnia</t>
        </is>
      </c>
      <c r="C1039" t="inlineStr">
        <is>
          <t>Anyone been suffering from Insomnia. I’ve been on day 63 and still can barely sleep 2-3 hours each night. Just wake up after 2-3 hours and wide awake lying on the bed. Taken Melatonin and also Doxalymine Succinate (Sleep aid) and nothing seems to work. 
When awake at night if I put my head on pillow can hear fluid sounds and heart beats in my ears (Tinnusitis apparently). Also by morning my fingers are all swollen. Just wondering if anyone else has this going on too. 
Not sure what wakes me up but after it does I’m wide awake. Also when sleeping most weirdest dreams. 
Kindly share your thoughts and if you did anything that helped.</t>
        </is>
      </c>
      <c r="D1039" t="n">
        <v>1</v>
      </c>
      <c r="E1039" t="n">
        <v>8</v>
      </c>
      <c r="F1039">
        <f>HYPERLINK("https://www.reddit.com/r/COVID19positive/comments/gikv7r/insomnia/")</f>
        <v/>
      </c>
      <c r="G1039" t="inlineStr">
        <is>
          <t>2020-05-12 14:29:32</t>
        </is>
      </c>
      <c r="H1039" t="inlineStr">
        <is>
          <t>Presumed Positive - From Doctor</t>
        </is>
      </c>
    </row>
    <row r="1040">
      <c r="A1040" t="inlineStr">
        <is>
          <t>gil1gh</t>
        </is>
      </c>
      <c r="B1040" t="inlineStr">
        <is>
          <t>Tested positive and now I am recovered</t>
        </is>
      </c>
      <c r="C1040" t="inlineStr">
        <is>
          <t>This is my experience with coronavirus the day after I was positive April 9, 2020 at Massachusetts general hospital. My video blog from That day 
https://youtu.be/AsyNC3MyJt4</t>
        </is>
      </c>
      <c r="D1040" t="n">
        <v>1</v>
      </c>
      <c r="E1040" t="n">
        <v>11</v>
      </c>
      <c r="F1040">
        <f>HYPERLINK("https://www.reddit.com/r/COVID19positive/comments/gil1gh/tested_positive_and_now_i_am_recovered/")</f>
        <v/>
      </c>
      <c r="G1040" t="inlineStr">
        <is>
          <t>2020-05-12 14:38:39</t>
        </is>
      </c>
      <c r="H1040" t="inlineStr">
        <is>
          <t>Tested Positive</t>
        </is>
      </c>
    </row>
    <row r="1041">
      <c r="A1041" t="inlineStr">
        <is>
          <t>gilag1</t>
        </is>
      </c>
      <c r="B1041" t="inlineStr">
        <is>
          <t>Tachycardia emerging 40+ days in?</t>
        </is>
      </c>
      <c r="C1041" t="inlineStr">
        <is>
          <t>Hey all,
I’m a 28M. I suspect that I’ve been battling covid since April 1 based on what doctors have told me. Despite this, I’ve tested negative twice- once on 4/1, once on 5/2. Symptoms over the last month have included SOB, chest tightness, intermittent fevers, GI issues, fatigue. No flu I’ve ever experienced has led to these symptoms simultaneously.
Most recently, I’ve had heart palpitations over the last week, and this morning had tachycardia for the first time. My pulse wouldn’t dip below 115 even in a resting position, and would dart up to 140-50 when upright and walking. Fever was also over 100.
I went to an urgent care, and am awaiting bloodwork results (including an antibodies test). EKG only revealed a fast heart rate, and my x rays were good.
This is a long winded way of asking if anyone else has had Tachycardia emerge so late in the recovery process? And if anyone else’s recovery has followed a similar arm, that’d be awesome to hear as well.</t>
        </is>
      </c>
      <c r="D1041" t="n">
        <v>1</v>
      </c>
      <c r="E1041" t="n">
        <v>30</v>
      </c>
      <c r="F1041">
        <f>HYPERLINK("https://www.reddit.com/r/COVID19positive/comments/gilag1/tachycardia_emerging_40_days_in/")</f>
        <v/>
      </c>
      <c r="G1041" t="inlineStr">
        <is>
          <t>2020-05-12 14:52:06</t>
        </is>
      </c>
      <c r="H1041" t="inlineStr">
        <is>
          <t>Presumed Positive - From Doctor</t>
        </is>
      </c>
    </row>
    <row r="1042">
      <c r="A1042" t="inlineStr">
        <is>
          <t>gin6vk</t>
        </is>
      </c>
      <c r="B1042" t="inlineStr">
        <is>
          <t>Update on the speech issues I’ve developed..</t>
        </is>
      </c>
      <c r="C1042" t="inlineStr">
        <is>
          <t>I made a post last week asking if any other recovered people were having neurological issues after recovering. I’m on my phone and I’m not messing with trying to post the link with it. Long story not so short: I’m having issues when speaking, I forget a word and when I try and recall it, my mind blanks and I freeze. I’ve also had bouts of ‘returning’  covid symptoms. I’ll get a cough and have difficulty breathing for a couple days. 
I went to my PCP today to get checked out. I had a curve ball thrown at me last week though. Wednesday of last week, I found a tick attached to my back. I didn’t think much of it after I pulled it off and went about my life. The bite has since developed a red circle around it and I woke up Sunday with horrible muscle soreness in my upper back muscles with neck stiffness. I had a temp of 99.9 and my wbc was elevated. So, labs to test for Lyme and Colorado tick fever were ordered.
But wait! There’s more! I told my dr about the returning symptoms and how I’ve started to notice I have pressure in my chest. My blood pressure was 117/85 and my oxygen saturation was at 98 but when she listened to my lungs, she could hear my struggle for deep breathing so she put the finger thing back on and my pulse stayed steady between 102/103. She ordered chest X-rays for tomorrow to see if I have some lung damage from the virus. 
I also have an appointment with a neurologist tomorrow to see if I need imaging for the speech issues. 
The elevated pulse and breathing has me a bit concerned. I’ve seen my dr twice since recovering and these weren’t issues that I’ve had until recently. I don’t understand how it would suddenly pop up 6 weeks after recovering.</t>
        </is>
      </c>
      <c r="D1042" t="n">
        <v>1</v>
      </c>
      <c r="E1042" t="n">
        <v>38</v>
      </c>
      <c r="F1042">
        <f>HYPERLINK("https://www.reddit.com/r/COVID19positive/comments/gin6vk/update_on_the_speech_issues_ive_developed/")</f>
        <v/>
      </c>
      <c r="G1042" t="inlineStr">
        <is>
          <t>2020-05-12 16:36:43</t>
        </is>
      </c>
      <c r="H1042" t="inlineStr">
        <is>
          <t>Tested Positive - Me</t>
        </is>
      </c>
    </row>
    <row r="1043">
      <c r="A1043" t="inlineStr">
        <is>
          <t>giod5v</t>
        </is>
      </c>
      <c r="B1043" t="inlineStr">
        <is>
          <t>Question for those with GI symptoms</t>
        </is>
      </c>
      <c r="C1043" t="inlineStr">
        <is>
          <t>Hi, I’ve been experiencing some GI symptoms around last 5 days. Abdominal Pain, Excessive Gas, Lack of Appetite, and today Diarrhea. I’ve had no fever whatsoever. I’m 24 no pre-existing conditions and otherwise healthy. Worried Respiratory symptoms could start at some point. Has anybody had respiratory symptoms with GI symptoms? Being I’m 24 with no Pre existing conditions and healthy I should be able to survive if respiratory issues flare, correct? Just looking for a little insight. Really scared it could take a turn for the worse and about to have a panic attack.</t>
        </is>
      </c>
      <c r="D1043" t="n">
        <v>1</v>
      </c>
      <c r="E1043" t="n">
        <v>9</v>
      </c>
      <c r="F1043">
        <f>HYPERLINK("https://www.reddit.com/r/COVID19positive/comments/giod5v/question_for_those_with_gi_symptoms/")</f>
        <v/>
      </c>
      <c r="G1043" t="inlineStr">
        <is>
          <t>2020-05-12 17:44:13</t>
        </is>
      </c>
      <c r="H1043" t="inlineStr">
        <is>
          <t>Presumed Positive - From Doctor</t>
        </is>
      </c>
    </row>
    <row r="1044">
      <c r="A1044" t="inlineStr">
        <is>
          <t>gioj98</t>
        </is>
      </c>
      <c r="B1044" t="inlineStr">
        <is>
          <t>I tested positive today - quarantine question</t>
        </is>
      </c>
      <c r="C1044" t="inlineStr">
        <is>
          <t>Hi -- I got a swab on Saturday 4/9 and it came back positive today. My boyfriend has it, and lives with multiple roommates who have not shown symptoms, and me and my roommate are both positive -- does it make sense for him to come here to quarantine so he doesn't infect his roommates? He'd have to stay in his room there away from him but since my roommate and I are both positive it wouldn't matter, right?</t>
        </is>
      </c>
      <c r="D1044" t="n">
        <v>1</v>
      </c>
      <c r="E1044" t="n">
        <v>11</v>
      </c>
      <c r="F1044">
        <f>HYPERLINK("https://www.reddit.com/r/COVID19positive/comments/gioj98/i_tested_positive_today_quarantine_question/")</f>
        <v/>
      </c>
      <c r="G1044" t="inlineStr">
        <is>
          <t>2020-05-12 17:54:33</t>
        </is>
      </c>
      <c r="H1044" t="inlineStr">
        <is>
          <t>Tested Positive - Me</t>
        </is>
      </c>
    </row>
    <row r="1045">
      <c r="A1045" t="inlineStr">
        <is>
          <t>giont1</t>
        </is>
      </c>
      <c r="B1045" t="inlineStr">
        <is>
          <t>Does chest tightness ever go away?</t>
        </is>
      </c>
      <c r="C1045" t="inlineStr">
        <is>
          <t>Just want to breathe normally again. :(</t>
        </is>
      </c>
      <c r="D1045" t="n">
        <v>1</v>
      </c>
      <c r="E1045" t="n">
        <v>25</v>
      </c>
      <c r="F1045">
        <f>HYPERLINK("https://www.reddit.com/r/COVID19positive/comments/giont1/does_chest_tightness_ever_go_away/")</f>
        <v/>
      </c>
      <c r="G1045" t="inlineStr">
        <is>
          <t>2020-05-12 18:02:00</t>
        </is>
      </c>
      <c r="H1045" t="inlineStr">
        <is>
          <t>Presumed Positive - From Doctor</t>
        </is>
      </c>
    </row>
    <row r="1046">
      <c r="A1046" t="inlineStr">
        <is>
          <t>giphda</t>
        </is>
      </c>
      <c r="B1046" t="inlineStr">
        <is>
          <t>Has anyone noticed increased BP (Blood Pressure)</t>
        </is>
      </c>
      <c r="C1046" t="inlineStr">
        <is>
          <t>My diastolic has suddenly since the heart issues began been around 95. Systolic stays normal but Diastolic especially at nights starts to peak. Anyone else in the same situation and have you taken any meds to manage that.</t>
        </is>
      </c>
      <c r="D1046" t="n">
        <v>1</v>
      </c>
      <c r="E1046" t="n">
        <v>13</v>
      </c>
      <c r="F1046">
        <f>HYPERLINK("https://www.reddit.com/r/COVID19positive/comments/giphda/has_anyone_noticed_increased_bp_blood_pressure/")</f>
        <v/>
      </c>
      <c r="G1046" t="inlineStr">
        <is>
          <t>2020-05-12 18:51:34</t>
        </is>
      </c>
      <c r="H1046" t="inlineStr">
        <is>
          <t>Presumed Positive - From Doctor</t>
        </is>
      </c>
    </row>
    <row r="1047">
      <c r="A1047" t="inlineStr">
        <is>
          <t>giqga8</t>
        </is>
      </c>
      <c r="B1047" t="inlineStr">
        <is>
          <t>SARS CoV 2 Ab, IgG POSITIVE</t>
        </is>
      </c>
      <c r="C1047" t="inlineStr">
        <is>
          <t>37F/Covid+ 3/17/Sick for 6 weeks/now recovered. 
I formed antibodies, found out today. 
There’s hope! 
Not sure how long these antibodies will last in us recovered patients, but I’m so thankful for this positive antibody result. 
Now back to the frontlines...</t>
        </is>
      </c>
      <c r="D1047" t="n">
        <v>1</v>
      </c>
      <c r="E1047" t="n">
        <v>26</v>
      </c>
      <c r="F1047">
        <f>HYPERLINK("https://www.reddit.com/r/COVID19positive/comments/giqga8/sars_cov_2_ab_igg_positive/")</f>
        <v/>
      </c>
      <c r="G1047" t="inlineStr">
        <is>
          <t>2020-05-12 19:53:13</t>
        </is>
      </c>
      <c r="H1047" t="inlineStr">
        <is>
          <t>Tested Positive - Me</t>
        </is>
      </c>
    </row>
    <row r="1048">
      <c r="A1048" t="inlineStr">
        <is>
          <t>gis6qp</t>
        </is>
      </c>
      <c r="B1048" t="inlineStr">
        <is>
          <t>Anyone have muscle spasms while sleeping?</t>
        </is>
      </c>
      <c r="C1048" t="inlineStr">
        <is>
          <t>Hi everyone,
Please delete if not allowed! 
My husband (42M) and I (35F) are presumed positive. I’m on Day 11 and he is on Day 4. I didn’t have muscle spasms so I’m not sure if it is part of Covid or if it could be something else. 
My husband was so tired tonight, he fell asleep (in bed) with his computer on his lap. I don’t want to wake him because, for me, for a couple of days, it was hard to get to sleep, and then even harder to get back to sleep... and I would have been annoyed if someone woke me up to ask if my muscle spasms were weird.
I didn’t notice he’d fallen asleep until I felt the bed shake a little and saw his leg was twitching. Moved the computer, but his leg keeps twitching. It starts with his foot shaking slightly and travels up his leg and into his hand. It was happening about once every 25-30 seconds and now it’s about every 3-5 minutes.  
I’m having an impossible time finding out if muscle twitching is common... or if one sided muscle twitching is bad...? He’s been complaining of muscle aches, but no twitching til now. Anyone else?
Thank you!</t>
        </is>
      </c>
      <c r="D1048" t="n">
        <v>1</v>
      </c>
      <c r="E1048" t="n">
        <v>2</v>
      </c>
      <c r="F1048">
        <f>HYPERLINK("https://www.reddit.com/r/COVID19positive/comments/gis6qp/anyone_have_muscle_spasms_while_sleeping/")</f>
        <v/>
      </c>
      <c r="G1048" t="inlineStr">
        <is>
          <t>2020-05-12 21:49:20</t>
        </is>
      </c>
      <c r="H1048" t="inlineStr">
        <is>
          <t>Presumed Positive - From Doctor</t>
        </is>
      </c>
    </row>
    <row r="1049">
      <c r="A1049" t="inlineStr">
        <is>
          <t>gitanz</t>
        </is>
      </c>
      <c r="B1049" t="inlineStr">
        <is>
          <t>COVID-19: 3-drug combo treatment may be successful</t>
        </is>
      </c>
      <c r="C1049" t="inlineStr">
        <is>
          <t>The results of the new multicenter, prospective, open-label, randomized trial now appear in the journal The Lancet.
The researchers recruited 127 participants between February 10 and March 20, 2020. These participants came from six hospitals in Hong Kong, China, where doctors had tested them for SARS-CoV-2 and obtained positive results.
On average, 5 days passed between the onset of symptoms and the start of treatment with the drug combination.
The team randomly assigned 86 of the participants to a group that received the combination and 41 of the participants to a control group.
In the combination group, participants took a combination of “lopinavir 400 \[milligrams (mg)\] and ritonavir 100 mg every 12 \[hours\], ribavirin 400 mg every 12 \[hours\], and three doses of 8 million international units of interferon beta-1b on alternate days.” The treatment lasted for 14 days.
In the control group, participants took lopinavir 400 mg and ritonavir 100 mg every 12 hours, also for 14 days.  
[\#Covid19](https://www.facebook.com/hashtag/covid19?source=feed_text&amp;amp;epa=HASHTAG&amp;amp;__xts__%5B0%5D=68.ARDmbiWc_MZlrY4PptXMuVU1FlINK_MTx5VuEMTyO4xyCyZy3CPaqNGFwZuOwXb2f4OQDHZJ47B65889OLReJgGFmB-zenkp5bGhaSc3Fo57tI8TvrePR_rY5l-50laCm6LM8ayY-UtCSPA9ehdEo2um1e-QRBwHrQnycgE1rg99Bw56iRdlCLhMnspHFRNudztkuzExX5MiZTLezHg8FJJ8v4R8lAPsdpsMSCDvw6U3PLksM4lqrJNPpVQ6iB82SO-Pqmu7ULRdyFpGGbqCNVvptC1OF60bjyeEUUB4tO3JObmlfprUkpxBLZn922BS0nw&amp;amp;__tn__=%2ANK-R) [\#Covid19update](https://www.facebook.com/hashtag/covid19update?source=feed_text&amp;amp;epa=HASHTAG&amp;amp;__xts__%5B0%5D=68.ARDmbiWc_MZlrY4PptXMuVU1FlINK_MTx5VuEMTyO4xyCyZy3CPaqNGFwZuOwXb2f4OQDHZJ47B65889OLReJgGFmB-zenkp5bGhaSc3Fo57tI8TvrePR_rY5l-50laCm6LM8ayY-UtCSPA9ehdEo2um1e-QRBwHrQnycgE1rg99Bw56iRdlCLhMnspHFRNudztkuzExX5MiZTLezHg8FJJ8v4R8lAPsdpsMSCDvw6U3PLksM4lqrJNPpVQ6iB82SO-Pqmu7ULRdyFpGGbqCNVvptC1OF60bjyeEUUB4tO3JObmlfprUkpxBLZn922BS0nw&amp;amp;__tn__=%2ANK-R) [\#coronavirus](https://www.facebook.com/hashtag/coronavirus?source=feed_text&amp;amp;epa=HASHTAG&amp;amp;__xts__%5B0%5D=68.ARDmbiWc_MZlrY4PptXMuVU1FlINK_MTx5VuEMTyO4xyCyZy3CPaqNGFwZuOwXb2f4OQDHZJ47B65889OLReJgGFmB-zenkp5bGhaSc3Fo57tI8TvrePR_rY5l-50laCm6LM8ayY-UtCSPA9ehdEo2um1e-QRBwHrQnycgE1rg99Bw56iRdlCLhMnspHFRNudztkuzExX5MiZTLezHg8FJJ8v4R8lAPsdpsMSCDvw6U3PLksM4lqrJNPpVQ6iB82SO-Pqmu7ULRdyFpGGbqCNVvptC1OF60bjyeEUUB4tO3JObmlfprUkpxBLZn922BS0nw&amp;amp;__tn__=%2ANK-R)</t>
        </is>
      </c>
      <c r="D1049" t="n">
        <v>1</v>
      </c>
      <c r="E1049" t="n">
        <v>3</v>
      </c>
      <c r="F1049">
        <f>HYPERLINK("https://www.reddit.com/r/COVID19positive/comments/gitanz/covid19_3drug_combo_treatment_may_be_successful/")</f>
        <v/>
      </c>
      <c r="G1049" t="inlineStr">
        <is>
          <t>2020-05-12 23:12:25</t>
        </is>
      </c>
      <c r="H1049" t="inlineStr">
        <is>
          <t>Presumed Positive - From Doctor</t>
        </is>
      </c>
    </row>
    <row r="1050">
      <c r="A1050" t="inlineStr">
        <is>
          <t>giuyhl</t>
        </is>
      </c>
      <c r="B1050" t="inlineStr">
        <is>
          <t>Persisting heart palpitations and tachyardia. Have been checked out by a cardiologist who couldn't find anything wrong with my heart. Resting heart rate at 95-100, goes up to 140 just by standing up. Anyone else?</t>
        </is>
      </c>
      <c r="C1050" t="inlineStr">
        <is>
          <t>I've been sick since March in what is probably covid, and something thats been coming on in the last couple of week is a fast heart rate and heart palpitations.
A couple of days ago I couldn't take it anymore and went to the ER. I was directly referred to the cardiology unit and they did a lot of tests. Ultra sound, CT scan ECG, 24 hour ECG for several days and couldn't find anything. They also did lots of tests on my blood work and everything looks fine. I had slightly elevated white blood cells but they have since come down to a normal rate.
They did a test where they measured my blood pressure and pulse when I was lying down and then when I was standing up for 10 minutes.
My bp lying down was 120/95 and pulse was 100. Standing up my bp went down to 80/60 and my pulse went up to 140. I wasn't doing anything physically, just standing up.
The doctors said they didn't find anything and thinks it's a rest symptom from covid so I was sent home and will go back in a month to do a follow up.
I don't know what to do anymore. I still have this high pulse and just going for a walk outside is a challenge. It's been two months since onset of my symptoms and there's no evidence what so ever that I'm getting better.</t>
        </is>
      </c>
      <c r="D1050" t="n">
        <v>1</v>
      </c>
      <c r="E1050" t="n">
        <v>58</v>
      </c>
      <c r="F1050">
        <f>HYPERLINK("https://www.reddit.com/r/COVID19positive/comments/giuyhl/persisting_heart_palpitations_and_tachyardia_have/")</f>
        <v/>
      </c>
      <c r="G1050" t="inlineStr">
        <is>
          <t>2020-05-13 01:25:08</t>
        </is>
      </c>
      <c r="H1050" t="inlineStr">
        <is>
          <t>Presumed Positive - From Doctor</t>
        </is>
      </c>
    </row>
    <row r="1051">
      <c r="A1051" t="inlineStr">
        <is>
          <t>givtu7</t>
        </is>
      </c>
      <c r="B1051" t="inlineStr">
        <is>
          <t>Reinfected</t>
        </is>
      </c>
      <c r="C1051" t="inlineStr">
        <is>
          <t>I originally had symptoms in February after unnerving  an international customers from the air port.  This was mid February.
104 fever.
insane sore throat.
Horrible body pains 
Not able to breathe 
Bright red itchy toes (covid toes)
7 days in the hospital and I was released on various antibiotics by IV and oral. A multitude of drugs. I start seeing improvement, I could not get tested for Covid. It was too early. 
I make a bad mistake. After I recovered, I did not clean my sleep apnea mask.  Within days, I became horribly sick again. Identical symptoms . Again the Covid Toe was a first sign it was back besides the fevers. I then transition to a breathing machine.
I am still told I can not get tested this was mid March. 
Today. I am well, it took me months to battle this infection. Most of the time, drs and hospitals sent me back hone.
I don’t know how I managed to live. I am awaiting antibody test while still on breathing machine. 
People say it’s not possible to reinfect yourself. I absolutely did.</t>
        </is>
      </c>
      <c r="D1051" t="n">
        <v>1</v>
      </c>
      <c r="E1051" t="n">
        <v>69</v>
      </c>
      <c r="F1051">
        <f>HYPERLINK("https://www.reddit.com/r/COVID19positive/comments/givtu7/reinfected/")</f>
        <v/>
      </c>
      <c r="G1051" t="inlineStr">
        <is>
          <t>2020-05-13 02:37:41</t>
        </is>
      </c>
      <c r="H1051" t="inlineStr">
        <is>
          <t>Presumed Positive - From Doctor</t>
        </is>
      </c>
    </row>
    <row r="1052">
      <c r="A1052" t="inlineStr">
        <is>
          <t>gixx5n</t>
        </is>
      </c>
      <c r="B1052" t="inlineStr">
        <is>
          <t>Body buzzing/vibrating feeling</t>
        </is>
      </c>
      <c r="C1052" t="inlineStr">
        <is>
          <t>Today I'm at nearly day 60 of this hell and I woke up with a strange sensation as though my whole body was vibrating. It is more palpable with my eyes closed and I can only describe the feeling as the same as though if you were drunk or on some sort of narcotic plus there is what feels like an actual body vibration.
Can anyone relate? How long did this last?</t>
        </is>
      </c>
      <c r="D1052" t="n">
        <v>1</v>
      </c>
      <c r="E1052" t="n">
        <v>22</v>
      </c>
      <c r="F1052">
        <f>HYPERLINK("https://www.reddit.com/r/COVID19positive/comments/gixx5n/body_buzzingvibrating_feeling/")</f>
        <v/>
      </c>
      <c r="G1052" t="inlineStr">
        <is>
          <t>2020-05-13 05:18:52</t>
        </is>
      </c>
      <c r="H1052" t="inlineStr">
        <is>
          <t>Presumed Positive - From Doctor</t>
        </is>
      </c>
    </row>
    <row r="1053">
      <c r="A1053" t="inlineStr">
        <is>
          <t>gj0q1z</t>
        </is>
      </c>
      <c r="B1053" t="inlineStr">
        <is>
          <t>Could I be asymptomatic or just never had it?</t>
        </is>
      </c>
      <c r="C1053" t="inlineStr">
        <is>
          <t>My mother has been sick for about 3 weeks, and after all is feeling much better now (just has a little bit of a cough left). She got tested last week and today the doctor called and told her it came back positive. We are both living together, share a bathroom and everything, and have spent time in close proximity without masks before she showed symptoms. 
I try my hardest to not become infected, and so far I have not had any symptoms. What are the chances of me catching it, or that I could be asymptomatic?</t>
        </is>
      </c>
      <c r="D1053" t="n">
        <v>1</v>
      </c>
      <c r="E1053" t="n">
        <v>7</v>
      </c>
      <c r="F1053">
        <f>HYPERLINK("https://www.reddit.com/r/COVID19positive/comments/gj0q1z/could_i_be_asymptomatic_or_just_never_had_it/")</f>
        <v/>
      </c>
      <c r="G1053" t="inlineStr">
        <is>
          <t>2020-05-13 08:02:29</t>
        </is>
      </c>
      <c r="H1053" t="inlineStr">
        <is>
          <t>Tested Positive - Family</t>
        </is>
      </c>
    </row>
    <row r="1054">
      <c r="A1054" t="inlineStr">
        <is>
          <t>gj0yhi</t>
        </is>
      </c>
      <c r="B1054" t="inlineStr">
        <is>
          <t>Suggestion for people with ongoing symptoms - Get a full blood test and urinary exam done</t>
        </is>
      </c>
      <c r="C1054" t="inlineStr">
        <is>
          <t>I'm going to get tested for antibodies next week and going to get blood work done. I've been having waves of symptoms for about 4-5 weeks now of sore throat, dizziness, lightheadedness, chest pain, diarrhea etc. I talked to a doctor about it and believes it could be post viral and wants me to get an antibody test done and blood work. 
For anyone who's having similar issues, it doesn't hurt to get full blood work done. The virus I'm sure depletes you of many resources and you may be deficient in many nutrients you don't know of. I think getting full blood work done can help clear up why you might still be having some lingering symptoms that might not have went away.  A lot of people here recommend taking Vitamin D but no one suggests taking Magnesium with it as vitamin D depletes your magnesium levels pretty fast. I feel many people might be taking advice of extra vitamins but don't know what negative effects it might be having on you as well. Just my suggestion to try helping you clear things up as I know for a lot of people this is scary that symptoms aren't shaking off.
I'll update with my results when I get them back.
Stay safe and healthy everyone!</t>
        </is>
      </c>
      <c r="D1054" t="n">
        <v>1</v>
      </c>
      <c r="E1054" t="n">
        <v>67</v>
      </c>
      <c r="F1054">
        <f>HYPERLINK("https://www.reddit.com/r/COVID19positive/comments/gj0yhi/suggestion_for_people_with_ongoing_symptoms_get_a/")</f>
        <v/>
      </c>
      <c r="G1054" t="inlineStr">
        <is>
          <t>2020-05-13 08:14:42</t>
        </is>
      </c>
      <c r="H1054" t="inlineStr">
        <is>
          <t>Presumed Positive - From Doctor</t>
        </is>
      </c>
    </row>
    <row r="1055">
      <c r="A1055" t="inlineStr">
        <is>
          <t>gj130q</t>
        </is>
      </c>
      <c r="B1055" t="inlineStr">
        <is>
          <t>Gi Symptoms, how long do they last?</t>
        </is>
      </c>
      <c r="C1055" t="inlineStr">
        <is>
          <t>28M I’m on day 49 and the GI issues seems to last forever. I have noticed improvements over the weeks but this is annoying.</t>
        </is>
      </c>
      <c r="D1055" t="n">
        <v>1</v>
      </c>
      <c r="E1055" t="n">
        <v>12</v>
      </c>
      <c r="F1055">
        <f>HYPERLINK("https://www.reddit.com/r/COVID19positive/comments/gj130q/gi_symptoms_how_long_do_they_last/")</f>
        <v/>
      </c>
      <c r="G1055" t="inlineStr">
        <is>
          <t>2020-05-13 08:22:18</t>
        </is>
      </c>
      <c r="H1055" t="inlineStr">
        <is>
          <t>Tested Positive - Me</t>
        </is>
      </c>
    </row>
    <row r="1056">
      <c r="A1056" t="inlineStr">
        <is>
          <t>gj16zg</t>
        </is>
      </c>
      <c r="B1056" t="inlineStr">
        <is>
          <t>Saliva issues?</t>
        </is>
      </c>
      <c r="C1056" t="inlineStr">
        <is>
          <t>So, I got a reprieve from my mucus for a whole 24 hours (small miracles)!!! But while it’s been around, I’ve been really diligent about spitting up post-nasal drip as it happens, and may be overdoing it? Some days I’ve had a ton of excess saliva production, and others I’ll have extreme dry mouth after spitting out mucus before I go to bed, even after drinking like 4 liters of water during the day and sleeping directly next to a humidifier. Just frustrated and confused at this point.</t>
        </is>
      </c>
      <c r="D1056" t="n">
        <v>1</v>
      </c>
      <c r="E1056" t="n">
        <v>3</v>
      </c>
      <c r="F1056">
        <f>HYPERLINK("https://www.reddit.com/r/COVID19positive/comments/gj16zg/saliva_issues/")</f>
        <v/>
      </c>
      <c r="G1056" t="inlineStr">
        <is>
          <t>2020-05-13 08:28:55</t>
        </is>
      </c>
      <c r="H1056" t="inlineStr">
        <is>
          <t>Presumed Positive - From Doctor</t>
        </is>
      </c>
    </row>
    <row r="1057">
      <c r="A1057" t="inlineStr">
        <is>
          <t>gj17c1</t>
        </is>
      </c>
      <c r="B1057" t="inlineStr">
        <is>
          <t>"Reinfected"</t>
        </is>
      </c>
      <c r="C1057" t="inlineStr">
        <is>
          <t>I've read several accounts of people saying they were reinfected but had never tested negative to definitely be "reinfected" (maybe relapsed?). Has anyone who tested positive, then retested negative, actually been reinfected and had another positive test after a negative?</t>
        </is>
      </c>
      <c r="D1057" t="n">
        <v>1</v>
      </c>
      <c r="E1057" t="n">
        <v>7</v>
      </c>
      <c r="F1057">
        <f>HYPERLINK("https://www.reddit.com/r/COVID19positive/comments/gj17c1/reinfected/")</f>
        <v/>
      </c>
      <c r="G1057" t="inlineStr">
        <is>
          <t>2020-05-13 08:29:35</t>
        </is>
      </c>
      <c r="H1057" t="inlineStr">
        <is>
          <t>Tested Positive - Me</t>
        </is>
      </c>
    </row>
    <row r="1058">
      <c r="A1058" t="inlineStr">
        <is>
          <t>gj1uev</t>
        </is>
      </c>
      <c r="B1058" t="inlineStr">
        <is>
          <t>The media is taking notice</t>
        </is>
      </c>
      <c r="C1058" t="inlineStr">
        <is>
          <t>https://apnews.com/9dc40e49a313a2e47fff50c4e702d5ee?utm_source=piano&amp;amp;utm_medium=email&amp;amp;utm_campaign=morningwire&amp;amp;pnespid=iOZ18OUJCQ_NUZDqPiS.F2Pf9uI6hXcDaKcyGwm4</t>
        </is>
      </c>
      <c r="D1058" t="n">
        <v>1</v>
      </c>
      <c r="E1058" t="n">
        <v>5</v>
      </c>
      <c r="F1058">
        <f>HYPERLINK("https://www.reddit.com/r/COVID19positive/comments/gj1uev/the_media_is_taking_notice/")</f>
        <v/>
      </c>
      <c r="G1058" t="inlineStr">
        <is>
          <t>2020-05-13 09:02:49</t>
        </is>
      </c>
      <c r="H1058" t="inlineStr">
        <is>
          <t>Presumed Positive - From Doctor</t>
        </is>
      </c>
    </row>
    <row r="1059">
      <c r="A1059" t="inlineStr">
        <is>
          <t>gj2zrw</t>
        </is>
      </c>
      <c r="B1059" t="inlineStr">
        <is>
          <t>Anyone else feel let down by your medical system? (Day 67 / M31)</t>
        </is>
      </c>
      <c r="C1059" t="inlineStr">
        <is>
          <t>I know there are many long term covid19 sufferers in here. I just wanted to hear your perspective on this.
How do you feel that your symptoms have been treated? Do you feel that you've gotten all the care you need?
It's poor timing right now for me because I'm just frustrated at this point in time. I just spent another day trying a new hotline to get advice or help.
I've tested positive with a PCR test and have positive antibodies for covid19. I've been in the hospital once my heart started hurting (a week after my lung pressure was as it's worst). They've noticed kidney damage from my bloodwork. The doctors did a thorough check-up but I also never felt like I was taken that seriously. I'm a low risk person as I'm young and was very healthy.
Since then I've seen a variety of different doctors (cardiologist, urologist, and GP's). The message always seems to be overwhelming positive. "Well you tackled it as you now have antibodies" or "just rest inside and it'll get better."
I don't even bother calling my family doctor anymore because her advice is just the same - "just rest"
I'm so fed up of resting and waiting. I'm 67 days in and still feel miles away from close to normal, let alone feeling close to healthy. I want someone to study my experience, I want someone to try and help me beside giving me the same message of just rest. I've been resting for 66 out of 67 days and the improvement has been marginal. I almost wish I was severe enough for ICU care just so I could get better. It's crazy that many people were on death's door and are out living normal lives and yet I can't walk outside for more than 30 minutes without experiencing deteriorating symptoms again.
Sorry, I just needed to vent to the community here. I do appreciate the support that many of you have given me as it really does still give me a glimmer of hope.</t>
        </is>
      </c>
      <c r="D1059" t="n">
        <v>1</v>
      </c>
      <c r="E1059" t="n">
        <v>58</v>
      </c>
      <c r="F1059">
        <f>HYPERLINK("https://www.reddit.com/r/COVID19positive/comments/gj2zrw/anyone_else_feel_let_down_by_your_medical_system/")</f>
        <v/>
      </c>
      <c r="G1059" t="inlineStr">
        <is>
          <t>2020-05-13 10:02:22</t>
        </is>
      </c>
      <c r="H1059" t="inlineStr">
        <is>
          <t>Tested Positive - Me</t>
        </is>
      </c>
    </row>
    <row r="1060">
      <c r="A1060" t="inlineStr">
        <is>
          <t>gj4bqj</t>
        </is>
      </c>
      <c r="B1060" t="inlineStr">
        <is>
          <t>My 63 day COVID-19 experience - Finally tested negative</t>
        </is>
      </c>
      <c r="C1060" t="inlineStr">
        <is>
          <t>TL;DR:
Primary symptoms (mild): Chest heaviness/fullness, chest irritation/burning, loss of smell, low-grade fever. No cough, no shortness of breath.
March 10 (day 1) first symptom (tingling in windpipe)
April 9 (day 31) Chest X-ray, unremarkable
April 14 (day 36) First test – positive
April 28 (day 50) Second test – positive
April 30 (day 52) CT Scan of lungs with contrast, unremarkable
May 12 (day 63) Third test – negative
May 13 (day 64) Fourth test – negative
Today all symptoms are gone except fluctuating mild chest irritation/burning.
/end of TL;DR
&amp;amp;#x200B;
I thought I would share my story to help alleviate some of the anxiety on this sub regarding long-duration COVID-19 illness. I am a health care professional at a local medical center in the northeast US. My demographics: Male, 34 years old, Caucasian (Southeast Europe), BMI 18.5, good overall health. I'm that guy who very rarely gets sick. I can't remember the last time I had a fever or anything like the flu before this.
I first showed symptoms on March 10 (tingling in my windpipe). I started to quarantine right away. My symptoms progressed into a heaviness/fullness feeling in my chest in the course of a few days. By day 6 I started to have a temperature of 99.5 to 99.8 pretty steady until about day 15, when it returned to normal. During this time I completely lost my sense of smell. My symptoms during this time continued to include the heaviness/fullness feeling in my chest with occasional feeling of irritation (hard to explain the feeling, kind of like a mild burning in the chest, maybe an inflammatory response). No cough, but I did feel like I had to clear my throat... but it was never productive (no mucus). Lying down in the prone position seemed to help with the heaviness.  At this point I lost my sense of smell.
At that time, testing was very hard to come by. My doctor would not test me because my symptoms were not severe enough. And my employer did not have enough tests available to test me at that time. This was still way back when our country was caught completely unprepared for this pandemic.
Between day 15 and day 36 I had fluctuations in mild chest irritation/fullness/heaviness. My temperature also fluctuated from normal to about 99.5 or so. Some days I would feel almost normal. My sense of smell slowly came back to normal. During this time I had a chest x-ray done (day 31) which came back clear.
I was finally able to be tested through my employer on day 36. The results were positive for COVID-19. This was a bummer, but not really a surprise to me as what I was experiencing was unlike anything I've ever had and was primarily respiratory in nature. I worried about why this illness was lingering for so long.
Between day 36 and day 50 I continued to have fluctuating chest sensations including irritation/burning, and a new aching feeling deep within my lungs. I tested positive again on day 50. This worried my doctor, who on day 52, ordered a CT scan with contrast to check my lungs for clots and/or embolism. This came back clear.
The mild ache in my lungs subsided and finally on day 63 and 64 I tested negative. All testing was done by nasal swab.
I have no idea where I got the virus from. It's scary to think how contagious this disease is... I was always very careful with hand hygiene and not touching my face and things like that, and I was not in contact with anyone showing any symptoms whatsoever. This was, of course, before the lockdowns. I think it’s clear this virus was running rampant in the US way before our leadership was taking it seriously.
I wish I could say I’m completely recovered after two full months. I’m still feeling a fluctuating mild irritation/burning feeling in my chest. This feels like an inflammatory response to whatever damage the virus did to the lining of my lungs or chest cavity (not my specialty - take my conjecture with a grain of salt). It has been getting less noticeable and less frequent, though. Hopefully this goes away for good, but boy does it linger.</t>
        </is>
      </c>
      <c r="D1060" t="n">
        <v>1</v>
      </c>
      <c r="E1060" t="n">
        <v>71</v>
      </c>
      <c r="F1060">
        <f>HYPERLINK("https://www.reddit.com/r/COVID19positive/comments/gj4bqj/my_63_day_covid19_experience_finally_tested/")</f>
        <v/>
      </c>
      <c r="G1060" t="inlineStr">
        <is>
          <t>2020-05-13 11:13:35</t>
        </is>
      </c>
      <c r="H1060" t="inlineStr">
        <is>
          <t>Tested Positive - Me</t>
        </is>
      </c>
    </row>
    <row r="1061">
      <c r="A1061" t="inlineStr">
        <is>
          <t>gj54ws</t>
        </is>
      </c>
      <c r="B1061" t="inlineStr">
        <is>
          <t>Covid 19 and asthma advice?</t>
        </is>
      </c>
      <c r="C1061" t="inlineStr">
        <is>
          <t>So I tested positive for covid, 24 with asthma. I only had symptoms for the first week and then almost everything went back to normal, difficulty breathing stayed but I heard that’s common to stick around. I got retested 16 days later and just got my results, somehow they are still positive. The other night my pulse spiked to 160 and I felt dizzy but it went away fast. My friend said it could have been a panic attack but I don’t usually have those. Anybody been through this?</t>
        </is>
      </c>
      <c r="D1061" t="n">
        <v>1</v>
      </c>
      <c r="E1061" t="n">
        <v>11</v>
      </c>
      <c r="F1061">
        <f>HYPERLINK("https://www.reddit.com/r/COVID19positive/comments/gj54ws/covid_19_and_asthma_advice/")</f>
        <v/>
      </c>
      <c r="G1061" t="inlineStr">
        <is>
          <t>2020-05-13 11:53:42</t>
        </is>
      </c>
      <c r="H1061" t="inlineStr">
        <is>
          <t>Tested Positive - Me</t>
        </is>
      </c>
    </row>
    <row r="1062">
      <c r="A1062" t="inlineStr">
        <is>
          <t>gj5c2i</t>
        </is>
      </c>
      <c r="B1062" t="inlineStr">
        <is>
          <t>Has anyone tested positive after Day 60?</t>
        </is>
      </c>
      <c r="C1062" t="inlineStr">
        <is>
          <t>I’m in a testing circle right now. I’ve lost a lot of weight since being sick (~25 lbs) so my PCP wants me to get bloodwork. But to go to a lab requires you to be symptom free (which obviously I am not), so in order to get blood work done, I needed to get another covid test done. The last one was taken in the ER and was negative - that was a nasal swab. I just took a throat swab this afternoon. Wondering how likely it is this far out that it would even show anything? Still sucks though!</t>
        </is>
      </c>
      <c r="D1062" t="n">
        <v>1</v>
      </c>
      <c r="E1062" t="n">
        <v>4</v>
      </c>
      <c r="F1062">
        <f>HYPERLINK("https://www.reddit.com/r/COVID19positive/comments/gj5c2i/has_anyone_tested_positive_after_day_60/")</f>
        <v/>
      </c>
      <c r="G1062" t="inlineStr">
        <is>
          <t>2020-05-13 12:03:03</t>
        </is>
      </c>
      <c r="H1062" t="inlineStr">
        <is>
          <t>Presumed Positive - From Doctor</t>
        </is>
      </c>
    </row>
    <row r="1063">
      <c r="A1063" t="inlineStr">
        <is>
          <t>gj6tum</t>
        </is>
      </c>
      <c r="B1063" t="inlineStr">
        <is>
          <t>52 days later and I'm free!</t>
        </is>
      </c>
      <c r="C1063" t="inlineStr">
        <is>
          <t>Tested positive on 3/23. Worst of the symptoms (headache, nausea, weakness, coughing, one day of fever, 3 days loss of taste) passed in the first week and a half, with some recurrences lasting 1-2 days each between stretches of no symptoms. 
52 days of isolation later, I finally got the CDC-recommended 2 negative tests 24+ hrs apart! 
My momn sister and sister's boyfriend all got sick at the same time as me and were presumed positive. My mom work requested a negative test before she returned to her office, and she got it this last week. My sis and her boyfriend were cleared back for work on the symptom based-criteria, and their coworkers have not developed any symptoms in the past month.
(For background, I originally went back to work after meeting the symptom-based requirements, but that was also the day my throat started getting sore. I peaced the fuck out of there immediately (work handled leave for the coworkers I was in contact with). My doc retested me, and it came back positive. I had two more flare ups of symptoms after that, about a week apart each. After that, my work, my doctor and I agreed that retesting to confirm I was negative was going to be the safest option. We don't have a huge number of cases where I'm at and a reasonable stock of tests. Of the few positives my my doctor's office has seen, most have been testing for weeks after symptoms subsided.)
I owe huge thanks to my doctor's office for even testing me in the first place, the county department of health for working their asses off in getting data from me and answering my questions, and my workplace for taking care of the administrative side things so I could focus on recovering.
My family and I are very, very grateful that our symptoms were not worse. I wanted to share my successful journey to hopefully serve as encouragement to others here. This subreddit has really been a source of comfort and connection while I've gone through this. I truly hope for good news and smooth recoveries for everyone here. Thank you.
(PS I plan to donate plasma as soon and as often as I'm able to)</t>
        </is>
      </c>
      <c r="D1063" t="n">
        <v>1</v>
      </c>
      <c r="E1063" t="n">
        <v>4</v>
      </c>
      <c r="F1063">
        <f>HYPERLINK("https://www.reddit.com/r/COVID19positive/comments/gj6tum/52_days_later_and_im_free/")</f>
        <v/>
      </c>
      <c r="G1063" t="inlineStr">
        <is>
          <t>2020-05-13 13:17:47</t>
        </is>
      </c>
      <c r="H1063" t="inlineStr">
        <is>
          <t>Tested Positive</t>
        </is>
      </c>
    </row>
    <row r="1064">
      <c r="A1064" t="inlineStr">
        <is>
          <t>gj8102</t>
        </is>
      </c>
      <c r="B1064" t="inlineStr">
        <is>
          <t>Worried there’s no end in this for me</t>
        </is>
      </c>
      <c r="C1064" t="inlineStr">
        <is>
          <t>I’m really struggling mentally today. I talk the 2-month mark for me, and all my symptoms have been consistent and ever-present, including a cough with clear thick phlegm, post-nasal drip mucus with blood, tachycardia, waking up shaking and hear pounding, no appetite, and GI problems. Nothing has changed/subsided. I know there are long-term cases, especially on here, but for the most part it seems like at this stage people are getting on/off problems, with things getting better with some setbacks. I haven’t had a fever this whole time. And it’s been so hard to eat/sleep to fight this thing. When I think I’m doing/eating the right thing, I feel worse than before the next day. I’m afraid my body hasn’t been fighting it at all and that I’m just experiencing the 10-day stage in weeks rather than days. I’m on disability leave now. It’s so disheartening.</t>
        </is>
      </c>
      <c r="D1064" t="n">
        <v>1</v>
      </c>
      <c r="E1064" t="n">
        <v>15</v>
      </c>
      <c r="F1064">
        <f>HYPERLINK("https://www.reddit.com/r/COVID19positive/comments/gj8102/worried_theres_no_end_in_this_for_me/")</f>
        <v/>
      </c>
      <c r="G1064" t="inlineStr">
        <is>
          <t>2020-05-13 14:19:06</t>
        </is>
      </c>
      <c r="H1064" t="inlineStr">
        <is>
          <t>Presumed Positive - From Doctor</t>
        </is>
      </c>
    </row>
    <row r="1065">
      <c r="A1065" t="inlineStr">
        <is>
          <t>gj88vj</t>
        </is>
      </c>
      <c r="B1065" t="inlineStr">
        <is>
          <t>Every time I take a walk and come back home I get a horrible headache, muscle pains, back pains and feel unwell. Why is physical activity making me feel worse?</t>
        </is>
      </c>
      <c r="C1065" t="inlineStr">
        <is>
          <t>Symptoms started a month ago. Back pains, a dry cough, fever, shortness of breath etc. Fever and cough is gone so I've started talking walks in the sun and when I get home I feel so much worse. It's like all my symptoms come back with a vengeance with horrible to touch headaches, muscle pains, back pains and feel very unwell.
Does anyone else get this? What is the explanation to this?</t>
        </is>
      </c>
      <c r="D1065" t="n">
        <v>1</v>
      </c>
      <c r="E1065" t="n">
        <v>19</v>
      </c>
      <c r="F1065">
        <f>HYPERLINK("https://www.reddit.com/r/COVID19positive/comments/gj88vj/every_time_i_take_a_walk_and_come_back_home_i_get/")</f>
        <v/>
      </c>
      <c r="G1065" t="inlineStr">
        <is>
          <t>2020-05-13 14:30:05</t>
        </is>
      </c>
      <c r="H1065" t="inlineStr">
        <is>
          <t>Presumed Positive - From Doctor</t>
        </is>
      </c>
    </row>
    <row r="1066">
      <c r="A1066" t="inlineStr">
        <is>
          <t>gj8oil</t>
        </is>
      </c>
      <c r="B1066" t="inlineStr">
        <is>
          <t>Developed really bad anxiety from presumed virus</t>
        </is>
      </c>
      <c r="C1066" t="inlineStr">
        <is>
          <t>Presumed to have had the virus for about  2 -3 weeks it all started the 20th of April not sure when anxiety kicked in 
Never had anxiety before , always been healthy, but the virus was a really bad experience. For a while a good amount of the symptoms I thought were from the virus were actually anxiety and It got worse until I figured it out. 
Now I feel the feeling of disassociation all the time which is the worst and I just want to feel normal again. The disassociation brings on thoughts and anxiety cause Idk when this will go away. 
Primary doctor prescribed me to Lexipro and Klonofin at a .25 dose. Lexipro will be long term and Klonofin short term. 
Thing is I never had to take any type of pills and I’m nervous as Fck because Klonofin is a benzo and I know they can be addictive. Some of it is anxiety and some of me really being worried. 
Any tips, I just need a second opinions</t>
        </is>
      </c>
      <c r="D1066" t="n">
        <v>1</v>
      </c>
      <c r="E1066" t="n">
        <v>13</v>
      </c>
      <c r="F1066">
        <f>HYPERLINK("https://www.reddit.com/r/COVID19positive/comments/gj8oil/developed_really_bad_anxiety_from_presumed_virus/")</f>
        <v/>
      </c>
      <c r="G1066" t="inlineStr">
        <is>
          <t>2020-05-13 14:52:17</t>
        </is>
      </c>
      <c r="H1066" t="inlineStr">
        <is>
          <t>Presumed Positive - From Doctor</t>
        </is>
      </c>
    </row>
    <row r="1067">
      <c r="A1067" t="inlineStr">
        <is>
          <t>gj8trz</t>
        </is>
      </c>
      <c r="B1067" t="inlineStr">
        <is>
          <t>Tested negative finally [Day 63]</t>
        </is>
      </c>
      <c r="C1067" t="inlineStr">
        <is>
          <t>Was tested two days ago and received a msg from my doctor this morning that it’s negative.  
Tested positive on day 13 and then 56.
It was a nasal swab every time.
No GI issues since 20 days.
No dizziness/brain fog since 20 days.
The occasional depth breath inability is still there but it does not bother my sleep anymore.  It’s more so in the mornings than later in the day.  But it’s annoying.
HR randomly goes up a little more than normal on activity.  Last 2 days the HR was good too but I had it this morning.
Going to ask my doctor for blood work and scans tomorrow.  Hope she approves.</t>
        </is>
      </c>
      <c r="D1067" t="n">
        <v>1</v>
      </c>
      <c r="E1067" t="n">
        <v>6</v>
      </c>
      <c r="F1067">
        <f>HYPERLINK("https://www.reddit.com/r/COVID19positive/comments/gj8trz/tested_negative_finally_day_63/")</f>
        <v/>
      </c>
      <c r="G1067" t="inlineStr">
        <is>
          <t>2020-05-13 14:59:57</t>
        </is>
      </c>
      <c r="H1067" t="inlineStr">
        <is>
          <t>Tested Positive - Me</t>
        </is>
      </c>
    </row>
    <row r="1068">
      <c r="A1068" t="inlineStr">
        <is>
          <t>gja0fa</t>
        </is>
      </c>
      <c r="B1068" t="inlineStr">
        <is>
          <t>70 Days of pure misery</t>
        </is>
      </c>
      <c r="C1068" t="inlineStr">
        <is>
          <t>So I got sick with this poison in the beginning of March, was not sure it is COVID-19, because had only gastro problems, like fever, stomach cramps and some diarrhea. Thought it is a stomach flu, was treating it with charcoal pills and some thyme tea, then it got to the point where I wanted to make a gastro appointment and see WTH is going on, until the very next day woke up with the sore throat, very bad cough, muscle pain like you've been hit by a train, and chest pain. FIrst week of that, said haaa, it is a cold, started to treat with paracetamol and hydration and vitamins, unitl a week later, woke up in the middle of the night with heart-pounding, chest pounding, shortness of breath and dizziness, nausea, and weak legs which landed me in the ER. I thought I was having a heart attack and will be with the the LORD soon when the doctor took a swab test and said seems like you've contracted COVID-19.   Was gone through number of tests, blood, lung tests, EKG, clear which show nomral organ function and sent me home with paracetamol. since then pure misery and every single day I wake up i have lingering symptoms of this poison. So the symptoms are pounding headaches which feel like aneurysm or brain tumor, preassure in the head and ears, that spread to the neck, shoulder pain, tightness of the chest, nose, throat, laboured breathing, shortness of breath, arm pain,fast heart rate particualry in the beginning, burning tingling in the lungs, muscle and joint pain,  numbnesss, tinlging in the hands fingers and toes, fizzing sensation on the skin, like something is crawling, stabbing pain in the shoulders, and certain parts of the body, like hands, wrists, back pain,  sinus burning and congestion, sore throat, dry cough,, low grade fevers since then, abdominal pain, rumbling intestines, diarrhea/constant bowel movements, nausea no vomitting, I just drool and dry heave until it wears off, may trigger or worsen anxiety, which causes panic attacks, nightmares or vivid dreams,  deep feelings, crying spells, burning eyes, or stinging in the right eye,  sweating, chills, cold feeling in your extremeties, exhausted, fatique. Been sick with this for two months and two weeks already, half of the symptoms are still here. Am I going mental here? I can't believe a mild case can wreak such havoc in my body, I am healthy, am a runner, i do yoga, eat healthy, sugar free, carb free diet, dont smoke and dont drink, I cant believe if this poison can do so much harm to someone healthy, I cant imagine what it does to old people and children, at least we are young we can articulate our pain. Yes God spared my lungs and I did not end up with pneumonia and in the hospital with oxygen on my face, but I cant believe this can be so serious and can last so long. Hospitals say it is mild until you are not hospitalised for oxigen. My family thinks I exagerate, but I do not .I just pray every day to get my life back. Please take care of yourselves, what helps me to beat this are; heatlhy food, vegitables, protein, like meat, fish, eggs, fruits, juicing from veggies and fruits; for immune system support vitamin D, zinc, C, magnesium, vitamin B complex, B12, B6, B9, B3, take between meals. For lungs and respiration, oregano oil buy in capsules, the oil, put 3 drops in boiling water, inhale, eucalyptus works fine too, opens the sinuses and aids in respiration. take oregano capsules systemically too 2 caps per day, is a natural antibiotic cleanses the body. for coughing, put two cubes of raw cocoa butter in a cup of hot milk drink two times per day before bed, calms the lungs and the throat, extra virgin coconut oil make sure it is unrefined and organic, put two teaspoons in your milk or tea and drink, it is great for the immune system, lungs and cell regeneration and inflammation as well as protects the stomach and intestinal walls. FOr detox and reducing inflammation, quercetin, two -3 caps, reduces inflammation,  spirulina up to 3000mg, great for detox, cleanses the blood and provides immune system support, curcumin, ginger and lemon, mix together make tea and drink, anti-inflammatory. For stomach discomfort, nausea/diarrhoea, take activated charcoal 2caps every -3-4 hours, binds the toxins and gets rid of it. oximeter for measuring blood oxygen saturation and pulse, for sore muscles and nerve pain, take magnesium, as well as put 2-3 tablespoons of Epsom salt in the bath and soak for 20-30 min, pulls the toxins and inflammation from your muscles and pores. I do not use pharmaceutical drugs to spare my liver and keep my body clean as much as possible, i would recommend the same to you, unless you have high fevers and too much pain and if you do, take milk thistle for your liver, protects the liver from damage. Drink plenty of water and pee as much as you can, stay away from sugar, caffeine, carbs, alcohol, basically anything that stresses the immune system. I hope this helps all sufferers there, and I wish you all good health and hopefully we will get better.</t>
        </is>
      </c>
      <c r="D1068" t="n">
        <v>1</v>
      </c>
      <c r="E1068" t="n">
        <v>0</v>
      </c>
      <c r="F1068">
        <f>HYPERLINK("https://www.reddit.com/r/COVID19positive/comments/gja0fa/70_days_of_pure_misery/")</f>
        <v/>
      </c>
      <c r="G1068" t="inlineStr">
        <is>
          <t>2020-05-13 16:03:06</t>
        </is>
      </c>
      <c r="H1068" t="inlineStr">
        <is>
          <t>Tested Positive</t>
        </is>
      </c>
    </row>
    <row r="1069">
      <c r="A1069" t="inlineStr">
        <is>
          <t>gja6wt</t>
        </is>
      </c>
      <c r="B1069" t="inlineStr">
        <is>
          <t>(62 Days 24M) So glad I found this sub</t>
        </is>
      </c>
      <c r="C1069" t="inlineStr">
        <is>
          <t>I work as security for Kaiser and worked in the ER before this whole situation got crazy. Been feeling iffy since march 13 and it got progressively worse and as of recently better. Its been such a lonely feeling but knowing others are going through this is so nice. 
Im a fairly healthy 24M youngster besides my occasional binge drinking at rave festivals. Always workout and eat healthy. Get over sicknesses fast.  So here's my journey.
March 12-13 : Feel kinda sick, kinda feverish but it never fully hit. 
March 13- April 1st: Weird chest feelings. It varied a lot through this time. Feelings of resistance while breathing, like i couldnt breath in as deep as i wanted or take in as much air as I wanted. Cold waves and dull pains in my chest/throat area. Kinda felt at times like a warm persistent heart burn. At times i would get sickish again and feel a fever pull up, but the fever never fully hit. Took lots of dayquil and niquil during this time. Took a COVID test at fire fighters  site, negative.
April 1-12ish: Still feeling weird chest feelings so I took another test at another fire fighter station (RIP my nose hole) negative again. Hit called er a couple days later cause i still felt it. Went to urgent care pop up tent. They gave me abuteral and thought it was bronchitis. Worked for the first two days. Then after that, it fucked my nerves up and made me extremely anxious and made it harder to breath!!! Stopped abuteral. Total lack of appetite this whole time, had to force feed myself and fight through the stomach pain. Was pretty bad tbh. 
April 12ish- April 21: Symptoms worsened at about april 16. Started to feel extremely fatigued, something I've never felt in my life before. Usually get over a flu in 3 days, a week at most. Huge headaches lasting through the day. Cold sweats and this feeling of never being comfortable with the temperature I was in. No appetite, none. Had to force feed and drink smoothies. Smoothies are a good send and made me feel better. Horrible stomach pain and lots of pain in stomach and liver. Diahrea and nauseous at times. Didn't help my housing situation sucked and my roommates all smoked marajuana around me while I suspected I had bronchitis. Finally had a mental breakdown on 4/20 when my roommates guests woke me up at 4am while I felt like shit and didnt let me sleep the day before too. Left and moved back home.
April 21- May 7: Felt pretty shitty moving back, but my family was so supportive it help me out a lot. I started to feel better and went back to work on the 29th even though i didnt feel ready. Next day woke up and felt horrible again. It pushed back my recovery about 4-5 days I'd say. The last week of april and first week of may were the worst. Any physical activity whether it was standing up and moving/standing destroyed me, a person who spends 2 hours at the gym normally almost daily getting destroyed by little physical effort. Was extremely worrying and I thought I was dying from cancer or something serious. Or even mono. Throughout this time I was talking to a doctor. He first told me to wait it out, then got blood test, and everything seemed fine. Good CBC test and no mono or diabetes. Still felt iffy though.
May8-13: My best day so far was may 9. Had my appetite back and ate decent. My stomach didnt hurt or anything!!! The extreme fatigue also seemed to go away too. But since then the headaches, and feelings of chest weirdness are still there. I feel this weird cold but warm feeling in my chest at times, like its stuck at the back bottom of my throat. I also walked around my block on saterday, felt really weak and kind of like I was floating. Once i got home i had a huge headache and felt really fatigued. But since I was feeling better and had taken 3 straight weeks off of work, I went to work again yesterday. Didn't feel like i should have gone back but tested it since new doctor replacing my usual doc until the weekend said to just try and test going to work and seeing how I felt.
Didn't feel all too well, but just enough to get by. Woke up today with an appetite and a headache (sadly becoming a usual thing as of lately) feeling really cold, and just kind of like a cold was coming on. So i called out. My feelings fluctuate throughout the day. Sometimes i feel pretty normally, other times like complete shit with a throbbing headache. I'll lay down and just rest until i feel better. 
I guess as of right now I feel better and am slowly seeing my recovery get better, feels really slow though. But thankfully Im gaining my appetite back and my stomach is slowly accepting food again. The headaches, fatigue, and unwellness feelings still persistent though. Fingers crossed that they get better though. 
The most stressful thing of this is it lasting so long. At this point im the bread winner of the house who is the only one with a job. And I feel the stress and pressure to get well already and go to work and provide. Its also stressful to not know wtf I have. Im assuming covid (and some of the docs ive seen assume too) is the cause given my line of work and given the situation the whole world is in right now. Also seeing subs like this relate so hard to me makes me think covid. 
It's really calming and grounding to know im not the only one going through this, its so lonely and hopeless at times going through this never ending sickness. Makes me value life so much more and sympthize for those ill with other things. I just hope my parents already dealt with this sickness and dont get fucked by it. My mom has lots of health issues and my dad has mucus problems. I feel like it would hurt them severely and the thought of that kills me inside. But ending on a positive not, thanks to everyone sharing your experiences. It helps me and many other feel hope and together. Here's to everyone getting better sooner than later!!! c:
.</t>
        </is>
      </c>
      <c r="D1069" t="n">
        <v>1</v>
      </c>
      <c r="E1069" t="n">
        <v>41</v>
      </c>
      <c r="F1069">
        <f>HYPERLINK("https://www.reddit.com/r/COVID19positive/comments/gja6wt/62_days_24m_so_glad_i_found_this_sub/")</f>
        <v/>
      </c>
      <c r="G1069" t="inlineStr">
        <is>
          <t>2020-05-13 16:12:53</t>
        </is>
      </c>
      <c r="H1069" t="inlineStr">
        <is>
          <t>Presumed Positive - From Doctor</t>
        </is>
      </c>
    </row>
    <row r="1070">
      <c r="A1070" t="inlineStr">
        <is>
          <t>gjb4uc</t>
        </is>
      </c>
      <c r="B1070" t="inlineStr">
        <is>
          <t>Should I get retested a third time if I had a mild case? (Positive then negative)</t>
        </is>
      </c>
      <c r="C1070" t="inlineStr">
        <is>
          <t>Timeline: 4/14 tested positive loss sense of smell and taste. No other symptoms like cough or fever, or anything. Maybe minor nasal congestion? 
4/24: smell and taste came back. No congestion. Felt recovered 
5/10: tested NEGATIVE (my second test) still no new symptoms fever free no medications 
asking since lots of people on this sub are testing positive, negative, then positive. my symptoms were fairly mild, and it might be a little hard to get a third test. I am not returning back to work for almost another 3 weeks a month. should I just trust this negative? 
frankly due to many people testing positive I was expecting myself to be positive still due to dead virus fragments. I am getting back to normal life booking my dentist appointments and stuff but wondered if it’s worth to try and get a third test at this point. I’m just scared to infect anyone else. It’s been exactly a month since my symptoms.</t>
        </is>
      </c>
      <c r="D1070" t="n">
        <v>1</v>
      </c>
      <c r="E1070" t="n">
        <v>3</v>
      </c>
      <c r="F1070">
        <f>HYPERLINK("https://www.reddit.com/r/COVID19positive/comments/gjb4uc/should_i_get_retested_a_third_time_if_i_had_a/")</f>
        <v/>
      </c>
      <c r="G1070" t="inlineStr">
        <is>
          <t>2020-05-13 17:05:24</t>
        </is>
      </c>
      <c r="H1070" t="inlineStr">
        <is>
          <t>Tested Positive - Me</t>
        </is>
      </c>
    </row>
    <row r="1071">
      <c r="A1071" t="inlineStr">
        <is>
          <t>gjbb6e</t>
        </is>
      </c>
      <c r="B1071" t="inlineStr">
        <is>
          <t>Any doctors in this forum</t>
        </is>
      </c>
      <c r="C1071" t="inlineStr">
        <is>
          <t>Are there any Doctors on this forum. Wonder why the mainstream doctors and healthcare professionals haven’t caught up on these symptoms - GI &amp;amp; Cardiac. Most of the health care professionals I’ve talked to are still looking at typical symptoms. Am I missing anything ?</t>
        </is>
      </c>
      <c r="D1071" t="n">
        <v>1</v>
      </c>
      <c r="E1071" t="n">
        <v>6</v>
      </c>
      <c r="F1071">
        <f>HYPERLINK("https://www.reddit.com/r/COVID19positive/comments/gjbb6e/any_doctors_in_this_forum/")</f>
        <v/>
      </c>
      <c r="G1071" t="inlineStr">
        <is>
          <t>2020-05-13 17:15:30</t>
        </is>
      </c>
      <c r="H1071" t="inlineStr">
        <is>
          <t>Presumed Positive - From Doctor</t>
        </is>
      </c>
    </row>
    <row r="1072">
      <c r="A1072" t="inlineStr">
        <is>
          <t>gjbder</t>
        </is>
      </c>
      <c r="B1072" t="inlineStr">
        <is>
          <t>51 days and finally feeling some improvement</t>
        </is>
      </c>
      <c r="C1072" t="inlineStr">
        <is>
          <t>I’ve been sick since March 23rd but due to test shortages couldn’t get tested until I started having kidney issues along with the coughing, fever, shortness of breath, muscle aches, exhaustion, and loss of taste.  That was April 17th.  I thought I was getting better about a week later but suddenly took a turn for the worse.  Turned out I developed pneumonia and a sinus infection as secondary infections.  Today I finished my last antibiotic and finally feel like I might actually be recovering.  I still have to follow up on the kidney issues but it feels amazing to not feel awful.</t>
        </is>
      </c>
      <c r="D1072" t="n">
        <v>1</v>
      </c>
      <c r="E1072" t="n">
        <v>4</v>
      </c>
      <c r="F1072">
        <f>HYPERLINK("https://www.reddit.com/r/COVID19positive/comments/gjbder/51_days_and_finally_feeling_some_improvement/")</f>
        <v/>
      </c>
      <c r="G1072" t="inlineStr">
        <is>
          <t>2020-05-13 17:19:18</t>
        </is>
      </c>
      <c r="H1072" t="inlineStr">
        <is>
          <t>Tested Positive - Me</t>
        </is>
      </c>
    </row>
    <row r="1073">
      <c r="A1073" t="inlineStr">
        <is>
          <t>gjczrk</t>
        </is>
      </c>
      <c r="B1073" t="inlineStr">
        <is>
          <t>Am I Still Contagious?</t>
        </is>
      </c>
      <c r="C1073" t="inlineStr">
        <is>
          <t>Hello, I am new to reddit so I apologize if this post is out of place...
So I (18F) have had Covid symptoms (fatigue, fever, SOB, chest pain/tightness, mild GI, headache, sore throat, ect) going on 7.5 weeks now. 
At Day 26 I had two tests done and they were both negative, however, given the time it took to get tested and my symptoms my doctor still assumes I am/was positive and no longer “shedding the virus”. 
A few days after I was tested, I started to improve. It was up and down for a bit but the last several days I have maintained moderate fatigue and a low grade fever. 
I know that recovery can take a long time but here’s the question:  Am I contagious????
CDC guidelines don’t clarify for my situation and i’m not sure what to do. (ie two neg tests, but with persisting (reduced) symptoms)
I feel like I have to start to return to life (I have an important class starting next week) but I obviously wouldn’t put others in danger of getting sick. I am so conflicted.</t>
        </is>
      </c>
      <c r="D1073" t="n">
        <v>1</v>
      </c>
      <c r="E1073" t="n">
        <v>7</v>
      </c>
      <c r="F1073">
        <f>HYPERLINK("https://www.reddit.com/r/COVID19positive/comments/gjczrk/am_i_still_contagious/")</f>
        <v/>
      </c>
      <c r="G1073" t="inlineStr">
        <is>
          <t>2020-05-13 18:57:21</t>
        </is>
      </c>
      <c r="H1073" t="inlineStr">
        <is>
          <t>Presumed Positive - From Doctor</t>
        </is>
      </c>
    </row>
    <row r="1074">
      <c r="A1074" t="inlineStr">
        <is>
          <t>gjd6jk</t>
        </is>
      </c>
      <c r="B1074" t="inlineStr">
        <is>
          <t>Day 52 positive but symptom free</t>
        </is>
      </c>
      <c r="C1074" t="inlineStr">
        <is>
          <t>Day 52 in the hospital.
For background context again: I’m in Singapore where every positive case has to be isolated in the hospital or a community isolation facility until they test double negatives. 
I’ve been symptom free for more than 1 month now. Totally symptom free but I have been testing positive. 
I managed to get 2 negatives, although not consecutively so I can’t discharge. Last swab yesterday STILL positive. Gosh I’m going insane, I don’t even know when I’ll ever get to go home and leave this hospital room. I haven’t stepped out of here for 56 days. While I know I’m lucky that my symptoms are mild, I feel like a prisoner. I have cabin fever. Anxiety, insomnia. 
How is it that I feel incredibly healthy and well but still test positive? How is it that I had 2 negatives but not consecutively? God help me please I’m going mad here.</t>
        </is>
      </c>
      <c r="D1074" t="n">
        <v>1</v>
      </c>
      <c r="E1074" t="n">
        <v>12</v>
      </c>
      <c r="F1074">
        <f>HYPERLINK("https://www.reddit.com/r/COVID19positive/comments/gjd6jk/day_52_positive_but_symptom_free/")</f>
        <v/>
      </c>
      <c r="G1074" t="inlineStr">
        <is>
          <t>2020-05-13 19:09:02</t>
        </is>
      </c>
      <c r="H1074" t="inlineStr">
        <is>
          <t>Tested Positive - Me</t>
        </is>
      </c>
    </row>
    <row r="1075">
      <c r="A1075" t="inlineStr">
        <is>
          <t>gjd83j</t>
        </is>
      </c>
      <c r="B1075" t="inlineStr">
        <is>
          <t>More focus needs to be on long term cases if we are serious about reopening.</t>
        </is>
      </c>
      <c r="C1075" t="inlineStr">
        <is>
          <t>As the title says, I can’t see a path forward until there’s more focus on long time symptomatic people. So many times I see the question asked “am I still contagious. The only answer I ever see or hear is “we don’t know.”
I cannot see how we will be successful in reopening to if so many people have to essentially flip a coin or just assuming they are no longer contagious. Otherwise, if you have any symptoms at all, you essentially are trapped in isolation indefinitely. Both solutions suck. Either you could infect people because “eh, I’ve felt fine for a week” or you are a prisoner of your own body. People who are 50,60,70 days out could very likely not be contagious, as I don’t recall many viruses being contagious that far out.</t>
        </is>
      </c>
      <c r="D1075" t="n">
        <v>1</v>
      </c>
      <c r="E1075" t="n">
        <v>7</v>
      </c>
      <c r="F1075">
        <f>HYPERLINK("https://www.reddit.com/r/COVID19positive/comments/gjd83j/more_focus_needs_to_be_on_long_term_cases_if_we/")</f>
        <v/>
      </c>
      <c r="G1075" t="inlineStr">
        <is>
          <t>2020-05-13 19:11:40</t>
        </is>
      </c>
      <c r="H1075" t="inlineStr">
        <is>
          <t>Presumed Positive - From Doctor</t>
        </is>
      </c>
    </row>
    <row r="1076">
      <c r="A1076" t="inlineStr">
        <is>
          <t>gje840</t>
        </is>
      </c>
      <c r="B1076" t="inlineStr">
        <is>
          <t>Anyone else had off and on again persistant upset stomach</t>
        </is>
      </c>
      <c r="C1076" t="inlineStr">
        <is>
          <t>I got symptoms before mass testing was available. Primarily a week of diarheah (I don't know why spellcheck can't correct this), felt flushed, fatigue and nasal congestion. Did a e-survey for a doctor who said I may have it. 
After about 2 weeks I felt good. Then on Monday I went for a run not long after eating dinner. Since Monday night my stomach has been upset again. Never experienced these kind of symptoms before in my life. Had really bad acid reflux as well, basically had to sleep more upright. Not overweight, in fact likely underweight. Wasn't binge eating in Monday. 
Probably get a test tomorrow if my stomach is still upset. 
Anyone else experience this?</t>
        </is>
      </c>
      <c r="D1076" t="n">
        <v>1</v>
      </c>
      <c r="E1076" t="n">
        <v>14</v>
      </c>
      <c r="F1076">
        <f>HYPERLINK("https://www.reddit.com/r/COVID19positive/comments/gje840/anyone_else_had_off_and_on_again_persistant_upset/")</f>
        <v/>
      </c>
      <c r="G1076" t="inlineStr">
        <is>
          <t>2020-05-13 20:16:14</t>
        </is>
      </c>
      <c r="H1076" t="inlineStr">
        <is>
          <t>Presumed Positive - From Doctor</t>
        </is>
      </c>
    </row>
    <row r="1077">
      <c r="A1077" t="inlineStr">
        <is>
          <t>gjepz5</t>
        </is>
      </c>
      <c r="B1077" t="inlineStr">
        <is>
          <t>38/M - Ill from 3/1 to 4/15 - back to 100% by 4.16, now feeling worse again</t>
        </is>
      </c>
      <c r="C1077" t="inlineStr">
        <is>
          <t>So both me and my doctor presume that I came down with COVID on March 1.  I was back to 90% by April 1 - and oscillated between feeling 90-100% until I finally felt completely better on April 15.  On May 7 the light sore throat began to return, followed by lethargy and stomach cramping, along with pretty much all the prior symptoms.  As was the case originally, the stomach cramping is by far the worst symptom predicting the onset of others.   It seems to be getting a bit worse again day by day, but still severity is a full notch lower than mid-March (and no pounding headache or fever thankfully).
I did test negative on 3/26 - after almost a full month of symptoms.  My doc still thinks it's Covid though, and that I was just no longer shedding by the time testing.  Just got the antibody test today and waiting on results.
It's very frustrating to see the regression.  Anyone else felt completely better for 2 weeks, only to have it all come back?
Below are some details:
\- Traveled to our largest in-state cluster at the time just before symptoms started (Eagle County - Vail, CO on 2/29)  
\- Three different doctors have identified this as a viral infection. I had negative test results for flu (on two different occasions), Mono, CMV, and all viruses on common respiratory viral panel (included rhinovirus - resp. for most common colds)  
\- Symptoms consistent with some cases I've read about, but have come in waves of varying lengths throughout. The most prominent for me throughout has certainly been GI related. The nausea seems to serve as a pre-cursor to a wave of the other symptoms I experience, and is the last symptom to go away at the end of a wave (pretty much constant nausea for the worst periods) . I've had a low grade fever (max 100 on only one occasion), dry cough , headache, sore throat, light headedness/feverish/fatigued feeling during these waves.
Below is the play by play -
3/1 - woke up with slight dry cough. Nausea (stomach growling type) began on this day, very intense, followed by liquid diarrhea. This is the only day I've had diarrhea.
3/2 - 3/4 - Would start day with morning sore throat, which would resolve itself in an hour of so of waking. Waves began and continued to increase in severity, but still felt pretty normal between waves. Symptoms - nausea (stomach growling), headache, dry cough.
3/5 - 3/7 - Same wave like symptoms continued, but more intense and not returning to feeling normal in between (fatigue became persistent). I took my first negative flu test on 3/5. Doctor was not concerned about Covid due to the GI symptoms and no fever yet. On 3/6 I began to run a low-grade fever (99-99.5) between each wave.
3/8 - 3/10 - Symptoms began to become less intense and less frequent. I was still running low grade fevers during mild waves on 3/8, but I didn't spike anything over 98.8 on 3/9 and 3/10.
3/11 - 3/13 - Symptoms became more intense and waves longer/more frequent once again (and more so than the 3.5 - 3.7 period). Low grade fever spikes resumed, briefly touching 100 on 3/13. Visited doctor again on 3/11 and tested negative for flu again, mono, and others mentioned above. Doctor said I may have COVID, but didn't qualify for testing. He told me to continue self-quarantine. 3/13 was the worst day so far, dry cough, sore throat, headache were active all day - like one long wave.
3/14 - 3/16 - Once again symptoms waves decreased in length, number and severity. I actually went a full 24 hours without any waves, 3/15 to 3/16.
3/17 - Felt normal almost all day, then stomach growling and light headedness/headache/sore throat/increased dry coughing returned late afternoon. I briefly touched 99 this morning (with no feverish feeling), but most of the day normal temperature (98-98.6). Tonight I've gotten two intense waves again and nausea is back at the level it was last week (possibly slightly more severe). Otherwise, it seems to be in the range of the 3.5 to 3.7 period.
3/18  - 3/31 -  the continual oscillation of symptoms continued for the rest of the month, with each wave gradually decreasing in severity.  Nasal swab test taken on 3/26 - negative.
4/1 - 4/15 - I was feeling pretty good most of the time, other than some minor, short symptom waves.  I'd say I felt between 90%- 97% of normal.
4/15 - 5/6- I felt pretty much completely well.  If I was still having waves, they were not noticable. 
5/7 - Started to feel a very slight off/on sore throat come back.
5/8 - Started to experience light stomach cramps as well.
5/9 - Was the first day I felt like oh shit, this is coming back.  Light lethargy, cough (mostly wet/productive coughs this go round) and some light headaches appeared again.  All of these are coming and going in the same waves as in March - just much duller.
5/10 - 5/12 - Symptoms still present but seemed lighter than the weekend.
5/13 - Today severity kicked up a notch.  I feel the worst I've felt since 3/31 - stomach cramps and lethargy are much more intense today.  I'm starting to feel lightly feverish again at times - but no elevated temp yet.
Once again, just wondering if anyone has seen this return of symptoms after feeling consistently better for 2 weeks and how long the second bout lasted?</t>
        </is>
      </c>
      <c r="D1077" t="n">
        <v>1</v>
      </c>
      <c r="E1077" t="n">
        <v>9</v>
      </c>
      <c r="F1077">
        <f>HYPERLINK("https://www.reddit.com/r/COVID19positive/comments/gjepz5/38m_ill_from_31_to_415_back_to_100_by_416_now/")</f>
        <v/>
      </c>
      <c r="G1077" t="inlineStr">
        <is>
          <t>2020-05-13 20:49:50</t>
        </is>
      </c>
      <c r="H1077" t="inlineStr">
        <is>
          <t>Presumed Positive - From Doctor</t>
        </is>
      </c>
    </row>
    <row r="1078">
      <c r="A1078" t="inlineStr">
        <is>
          <t>gjfiyv</t>
        </is>
      </c>
      <c r="B1078" t="inlineStr">
        <is>
          <t>Question to those with asthma</t>
        </is>
      </c>
      <c r="C1078" t="inlineStr">
        <is>
          <t>I have had shortness of breath for about 4-5 weeks now and it is beginning to subside a bit, but remains constantly. My Covid test was negative but my doctor said it could have been a false negative.
 After a visit to the ER due to severe SOB, clots were ruled out and my lungs were completely clear of fluid based on a chest x ray and CT scan. I never had any other covid symptoms. I saw a specialist today that believes I actually have asthma. I've had a history of allergies but never tested for asthma. I've been given a steroid puffer for now until I can go for a pulmonary function test. I'm nervous that if it were the virus (and not asthma) and my body was successfully fighting it off, throwing a steroid puffer into the mix could impact my body's immuity or mask worsening breathing symptoms.
Any thoughts?</t>
        </is>
      </c>
      <c r="D1078" t="n">
        <v>1</v>
      </c>
      <c r="E1078" t="n">
        <v>3</v>
      </c>
      <c r="F1078">
        <f>HYPERLINK("https://www.reddit.com/r/COVID19positive/comments/gjfiyv/question_to_those_with_asthma/")</f>
        <v/>
      </c>
      <c r="G1078" t="inlineStr">
        <is>
          <t>2020-05-13 21:46:20</t>
        </is>
      </c>
      <c r="H1078" t="inlineStr">
        <is>
          <t>Presumed Positive - From Doctor</t>
        </is>
      </c>
    </row>
    <row r="1079">
      <c r="A1079" t="inlineStr">
        <is>
          <t>gjgdsi</t>
        </is>
      </c>
      <c r="B1079" t="inlineStr">
        <is>
          <t>My diabetic 87 year old uncle beat COVID19 he caught living in a nursing home!</t>
        </is>
      </c>
      <c r="C1079" t="inlineStr">
        <is>
          <t>I’m beyond EXCITED to tell anyone reading this! I just received the latest update from one of my cousins that my Uncle Don has beat COVID 19!!!
Uncle Don tested positive last month while living in a pretty low end nursing home in NW Indiana. He doesn’t have a phone in his room, so getting any updates have been tough. I was not optimistic, considering his diabetes and age. However, he has powerhoused through!!! 
YAY, YAY, YAY!!!!!</t>
        </is>
      </c>
      <c r="D1079" t="n">
        <v>1</v>
      </c>
      <c r="E1079" t="n">
        <v>75</v>
      </c>
      <c r="F1079">
        <f>HYPERLINK("https://www.reddit.com/r/COVID19positive/comments/gjgdsi/my_diabetic_87_year_old_uncle_beat_covid19_he/")</f>
        <v/>
      </c>
      <c r="G1079" t="inlineStr">
        <is>
          <t>2020-05-13 22:52:35</t>
        </is>
      </c>
      <c r="H1079" t="inlineStr">
        <is>
          <t>Tested Positive - Family</t>
        </is>
      </c>
    </row>
    <row r="1080">
      <c r="A1080" t="inlineStr">
        <is>
          <t>gjgrps</t>
        </is>
      </c>
      <c r="B1080" t="inlineStr">
        <is>
          <t>Some Hope</t>
        </is>
      </c>
      <c r="C1080" t="inlineStr">
        <is>
          <t>I spend a lot of time frequenting this sub and have noticed many individuals with the virus say that they're still experiencing debilitating symptoms weeks or months after they initially contracted it. Constantly reading about these long, drawn out, terrible illnesses is understandably anxiety inducing for those who are already concerned that every little throat tickle or headache is the virus. In these times, it's important to remember that the kinds of posts that we're seeing are incredibly skewed away from the "mild" cases and toward the more moderate to severe. Not everyone who contracts the virus will be sick for 4 months. Unfortunately, some may. However, I'd like to give a little bit of reassurance in the form of personal anecdotes from family's experience with the virus in NYC.
My father is 62 with severely progressed frontal lobe dementia and type 2 diabetes. He lives in an assisted living facility which has had quite a few cases and was quarantined with his roommate who had been sent to the hospital for something unrelated starting on April 25th, which is when I presume his exposure occurred. After not eating much and having a diabetic seizure-like episode the last week of April, he was sent to the hospital. He tested positive on May 2nd, 14 days ago, and has had zero symptoms since. No fever, lung x-rays are clear, eating and drinking fine. His dementia is too far progressed to communicate if something hurts him inside or if he has lost his sense of taste or smell, but the hospital staff has told me he's looking great. He has been in the hospital since because the facility is understandably not willing to take back a positive patient. His blood type is A+, because I know some of you will ask.
My boyfriend's family also contracted the virus as things peaked in late March/early April. The family consists of a 20 year old male with no prior health conditions, a 40ish year old female with some kind of chronic pain illness (maybe fibromyalgia? unsure), a 5 year old girl, and a mid 60s grandmother who had several stroke/clot like neurological events in January. They contracted it from a routine pediatrician appointment visit for the little girl when one of the front desk employees was sick and went to work anyway. They got it bad. They even called an ambulance for the 20 year old male one night because of how terrible his difficulty breathing was and then decided to keep him home when the ambulance wanted to take him to the most overrun, covid-saturated hospital in the heart of NYC. They all recovered from the illness within the span of a month with no lasting side effects/symptoms. They've been outside walking their dog with no relapses from exertion. The grandmother has even been going on runs this week and still feels fine. Hopefully things stay that way. No, I don't know any of their blood types.
We tend to fixate on the moderate to severe cases because that's what we've mostly been reading about, but there ARE others out there. Many people are coming out of the other side of this illness the same as before they got it, and I think sometimes it's easy to forget that when all we hear about are personal anecdotes from those who are still experiencing symptoms and relapsing after 2-3 months of illness. Anxiety is a TERRIBLE thing, and it's important to remember that it very easily can physically manifest in our bodies with many of the same symptoms that Covid-19 presents with. Tachycardia, high blood pressure, chest tightness, diarrhea, stomach cramps, back pain, headache, and even sore throat if you fixate on it too much, can all be caused by anxiety. 
Take a break from this sub sometimes, play animal crossing or warzone, maybe bake some bread, and most importantly stay safe.</t>
        </is>
      </c>
      <c r="D1080" t="n">
        <v>1</v>
      </c>
      <c r="E1080" t="n">
        <v>56</v>
      </c>
      <c r="F1080">
        <f>HYPERLINK("https://www.reddit.com/r/COVID19positive/comments/gjgrps/some_hope/")</f>
        <v/>
      </c>
      <c r="G1080" t="inlineStr">
        <is>
          <t>2020-05-13 23:23:45</t>
        </is>
      </c>
      <c r="H1080" t="inlineStr">
        <is>
          <t>Tested Positive - Family</t>
        </is>
      </c>
    </row>
    <row r="1081">
      <c r="A1081" t="inlineStr">
        <is>
          <t>gjgvux</t>
        </is>
      </c>
      <c r="B1081" t="inlineStr">
        <is>
          <t>Anxiety attacks and Covid</t>
        </is>
      </c>
      <c r="C1081" t="inlineStr">
        <is>
          <t>Hello! 
I tested positive for Covid on May 11th. I’ve had symptoms since May 7th.
My symptoms have been pretty mild, starting with aches and pains and a cough with phlegm.
Lots of congestion and loss of taste and smell on May 11th. 
My primary doctor thinks I have a pretty mild case, but I am wondering if what I’m experiencing is due to the anxiety of this whole virus or the virus itself, maybe a bit of both. I have generalized anxiety disorder and so panic attacks are common for me.
I’m starting to feel like I have sudden moments where I can’t breathe well, and my palms and feet get all sweaty like a panic attack. I drink some water, talk to a friend on the phone, and I feel better when I get my mind off of it... still congested and weird but better.
But I can’t help but to wonder if this virus is getting worse. It’s really hard to distinguish the two for me and when to be concerned. 
Has anyone else had panic attacks with this? How did you cope?  
I’m the only I know who has tested positive so this sub is a huge help!!</t>
        </is>
      </c>
      <c r="D1081" t="n">
        <v>1</v>
      </c>
      <c r="E1081" t="n">
        <v>4</v>
      </c>
      <c r="F1081">
        <f>HYPERLINK("https://www.reddit.com/r/COVID19positive/comments/gjgvux/anxiety_attacks_and_covid/")</f>
        <v/>
      </c>
      <c r="G1081" t="inlineStr">
        <is>
          <t>2020-05-13 23:32:48</t>
        </is>
      </c>
      <c r="H1081" t="inlineStr">
        <is>
          <t>Tested Positive - Me</t>
        </is>
      </c>
    </row>
    <row r="1082">
      <c r="A1082" t="inlineStr">
        <is>
          <t>gjhlb4</t>
        </is>
      </c>
      <c r="B1082" t="inlineStr">
        <is>
          <t>is this a death sentence?</t>
        </is>
      </c>
      <c r="C1082" t="inlineStr">
        <is>
          <t>my grandma got coronavirus and now she’s on a ventilator in the ICU. she’s in her late 70s and immunocompromised. she’s very fit and goes on long walks/runs often, and eats well, but idk how much significance that holds. in your experience would you say she has a chance? i hope this isn’t the wrong place to post this. hope you’re all doing well x</t>
        </is>
      </c>
      <c r="D1082" t="n">
        <v>1</v>
      </c>
      <c r="E1082" t="n">
        <v>31</v>
      </c>
      <c r="F1082">
        <f>HYPERLINK("https://www.reddit.com/r/COVID19positive/comments/gjhlb4/is_this_a_death_sentence/")</f>
        <v/>
      </c>
      <c r="G1082" t="inlineStr">
        <is>
          <t>2020-05-14 00:28:45</t>
        </is>
      </c>
      <c r="H1082" t="inlineStr">
        <is>
          <t>Tested Positive - Family</t>
        </is>
      </c>
    </row>
    <row r="1083">
      <c r="A1083" t="inlineStr">
        <is>
          <t>gji7ib</t>
        </is>
      </c>
      <c r="B1083" t="inlineStr">
        <is>
          <t>I need comfort.</t>
        </is>
      </c>
      <c r="C1083" t="inlineStr">
        <is>
          <t>I tested positive several days ago. My family and I are in a government quarantine hotel since over 1 week. We are on day 13 of symptoms. The last 3 days, my chest pain has gotten worse as well as shortness of breath. Although they have classified us as mild, I have been having nonstop panic attacks every time I feel my breathing become labored or when the lung pain returns after Tylenol wears off. The lining of my lungs feels “inflamed” I don’t know how else to say it. That makes me think there is something worse to wake up to tomorrow as it has for the last few days.
I have been taking omega 3, vitamin D, , multivitamins, magnesium, theanine (for calm), and Tylenol to help with deep breathing exercises. 
My husband was given Zithromax at the beginning and I can’t help but wonder if that’s why he’s doing much better than me with no chest pain. (I heard about some antiviral properties it had in addition to preventing/treating early pneumonia). They won’t give it to me unless I have an elevated temp. I’m checking my temp obsessively as well as pulse ox.
I need to hear something comforting about recoveries. Anything that would help me feel like things won’t be getting worse from here. I’m desperate. In a constant state of fear of the virus taking over completely. At what point is the general peak and timeline for the beginning of recovery? 
I have complete loss of smell and taste for 5 days now. I heard of a correlation both with a mild progression but also more severe- information is all over the place which doesn’t help. Please, anything to help would be deeply appreciated.</t>
        </is>
      </c>
      <c r="D1083" t="n">
        <v>1</v>
      </c>
      <c r="E1083" t="n">
        <v>32</v>
      </c>
      <c r="F1083">
        <f>HYPERLINK("https://www.reddit.com/r/COVID19positive/comments/gji7ib/i_need_comfort/")</f>
        <v/>
      </c>
      <c r="G1083" t="inlineStr">
        <is>
          <t>2020-05-14 01:20:58</t>
        </is>
      </c>
      <c r="H1083" t="inlineStr">
        <is>
          <t>Tested Positive - Me</t>
        </is>
      </c>
    </row>
    <row r="1084">
      <c r="A1084" t="inlineStr">
        <is>
          <t>gjkmeh</t>
        </is>
      </c>
      <c r="B1084" t="inlineStr">
        <is>
          <t>My Experience With Covid (Asthmatic)</t>
        </is>
      </c>
      <c r="C1084" t="inlineStr">
        <is>
          <t>Hi,
I am 24 and I have asthma that is controlled with daily inhaled corticosteroids. I tested positive for Covid, and I am now symptomless for the past few days. I just wanted to post my own experience with the virus which has thankfully been mild. Interestingly enough, I did not have a high fever or a cough at any time.
&amp;amp;#x200B;
Day 1 - 
First sign of symptoms. Woke up with a bad headache, muscle aches, cold/hot flashes (but no fever), sore throat, irriated throat, mild shortness of breath, sleeplessness and waking up drenched in sweat 
&amp;amp;#x200B;
Day 2 - 
Throat more irritated, hurts to swallow, woke up with headache and pain behind eyes, muscle aches had reduced, and no hot/cold flashes, chest a bit tight with mild shortness of breath. 
&amp;amp;#x200B;
Day 3 - 
Symptoms improving, headache with pain behind eyes, small amount of blood in clear white mucus, bloody boogers, no hot flashes, reduced muscle aches, chest a bit tight but breathing fine, hard to sleep at night 
&amp;amp;#x200B;
Day 4 - 
Breathing and chest fine. Throat fine. Able to sleep properly. Bit of headache 
&amp;amp;#x200B;
Day 5 - 
Mild shortness of breath, sensation of clogged mucus that can't be coughed out, mild sinus pressure and a bit of chest tightness 
&amp;amp;#x200B;
Day 6 - 
Covid positive result confirmed. Developing lack of taste and smell, with a very weird smell that is still present. Feeling fine, and slept well. 
&amp;amp;#x200B;
Day 7 - 
Breathing fine, but chest a bit tight.
&amp;amp;#x200B;
Day 8 -
Tiny streaks of blood in white mucus, some soreness in chest, but generally no symptoms
&amp;amp;#x200B;
Day 9 - 
Some head pressure but generally fine. 
&amp;amp;#x200B;
Day 10 onwards 
Completely fine, no symptoms 
&amp;amp;#x200B;
I hope that this will be useful for you, especially those that have asthma. I am thankful that I have only had mild symptoms.</t>
        </is>
      </c>
      <c r="D1084" t="n">
        <v>1</v>
      </c>
      <c r="E1084" t="n">
        <v>29</v>
      </c>
      <c r="F1084">
        <f>HYPERLINK("https://www.reddit.com/r/COVID19positive/comments/gjkmeh/my_experience_with_covid_asthmatic/")</f>
        <v/>
      </c>
      <c r="G1084" t="inlineStr">
        <is>
          <t>2020-05-14 04:33:29</t>
        </is>
      </c>
      <c r="H1084" t="inlineStr">
        <is>
          <t>Tested Positive - Me</t>
        </is>
      </c>
    </row>
    <row r="1085">
      <c r="A1085" t="inlineStr">
        <is>
          <t>gjmlci</t>
        </is>
      </c>
      <c r="B1085" t="inlineStr">
        <is>
          <t>Worried smell and taste will never return fully</t>
        </is>
      </c>
      <c r="C1085" t="inlineStr">
        <is>
          <t>I got sick about three weeks ago and loss my smell and taste about 15 days ago. It has come back a little. I can taste at about 50 percent and smell pleasant odors like colognes. But can’t smell foul odors at all. Worried it’s damaged for good. Anyone with experience with this?  Dr. said there is nothing I can do.</t>
        </is>
      </c>
      <c r="D1085" t="n">
        <v>1</v>
      </c>
      <c r="E1085" t="n">
        <v>35</v>
      </c>
      <c r="F1085">
        <f>HYPERLINK("https://www.reddit.com/r/COVID19positive/comments/gjmlci/worried_smell_and_taste_will_never_return_fully/")</f>
        <v/>
      </c>
      <c r="G1085" t="inlineStr">
        <is>
          <t>2020-05-14 06:43:07</t>
        </is>
      </c>
      <c r="H1085" t="inlineStr">
        <is>
          <t>Tested Positive - Me</t>
        </is>
      </c>
    </row>
    <row r="1086">
      <c r="A1086" t="inlineStr">
        <is>
          <t>gjmo9j</t>
        </is>
      </c>
      <c r="B1086" t="inlineStr">
        <is>
          <t>Newest post-CV relapse symptom: Migraines &amp;amp; red burning skin on my face &amp;amp; neck. Anyone else? (55+ days post-CV)</t>
        </is>
      </c>
      <c r="C1086" t="inlineStr">
        <is>
          <t>Has anyone else experienced this symptom yet?  
55+ days since the serious CV symptoms hit me but was sick for about 2 weeks before the worrisome symptoms so got CV about  3 months ago.  Over a week ago suddenly was hit with a bad migraine on the right side of my head that lasted all week long but waxed &amp;amp; waned.  All the skin on that side of my head turned bright red as well as on my neck on that side and my chest.  No fever but it felt and looked like my skin was sunburned bad.  It's been coming and going for over a week now.
Today the migraine is almost gone on that right side of my head but the skin is starting to turn red and burn on the other left side of my neck now.
I had the buzzing/internal vibration symptoms about 3-4 weeks ago but then had a really great recovery week until this migraine/burning skin started hitting me out of the blue.  Thank goodness constantly using a cool wet washcloth helped with the burning feeling as I'm afraid to take any pain pills since they spike my blood pressure.  Blood pressure spikes is another post-coronavirus symptom that I'm trying to keep under control.</t>
        </is>
      </c>
      <c r="D1086" t="n">
        <v>2</v>
      </c>
      <c r="E1086" t="n">
        <v>44</v>
      </c>
      <c r="F1086">
        <f>HYPERLINK("https://www.reddit.com/r/COVID19positive/comments/gjmo9j/newest_postcv_relapse_symptom_migraines_red/")</f>
        <v/>
      </c>
      <c r="G1086" t="inlineStr">
        <is>
          <t>2020-05-14 06:47:51</t>
        </is>
      </c>
      <c r="H1086" t="inlineStr">
        <is>
          <t>Presumed Positive - From Doctor</t>
        </is>
      </c>
    </row>
    <row r="1087">
      <c r="A1087" t="inlineStr">
        <is>
          <t>gjnfud</t>
        </is>
      </c>
      <c r="B1087" t="inlineStr">
        <is>
          <t>Day 3. Thought I’d share my symptoms too.</t>
        </is>
      </c>
      <c r="C1087" t="inlineStr">
        <is>
          <t>I read through as many posts as I could! I see how many of us have different symptoms but if love to hear if anyone shares or shared mine. Also i don’t know what to expect in the coming weeks. Will this get worse?!
Day one- fever of 101 but went up and down a lot. Stayed around 99 mostly. 
Day 2- fever came and went but not much. Stayed low. Waves of symptoms started. Sharp pains in my ribs and back. Almost like heartburn but sharper. Coughing started. It’s dry and wheezy. My hands and feet are ICE! I manage to bundle up my feet but my poor fingers. Couldn’t nap. Every time i would doze off, it felt like i would vibrate? What is that?! 
Day 3- i finally slept through the night. I’m coughing a lot more. I can not hold a conversation without being winded! I got up and dressed myself, washed my face, etc and then immediately had to lay down. It was like I worked out for hours doing just that. Completely out of breath. No fever at all today. My hands and feet are making me insane. I need my hands! My fingers are so cold they feel almost numb. 
That’s where I’m at now. I got symptoms the day after I tested positive. I work in a nursing home. I’ve been the most careful person on the planet!! Followed all rules. One of our nurses got the virus, and that’s all it really takes. Thankfully there’s only a few of us positive out of the whole place. 
So what’s next for me? Will it stay “mild” like this? I can deal with this. I have help at home and am quarantined in my bedroom away from my family. But I’m scared. I’m scared it’ll keep getting worse with new symptoms daily like it has been doing.</t>
        </is>
      </c>
      <c r="D1087" t="n">
        <v>1</v>
      </c>
      <c r="E1087" t="n">
        <v>13</v>
      </c>
      <c r="F1087">
        <f>HYPERLINK("https://www.reddit.com/r/COVID19positive/comments/gjnfud/day_3_thought_id_share_my_symptoms_too/")</f>
        <v/>
      </c>
      <c r="G1087" t="inlineStr">
        <is>
          <t>2020-05-14 07:31:16</t>
        </is>
      </c>
      <c r="H1087" t="inlineStr">
        <is>
          <t>Tested Positive - Me</t>
        </is>
      </c>
    </row>
    <row r="1088">
      <c r="A1088" t="inlineStr">
        <is>
          <t>gjoiz8</t>
        </is>
      </c>
      <c r="B1088" t="inlineStr">
        <is>
          <t>Tomorrow marks day 14 from first symptom onset- mild case. Chances of being contagious?</t>
        </is>
      </c>
      <c r="C1088" t="inlineStr">
        <is>
          <t>As of tomorrow we are all on day 14-16 since symptom onset. Fevers have been gone well over a week, coughing and breathing issues have resolved. My son, so far, has taken precaution (n95 mask and changing gloves all day, only coming out of his room after things have been disinfected, just for bathroom and food )and has not shown any symptoms at all yet. Idk if hes in the clear,(maybe asymptomatic) but I’m also wondering what the chances are of infecting him at this current point in time?</t>
        </is>
      </c>
      <c r="D1088" t="n">
        <v>1</v>
      </c>
      <c r="E1088" t="n">
        <v>8</v>
      </c>
      <c r="F1088">
        <f>HYPERLINK("https://www.reddit.com/r/COVID19positive/comments/gjoiz8/tomorrow_marks_day_14_from_first_symptom_onset/")</f>
        <v/>
      </c>
      <c r="G1088" t="inlineStr">
        <is>
          <t>2020-05-14 08:28:53</t>
        </is>
      </c>
      <c r="H1088" t="inlineStr">
        <is>
          <t>Tested Positive</t>
        </is>
      </c>
    </row>
    <row r="1089">
      <c r="A1089" t="inlineStr">
        <is>
          <t>gjoj65</t>
        </is>
      </c>
      <c r="B1089" t="inlineStr">
        <is>
          <t>Partner says he still can't taste or smell anything and today makes 8 weeks. Really starting to worry.</t>
        </is>
      </c>
      <c r="C1089" t="inlineStr">
        <is>
          <t>I've read a lot of experiences where taste and smell return after a week or two and some lasting up to a month, but my partner got a positive diagnosis (and I'm presumed positive but was asymptomatic) on 3/21 and lost his sense of smell about a week before that so I haven't seen many people talk about losing it for that long. 
He says he's still pretty much at 0% and everything I've read says it comes back gradually but he says that hasn't been the case for him so far. The doctor said it would take 4-6 weeks so I know it can last a while but if anyone has similar stories (even if it's not about Covid specifically) we would love to hear them!</t>
        </is>
      </c>
      <c r="D1089" t="n">
        <v>1</v>
      </c>
      <c r="E1089" t="n">
        <v>4</v>
      </c>
      <c r="F1089">
        <f>HYPERLINK("https://www.reddit.com/r/COVID19positive/comments/gjoj65/partner_says_he_still_cant_taste_or_smell/")</f>
        <v/>
      </c>
      <c r="G1089" t="inlineStr">
        <is>
          <t>2020-05-14 08:29:11</t>
        </is>
      </c>
      <c r="H1089" t="inlineStr">
        <is>
          <t>Tested Positive - Family</t>
        </is>
      </c>
    </row>
    <row r="1090">
      <c r="A1090" t="inlineStr">
        <is>
          <t>gjqdv5</t>
        </is>
      </c>
      <c r="B1090" t="inlineStr">
        <is>
          <t>Something Positive (that isn’t a test!)</t>
        </is>
      </c>
      <c r="C1090" t="inlineStr">
        <is>
          <t>This pandemic as a whole has been a very negative experience. Does anyone have any positive stories, either a recovery, maybe something you’ve discovered about yourself or perhaps something you’re grateful for?
For me, absolutely. I’ve never been closer to my family than when I’ve been forced to separate from them. I’ve also totally reworked my diet to be more healthy and homemade, which will serve me well going forward. I’ve come to appreciate other people and their struggles a lot more and I’m way more empathetic with people. 
Additionally, my GF (asymptomatic) has been amazingly supportive of me while I’ve been sick. When this is over I’m marrying her so hard.</t>
        </is>
      </c>
      <c r="D1090" t="n">
        <v>1</v>
      </c>
      <c r="E1090" t="n">
        <v>21</v>
      </c>
      <c r="F1090">
        <f>HYPERLINK("https://www.reddit.com/r/COVID19positive/comments/gjqdv5/something_positive_that_isnt_a_test/")</f>
        <v/>
      </c>
      <c r="G1090" t="inlineStr">
        <is>
          <t>2020-05-14 10:05:32</t>
        </is>
      </c>
      <c r="H1090" t="inlineStr">
        <is>
          <t>Presumed Positive - From Doctor</t>
        </is>
      </c>
    </row>
    <row r="1091">
      <c r="A1091" t="inlineStr">
        <is>
          <t>gjqked</t>
        </is>
      </c>
      <c r="B1091" t="inlineStr">
        <is>
          <t>Covid19 Survivor!</t>
        </is>
      </c>
      <c r="C1091" t="inlineStr">
        <is>
          <t>Back in January 2018, my stepmother V was diagnosed with bowel cancer. She had her bowel removed and a stoma fitted. She was in and out of hospital with some new diagnoses, surgery and treatment throughout the whole of 2018. The results of one of her scans came back as clear and she was given the all clear. That was until february 2019 when I had a heartbreaking phone call from my Dad to say that she has been diagnosed with stage 4 terminal cancer and it has been found in her lungs and throat and that she will be on Chemotherapy for the rest of her life. Since then, she has been doing fairly well. She has had the odd bad flair up from chemotherapy but doing well all things considered. During the Covid19 pandemic, my dad and V have been self isolating as she is incredibly vulnerable and catching the virus could be very bad news. She was admitted to hospital four weeks ago with terrible chemo side effect and was tested for Covid19 immediately, it came back negative. During her time in hospital, she developed Sepsis AND caught Covid19. She did not eat for 3 weeks and was bed bound and weak. She went home to my Dad this week, Covid clear and with positive news that the Chemo is working against the cancer. She is an absolute trooper and will outlive all of us at this rate!!
This is proof that even the most venerable can beat this horrid virus!</t>
        </is>
      </c>
      <c r="D1091" t="n">
        <v>5</v>
      </c>
      <c r="E1091" t="n">
        <v>43</v>
      </c>
      <c r="F1091">
        <f>HYPERLINK("https://www.reddit.com/r/COVID19positive/comments/gjqked/covid19_survivor/")</f>
        <v/>
      </c>
      <c r="G1091" t="inlineStr">
        <is>
          <t>2020-05-14 10:14:51</t>
        </is>
      </c>
      <c r="H1091" t="inlineStr">
        <is>
          <t>Tested Positive - Family</t>
        </is>
      </c>
    </row>
    <row r="1092">
      <c r="A1092" t="inlineStr">
        <is>
          <t>gjqswn</t>
        </is>
      </c>
      <c r="B1092" t="inlineStr">
        <is>
          <t>Suffering symptoms for 7 weeks (50 days) , testing this evening. Body pain/Rash/Tight Chest/Heart racing.</t>
        </is>
      </c>
      <c r="C1092" t="inlineStr">
        <is>
          <t>Hey so wanted to see what you all thought of this. I am 25m, otherwise completely healthy, fit, do lots of exercise. 
I was in California throughout most of Feb and just to preface it I was on antibiotics for about a month for strep which I had 19th of February, so i'm sure my immune system was already creating stress on my body. But I did feel relatively healthy up until the 19th/20th March and my test results were all normal on the 20th of March (bloods CBC/ differential etc)   
(I can track the dates of when I started feeling symptoms from my internet search history lol)
On the 20th of March felt a bit hot and sneezing a lot but thought nothing of it. 
On the 22nd, I flew back to the UK. 
On the 25th, I started feeling intense chest pain and arm pain. The arm pain was significant in that I had never felt that before. Specifically in my wrists. I had trouble breathing and my chest felt incredibly tight. Like something was squeezing my ribs together. This lasted for about a week. On and off shortness of breath. Chest tightness. Arm pain. 
5th of April, I start to feel muscle pains all over my body. Thighs, arms, back etc etc. 
13th of April, aching throat (not sore), heart palpations and racing (I have normally a slow heart rate of 54bpm) and shortness of breath. Let me just say that the shortness of breath is never like horrific, just present more obvious heavy breathing and a lot of the time i am trying to catch my breath like I have to yawn to catch it. 
15th of April- Nausea and abdominal Pain. Not being able to eat anything. 
20th of April- Itchy face that turns into a rash on my nose and cheeks (similar to lupus rash) but the rash is also on my neck and forehead and sides of my face. 
Then everything seemed to feel slightly better but thats when the nausea started again and I have had it on and off since then. I have also had random abdominal pain all over, left to right. Loss of appetite which is on and off. And random stools like not totally weird just look like theres some inflammation going on. The itchiness comes and goes. The body aches come and go but are most severe in my bones now. Sometimes armpit pain. I feel sometimes my skin is burning on my shoulders and arms like I have been sunburnt. Sometimes the burning is on my thighs to. Bloodshot eyes to. And heart racing when im just chilling or laying down. 
In the last two weeks its like my body doesn't know whether its recovering or not, for the last three days I havent been able to eat a thing, and when I do it makes nausea worse. Today I feel fatigue more than anything. Also random low grade mini fevers where I get really hot and nauseous for a few hours and then return to normal (so weird).
Let me also add that I have had lots of blood tests done. I had a ANA test which was negative and HIV test negative. Also all my blood are normal save my Bilirubin in slightly elevated (DR said I might Gilbert Syndrome)  and my WBC is normal apart from my absolute Monocytes are slightly lower than normal 1.7 (normal is 2-8%).  But all other bloods are completely normal... I have had multiple Chest scans, ECGS etc. Been to the ER, 3 times and Doctors 3 times. 
Anyways its been incredibly helpful to read here to get maybe some clarification on whats going on. I have been so utterly confused. Doctor has said that I probably have Corona and my test is it at 8pm tonight. I will update here, but even if it tests negative will hopefully be taking the new antibody one soon. 
The reason I didnt think it was corona was because I thought it only lasted two weeks? And I havent coughed once. But anyway maybe we can discuss here if you been having it similar. 
:)</t>
        </is>
      </c>
      <c r="D1092" t="n">
        <v>1</v>
      </c>
      <c r="E1092" t="n">
        <v>20</v>
      </c>
      <c r="F1092">
        <f>HYPERLINK("https://www.reddit.com/r/COVID19positive/comments/gjqswn/suffering_symptoms_for_7_weeks_50_days_testing/")</f>
        <v/>
      </c>
      <c r="G1092" t="inlineStr">
        <is>
          <t>2020-05-14 10:26:59</t>
        </is>
      </c>
      <c r="H1092" t="inlineStr">
        <is>
          <t>Presumed Positive - From Doctor</t>
        </is>
      </c>
    </row>
    <row r="1093">
      <c r="A1093" t="inlineStr">
        <is>
          <t>gjqzi3</t>
        </is>
      </c>
      <c r="B1093" t="inlineStr">
        <is>
          <t>Two Negative Tests—Now What?</t>
        </is>
      </c>
      <c r="C1093" t="inlineStr">
        <is>
          <t>Hey there!
20 year old male here
Symptoms started for me on May 2nd. I got tested on May 4th after a little SOB caused me great concern (deep nose swab in one nostril only) and it came back negative. Chest X-ray appeared totally normal
I went back home and just decided to ride out the symptoms. Over the course of 10 days or so, here’s what I experienced:
- Chills
- Chest Pain (in lungs and heart)
- Very light SOB
- Dizziness
- Loss of Appetite
- Loss of Taste and Smell
- Abdomen tension/light pain
- Kidney Pressure
- Slight Brain Fog
- Increased Heart Rate when doing activity (never passed 120. Resting heart rate would be from 70-80)
- Heart Palpitations (the rhythm was always steady, just that I could feel my heart beating occasionally)
- Occasional fatigue, but that was mostly due to my recent lack of sleep cause of anxiety.
I never got a fever—my highest recorded temperature was 98.6. I’ve been very lucky that I can still get up and do what I need to do most of the time, it’s just the anxiety caused by worst-case scenario fear from my symptoms that’s been a bother.
The past 3 days or so I’ve felt quite a bit better, but the heart palpitations scared me, so I went and got tested again (same method) and it came back negative. Doc listened to my lungs, said they sounded perfectly normal, and a urine analysis and EKG also both came back normal and without cause for concern.
Right now, my only symptom is the occasional heart palpitation, but otherwise I’m starting to feel like myself. I’ve got my appetite back and I’m able to do my school work! I’m definitely trying to not push my luck and over exert myself, but I’m hopeful. 
My main question is: do you think I’m still contagious? I’m in an apartment with 2 roommates, but of which have avoided getting sick 🤔 could these symptoms be just anxiety or caused by something else? I know the tests can be a little iffy, but two false negatives seems a bit unlikely, don’t you think? Either way, can’t wait until antibody tests become both common and accurate so that I can really get to the bottom of this.
Hang in there y’all! You’re all strong and amazing human beings that are more than capable of beating this :) don’t forgot to try and feel like yourself and do the things you love if they don’t exert you too much!</t>
        </is>
      </c>
      <c r="D1093" t="n">
        <v>2</v>
      </c>
      <c r="E1093" t="n">
        <v>15</v>
      </c>
      <c r="F1093">
        <f>HYPERLINK("https://www.reddit.com/r/COVID19positive/comments/gjqzi3/two_negative_testsnow_what/")</f>
        <v/>
      </c>
      <c r="G1093" t="inlineStr">
        <is>
          <t>2020-05-14 10:36:23</t>
        </is>
      </c>
      <c r="H1093" t="inlineStr">
        <is>
          <t>Presumed Positive - From Doctor</t>
        </is>
      </c>
    </row>
    <row r="1094">
      <c r="A1094" t="inlineStr">
        <is>
          <t>gjsnl6</t>
        </is>
      </c>
      <c r="B1094" t="inlineStr">
        <is>
          <t>Hey Presumeds, available tests (US) are not the final say. You're not making this up.</t>
        </is>
      </c>
      <c r="C1094" t="inlineStr">
        <is>
          <t>Hi all, 
Day-Lost-Count (3/20) here. I've been presumed positive since 3/29. Developed chest heft and constriction, dry spasmodic cough, lost most taste (I was drinking hot sauce, dammit) and smell, headaches, fatigue, wacky elevated heart-rate. 
I still wake up with the headaches, and I still have a mild cough from the afternoon to the evening. I get lightheaded when I stand-up. 
I got a PCR (an indifferently done throat-only) on Day 37 (negative), and I got a qualitative-only Abbott ELISA IgG antibody this week (negative). I was never looking for immunity or permission to work, just validation and to soothe my anxieties over being sick for so long. I ordered a full CDC and metabolic panel and I do recommend that if you have the cash. Everything was okay and in range. Best decision I made in all this disappointment, because at least I can cling to that.
I also spoke to a cancer research friend of mine after this most recent negative, who said that a lot of bugs won't trigger a Lymphocyte B-Cell reaction, even if you feel completely crummy. I think we're just chewing through this one with our innate system (which is almost everything else). I very likely had low viral load, and high clearance. I still feel grubby, but I'm going to be okay, and if you're in the same boat as me, I think you are too. 
I still believe I'm presumed. I mean, I haven't had viral pneumonia just out of the blue since the 1990s, I never got sick in this order of symptoms, and I'm otherwise quite the athlete. Maybe we're just collateral damage here from products rushed to market and an incomplete picture of the disease.   
Just want to say, keep your chin up.</t>
        </is>
      </c>
      <c r="D1094" t="n">
        <v>1</v>
      </c>
      <c r="E1094" t="n">
        <v>2</v>
      </c>
      <c r="F1094">
        <f>HYPERLINK("https://www.reddit.com/r/COVID19positive/comments/gjsnl6/hey_presumeds_available_tests_us_are_not_the/")</f>
        <v/>
      </c>
      <c r="G1094" t="inlineStr">
        <is>
          <t>2020-05-14 12:01:17</t>
        </is>
      </c>
      <c r="H1094" t="inlineStr">
        <is>
          <t>Presumed Positive - From Doctor</t>
        </is>
      </c>
    </row>
    <row r="1095">
      <c r="A1095" t="inlineStr">
        <is>
          <t>gjtrk0</t>
        </is>
      </c>
      <c r="B1095" t="inlineStr">
        <is>
          <t>Only neurological symptoms</t>
        </is>
      </c>
      <c r="C1095" t="inlineStr">
        <is>
          <t>Hey there,
did an antibody test (ELISA test with a specificity of 99%) on Monday and I received my positive test result today. In mid March I developed some symptoms and I was sure I caught Covid-19. They didn’t want to test me because I did not meet the criteria.   
 I wanted to share my symptoms to see if people had the same experience. 
Day 1:  
I woke up with a migraine-like headache. I actually believed it was migraine but what surprised me was that I didn’t have any aura prior to the headache. I always have an aura prior to migraine. So that was that. In the evening the headache got even worse,I felt really dizzy and experienced really bad chills. I also felt a fever developing but could not take my temperature because the thermometer was broken and it was a Sunday so no one could buy a new one. I also had one of the worst myalgia my whole life. Also bad pain in the limbs.
Day 2:  
My brother managed to buy a thermometer. My temperature was at 101.12 F/38.4 C. The headache got even worse and the dizziness was really scary. There were moments when I felt like I was slipping out of consciousness just for a tiny amount of time. Like I was losing conciousness. It was really scary. I could rarely walk as my muscle pain got even worse and I developed some bad muscle cramps in my hips. I knew something was up with my brain. I knew all that I had experienced until that moment was neurological. And I knew for sure that whatever was happening to me, whatever bacteria or virus I had caught, it was something my body never had to deal with before. I just knew it. It actually felt like my body was desperately fighting to beat the virus with all things possible. In the evening the fever was still the same.
Day 3 and 4:  
The dizzy spells and the weird feeling of losing my consciousness for a nanoscend finally subsided. The headache was still the same. My temperature was weird, in the morning it was fine only to get worse by noon. It kind of randomly went up and down and up and down. From no fever to elevated temperatur to fever. And all over again.
Day 5:  
Same like 3 and 4 but suddenly I could not smell a thing. From 100 to 0. I didn’t have a blocked nose at all. No respiratory ailments at all. It was purely neurological. I put a bottle of vinegar essence directly under my nose. I could not smell anything. I felt pain in my nasal mucosa because of it but zero smell. Still headaches, muscle pain and pain in the limbs.
Day 6 and 7:  
Same like 5
Day 8:  
My smell was slowly coming back. Food wasn’t boring anymore. Still some headaches.
Day 9:  
The first time of being afebrile. My whole sense of smell was back to normal. Still tired and exhausted but the symptoms were nearly gone.
Day 10 to 29:  
Symptoms like headache, muscle pain and pain in the limbs were gone but had lots of pain in my neck and very swollen lymph glands. Very tired and exhausted even when sleeping more than 8 hours. Around 4pm I usually had to take a nap. The tiredness was excruciating. I felt tired all the time. No endurance. 
It’s been two months since I’ve experienced my first symptoms. I feel much better now. Yet I’m not as fit as I used to before Covid-19. Especially when I work out. I never had any respiratory ailments as I said before but when I work out now I feel like my throat is shutting. It might be due to my allergies, I don’t know. I still think it’s very weird that I didn’t develop the typical symptoms and that it was only neurological. Many people say Covid-19 is like the flu or even just like a cold, some are asymptomatic. But I don't know. I never get sick, I am never feverish. I am a very healthy person (31/F) with perfect blood levels (at least before Covid-19, haven’t tested it after until now), no underlying conditions, very athletic, very good immune system (I work with children and when there’s an outbreak of norovirus or streptococci etc. I never catch it. And yet I got Covid-19. The neurological symptoms were scary as shit. I have a ton of respect for SARS-CoV-2. I got it from my colleague btw. She fell sick two days before me but got tested when my 14 days of exposure were over so I could not get tested at that point. That's why I did an antibody test this Monday. We had a very short incubation period. For her it was two days, for me it was three.  
Did anyone epxerience same symptoms?</t>
        </is>
      </c>
      <c r="D1095" t="n">
        <v>1</v>
      </c>
      <c r="E1095" t="n">
        <v>21</v>
      </c>
      <c r="F1095">
        <f>HYPERLINK("https://www.reddit.com/r/COVID19positive/comments/gjtrk0/only_neurological_symptoms/")</f>
        <v/>
      </c>
      <c r="G1095" t="inlineStr">
        <is>
          <t>2020-05-14 12:58:28</t>
        </is>
      </c>
      <c r="H1095" t="inlineStr">
        <is>
          <t>Tested Positive - Me</t>
        </is>
      </c>
    </row>
    <row r="1096">
      <c r="A1096" t="inlineStr">
        <is>
          <t>gjujt1</t>
        </is>
      </c>
      <c r="B1096" t="inlineStr">
        <is>
          <t>Shortness of breath at the 4 week mark?</t>
        </is>
      </c>
      <c r="C1096" t="inlineStr">
        <is>
          <t>I was tested positive 4 weeks ago, I just wanted to know if anyone else started to experience shortness of breath around the 4 week mark, I am strangely gasping for breath every minute or two. My oxygen saturation and respiratory rate is completely fine. I was looked at by my doctor and they said it was anxiety which I disagree with, as I have experienced anxiety before and this is not it.
Also anyone else still coughing up a slight amount of mucus but have difficulties in clearing it i.e coughing it all the way up into your mouth?</t>
        </is>
      </c>
      <c r="D1096" t="n">
        <v>2</v>
      </c>
      <c r="E1096" t="n">
        <v>13</v>
      </c>
      <c r="F1096">
        <f>HYPERLINK("https://www.reddit.com/r/COVID19positive/comments/gjujt1/shortness_of_breath_at_the_4_week_mark/")</f>
        <v/>
      </c>
      <c r="G1096" t="inlineStr">
        <is>
          <t>2020-05-14 13:38:45</t>
        </is>
      </c>
      <c r="H1096" t="inlineStr">
        <is>
          <t>Tested Positive</t>
        </is>
      </c>
    </row>
    <row r="1097">
      <c r="A1097" t="inlineStr">
        <is>
          <t>gjvpxc</t>
        </is>
      </c>
      <c r="B1097" t="inlineStr">
        <is>
          <t>My mom's test result came back "inconclusive"??</t>
        </is>
      </c>
      <c r="C1097" t="inlineStr">
        <is>
          <t>My 70 year old mom had diarrhea/gas/bloating for 2-3, but no other symptoms. Her stomach stuff is mostly better, but is still going on a little bit now. 
She assumed there was some sort of issue going on and made a doctors' appointment for a colonoscopy. She had to wait a couple weeks because elective procedures were not allowed via lockdown rules at the time.
They had her get tested for Covid-19 as a prerequisite of having the procedure done. Her results came back today as "inconclusive." Does anyone know what this means? The result is quite surprising. Also my dad has not shown any symptoms, and they of course been around each other this whole time.</t>
        </is>
      </c>
      <c r="D1097" t="n">
        <v>1</v>
      </c>
      <c r="E1097" t="n">
        <v>11</v>
      </c>
      <c r="F1097">
        <f>HYPERLINK("https://www.reddit.com/r/COVID19positive/comments/gjvpxc/my_moms_test_result_came_back_inconclusive/")</f>
        <v/>
      </c>
      <c r="G1097" t="inlineStr">
        <is>
          <t>2020-05-14 14:40:09</t>
        </is>
      </c>
      <c r="H1097" t="inlineStr">
        <is>
          <t>Presumed Positive - From Test</t>
        </is>
      </c>
    </row>
    <row r="1098">
      <c r="A1098" t="inlineStr">
        <is>
          <t>gjvvye</t>
        </is>
      </c>
      <c r="B1098" t="inlineStr">
        <is>
          <t>Week 6, havee been mostly recovered but experience pain in ribs and testicles.</t>
        </is>
      </c>
      <c r="C1098" t="inlineStr">
        <is>
          <t>28/m, worse symptoms were SOB and chest pressure that resolved about a month ago. Lately I have been experiencing brief but sharp pain in my ribs when I stand or bend over/change positions and my left testicle has had some mild aching for a few days now that is most apparent when it's warmer/testes farther from the body.
Anyone else? Is this likely post viral?</t>
        </is>
      </c>
      <c r="D1098" t="n">
        <v>1</v>
      </c>
      <c r="E1098" t="n">
        <v>44</v>
      </c>
      <c r="F1098">
        <f>HYPERLINK("https://www.reddit.com/r/COVID19positive/comments/gjvvye/week_6_havee_been_mostly_recovered_but_experience/")</f>
        <v/>
      </c>
      <c r="G1098" t="inlineStr">
        <is>
          <t>2020-05-14 14:48:57</t>
        </is>
      </c>
      <c r="H1098" t="inlineStr">
        <is>
          <t>Tested Positive</t>
        </is>
      </c>
    </row>
    <row r="1099">
      <c r="A1099" t="inlineStr">
        <is>
          <t>gjx8in</t>
        </is>
      </c>
      <c r="B1099" t="inlineStr">
        <is>
          <t>Ongoing fatigue and low antibody tests</t>
        </is>
      </c>
      <c r="C1099" t="inlineStr">
        <is>
          <t>I am now at exactly two months from my COVID positive verification. Symptoms lasted almost 4 weeks, developed pneumonia. I am 28 and was very active with running and spin prior but now a flight of stairs leaves me gasping and sweaty. I have returned back to work but im so exhausted at the end of my 8 hour shift that I pass out as soon as I get home. I had my antibodies tested as part of a study at JH and they said it was so low it appeared I never even had it. I was reswabbed last week and still positive. Any one else experiencing ongoing fatigue?</t>
        </is>
      </c>
      <c r="D1099" t="n">
        <v>1</v>
      </c>
      <c r="E1099" t="n">
        <v>12</v>
      </c>
      <c r="F1099">
        <f>HYPERLINK("https://www.reddit.com/r/COVID19positive/comments/gjx8in/ongoing_fatigue_and_low_antibody_tests/")</f>
        <v/>
      </c>
      <c r="G1099" t="inlineStr">
        <is>
          <t>2020-05-14 16:02:09</t>
        </is>
      </c>
      <c r="H1099" t="inlineStr">
        <is>
          <t>Tested Positive - Me</t>
        </is>
      </c>
    </row>
    <row r="1100">
      <c r="A1100" t="inlineStr">
        <is>
          <t>gjxcny</t>
        </is>
      </c>
      <c r="B1100" t="inlineStr">
        <is>
          <t>Antibodies</t>
        </is>
      </c>
      <c r="C1100" t="inlineStr">
        <is>
          <t>I went for plasma donation and was told my antibodies weren't high enough for plasma donation. It has been 2 months since my first big sickness.
Has anyone seen any studies about antibody level and immunity etc?
I'm breastfeeding if relevant.</t>
        </is>
      </c>
      <c r="D1100" t="n">
        <v>1</v>
      </c>
      <c r="E1100" t="n">
        <v>12</v>
      </c>
      <c r="F1100">
        <f>HYPERLINK("https://www.reddit.com/r/COVID19positive/comments/gjxcny/antibodies/")</f>
        <v/>
      </c>
      <c r="G1100" t="inlineStr">
        <is>
          <t>2020-05-14 16:08:32</t>
        </is>
      </c>
      <c r="H1100" t="inlineStr">
        <is>
          <t>Tested Positive - Me</t>
        </is>
      </c>
    </row>
    <row r="1101">
      <c r="A1101" t="inlineStr">
        <is>
          <t>gjzbkt</t>
        </is>
      </c>
      <c r="B1101" t="inlineStr">
        <is>
          <t>Can I FINALLY see my mom again? Opinions please!</t>
        </is>
      </c>
      <c r="C1101" t="inlineStr">
        <is>
          <t>Ok here is the run down of my moms COVID case-
March 28th symptoms onset (exhaustion, body aches, head ache, sore throat)
April 1-4 scariest time as breathing symptoms appear, chest tightness, and shortneas of breath
April 5th tests positive
April 6-10 feeling much better
April 11th-28th second wave hits NO breathing issues just fatigue, body aches, head ache, MAJOR sore throat. Virtually diagnosed with strep as a secondary infection.
April 29 and 30th breathing issues come back full force, ER visit, discharged same day as all vitals are stable and cheat xray looks good
May 1-9 slow improvements and tests negative on the 9th
May 10-14 feels 90% better just lingering sore throat
So now it's almost 50 days since her symtpom onset, do you think its safe to see her? My mom lives alone and has had no contact with anyone except the ER visit. Myself, husband, and our toddler has been totally isolated for over 2 months now.
I miss my mom so much it hurts and she had to go through all of that totally alone. I wanted nothing more than to see her, but I don't want to out my little family at risk since she still has that sore throat. I'm not sure if she's still considered symptomatic or when a person in no longer contagious.
I've been absolutely agonizing over this so please any options are very much appreciated.</t>
        </is>
      </c>
      <c r="D1101" t="n">
        <v>1</v>
      </c>
      <c r="E1101" t="n">
        <v>12</v>
      </c>
      <c r="F1101">
        <f>HYPERLINK("https://www.reddit.com/r/COVID19positive/comments/gjzbkt/can_i_finally_see_my_mom_again_opinions_please/")</f>
        <v/>
      </c>
      <c r="G1101" t="inlineStr">
        <is>
          <t>2020-05-14 18:01:12</t>
        </is>
      </c>
      <c r="H1101" t="inlineStr">
        <is>
          <t>Tested Positive - Family</t>
        </is>
      </c>
    </row>
    <row r="1102">
      <c r="A1102" t="inlineStr">
        <is>
          <t>gk193j</t>
        </is>
      </c>
      <c r="B1102" t="inlineStr">
        <is>
          <t>Tested negative after two weeks, but still don’t feel normal- how long to return back to normal?</t>
        </is>
      </c>
      <c r="C1102" t="inlineStr">
        <is>
          <t>My breathing capacity is diminished , and ringing in my ears remain.</t>
        </is>
      </c>
      <c r="D1102" t="n">
        <v>1</v>
      </c>
      <c r="E1102" t="n">
        <v>10</v>
      </c>
      <c r="F1102">
        <f>HYPERLINK("https://www.reddit.com/r/COVID19positive/comments/gk193j/tested_negative_after_two_weeks_but_still_dont/")</f>
        <v/>
      </c>
      <c r="G1102" t="inlineStr">
        <is>
          <t>2020-05-14 20:06:33</t>
        </is>
      </c>
      <c r="H1102" t="inlineStr">
        <is>
          <t>Tested Positive - Me</t>
        </is>
      </c>
    </row>
    <row r="1103">
      <c r="A1103" t="inlineStr">
        <is>
          <t>gk1yps</t>
        </is>
      </c>
      <c r="B1103" t="inlineStr">
        <is>
          <t>What is happening? Please read this guys.</t>
        </is>
      </c>
      <c r="C1103" t="inlineStr">
        <is>
          <t>So, my father, was diagnosed with coronavirus, he was extubated from the vent after 22 days but got re intubated again due to mucus plugging. He gets reintubated, (starts max sedation again), and then is put for a tracheastromy. (MIND BY THIS POINT HE IS NEGATIVE FOR CORONAVIRUS). Its been two weeks and the problem the occoured with the mucus plugging is minimal now and his lungs are looking good. He has been on continuous c-pap for the last 1 week because they dont want to take him off the vent as of yet until something else is resolved. 3 days ago, he successfully came off all of his sedations and was extremely active. The doctors were saying hes going through hyper active delarium. For a couple of days, he went with very LITTLE SLEEP. But now, just this morning, he is very lethargic and cant even pick up his arm. He is very weak. Why is this? Do you guys think that he is going through mixed delarium (hypo-hyper active delarium) or something else. 
All his vitals are looking really good
Oxygenating 100%
Heart rate a little high: 120-130
He has plepsiela but no fever and is being treated
He also HAS CANDIDA which is also being treated
Do you guys think it is a phase of delirium or something else?</t>
        </is>
      </c>
      <c r="D1103" t="n">
        <v>1</v>
      </c>
      <c r="E1103" t="n">
        <v>14</v>
      </c>
      <c r="F1103">
        <f>HYPERLINK("https://www.reddit.com/r/COVID19positive/comments/gk1yps/what_is_happening_please_read_this_guys/")</f>
        <v/>
      </c>
      <c r="G1103" t="inlineStr">
        <is>
          <t>2020-05-14 20:56:30</t>
        </is>
      </c>
      <c r="H1103" t="inlineStr">
        <is>
          <t>Tested Positive - Family</t>
        </is>
      </c>
    </row>
    <row r="1104">
      <c r="A1104" t="inlineStr">
        <is>
          <t>gk2f8d</t>
        </is>
      </c>
      <c r="B1104" t="inlineStr">
        <is>
          <t>Should I even go get tested now?</t>
        </is>
      </c>
      <c r="C1104" t="inlineStr">
        <is>
          <t>It was Wednesday May 6th when I first started with the sore throat and by that weekend I had that, a slight cough, shortness of breath off and on, migraine headaches constantly, gastro symptoms, body aches, and lastly, a low grade fever of 99.5 at the highest. Saturday night, literally almost a week ago now, I did the NYS department of health covid assessment and based on my symptoms was told I needed to be tested and someone would contact me. Monday I called my doctor to update him (I'm a little bit higher risk so he's been keeping an eye on me via telemed and phone since March). He concurred with the test decision and said he was putting in an order for me to go more close to home than dept of health was going to. But since then I haven't heard anything. And meanwhile for the most part I feel 100% better. 
I was really skeptical this was even covid until reading some threads in here and realizing I've had some weird symptoms y'all have described such as the burning chemical smell in my nose. Now I'm pretty sure and I was told to assume I'm positive and quarantine completely for 14 days. But I feel like the test would be a waste at this point. Should I just wait and have an antibody test later? 
Interestingly also this is not the first time I've had full blown covid symptoms during lockdown. I had them worse in March, then deemed to get better although the shortness of breath and gastro symptoms stuck around, and my voice was hoarse until recently.</t>
        </is>
      </c>
      <c r="D1104" t="n">
        <v>1</v>
      </c>
      <c r="E1104" t="n">
        <v>12</v>
      </c>
      <c r="F1104">
        <f>HYPERLINK("https://www.reddit.com/r/COVID19positive/comments/gk2f8d/should_i_even_go_get_tested_now/")</f>
        <v/>
      </c>
      <c r="G1104" t="inlineStr">
        <is>
          <t>2020-05-14 21:29:13</t>
        </is>
      </c>
      <c r="H1104" t="inlineStr">
        <is>
          <t>Presumed Positive - From Doctor</t>
        </is>
      </c>
    </row>
    <row r="1105">
      <c r="A1105" t="inlineStr">
        <is>
          <t>gk3qsw</t>
        </is>
      </c>
      <c r="B1105" t="inlineStr">
        <is>
          <t>I’m on day 19 and beginning to feel worse. Feeling hopeless and scared.</t>
        </is>
      </c>
      <c r="C1105" t="inlineStr">
        <is>
          <t>34M here w/no underlying conditions 
I started to get better about 2 weeks in and then all of the sudden I’m worse than I was when it started. 
I’m afraid that I’m getting pneumonia. How can I tell if I am?
If I made it through the first stage without any issues will I make it through this second wave? 
I’m starting to panic. I don’t want to die and I don’t want to end up on a vent :(</t>
        </is>
      </c>
      <c r="D1105" t="n">
        <v>1</v>
      </c>
      <c r="E1105" t="n">
        <v>80</v>
      </c>
      <c r="F1105">
        <f>HYPERLINK("https://www.reddit.com/r/COVID19positive/comments/gk3qsw/im_on_day_19_and_beginning_to_feel_worse_feeling/")</f>
        <v/>
      </c>
      <c r="G1105" t="inlineStr">
        <is>
          <t>2020-05-14 23:17:00</t>
        </is>
      </c>
      <c r="H1105" t="inlineStr">
        <is>
          <t>Tested Positive - Me</t>
        </is>
      </c>
    </row>
    <row r="1106">
      <c r="A1106" t="inlineStr">
        <is>
          <t>gk8mce</t>
        </is>
      </c>
      <c r="B1106" t="inlineStr">
        <is>
          <t>Does anyone else feel like they are getting worse over time rather than better?</t>
        </is>
      </c>
      <c r="C1106" t="inlineStr">
        <is>
          <t>I feel like this is slowly killing me.</t>
        </is>
      </c>
      <c r="D1106" t="n">
        <v>1</v>
      </c>
      <c r="E1106" t="n">
        <v>21</v>
      </c>
      <c r="F1106">
        <f>HYPERLINK("https://www.reddit.com/r/COVID19positive/comments/gk8mce/does_anyone_else_feel_like_they_are_getting_worse/")</f>
        <v/>
      </c>
      <c r="G1106" t="inlineStr">
        <is>
          <t>2020-05-15 05:57:06</t>
        </is>
      </c>
      <c r="H1106" t="inlineStr">
        <is>
          <t>Presumed Positive - From Doctor</t>
        </is>
      </c>
    </row>
    <row r="1107">
      <c r="A1107" t="inlineStr">
        <is>
          <t>gk96i9</t>
        </is>
      </c>
      <c r="B1107" t="inlineStr">
        <is>
          <t>serology test negative. not sure what to think anymore.</t>
        </is>
      </c>
      <c r="C1107" t="inlineStr">
        <is>
          <t>was pretty sure I had covid for 2  months but my antibody test came back negative (lab test abott; level of  antibody: 0.01). PCR test negative just last week (which should be normal after 6 weeks). Not sure what to think now; I'm getting  crazy.  This test is supposed to be pretty accurate (with false positive rather than false negative).
Two  doctors confirmed lung lesions with handeld ultrasound ; supposedely  characteristic of covid at weeks 1 through 3; then lesions disappeared  after antibiotics); and I had strong symptoms (headeache; confusion;  medium fever; thorax pain and shortness of breath; sensation of heat in  veins; joint pains). Still doesn't feel in very good shape.  did a CT scan and it was fine.
Now I don't know If I was infected at all. I don't believe I'm immunodefiscient. Either I wasn't infected at all (and probably have something else wrong); or I haven't develloped any antibodies (which shouldn't be possible?) or there's something wrong with the test. 
The idea that I actually haven't been infected with covid and could go through it at anytime now is honestly really depressing right now.</t>
        </is>
      </c>
      <c r="D1107" t="n">
        <v>1</v>
      </c>
      <c r="E1107" t="n">
        <v>140</v>
      </c>
      <c r="F1107">
        <f>HYPERLINK("https://www.reddit.com/r/COVID19positive/comments/gk96i9/serology_test_negative_not_sure_what_to_think/")</f>
        <v/>
      </c>
      <c r="G1107" t="inlineStr">
        <is>
          <t>2020-05-15 06:32:45</t>
        </is>
      </c>
      <c r="H1107" t="inlineStr">
        <is>
          <t>Presumed Positive - From Doctor</t>
        </is>
      </c>
    </row>
    <row r="1108">
      <c r="A1108" t="inlineStr">
        <is>
          <t>gk9gos</t>
        </is>
      </c>
      <c r="B1108" t="inlineStr">
        <is>
          <t>Heart Symptoms</t>
        </is>
      </c>
      <c r="C1108" t="inlineStr">
        <is>
          <t>Unfortunately I'm becoming a constant poster on here so I'm probably fueling my own anxiety but regardless - 
Week 7, Day Forever, and I feel as if in the past week alone I've developed heart related symptoms that are really making me nervous. The chest tightness I had last week has been getting better and worse like a roller coaster. My heart rate though is starting to worry me as well. Again, this week alone I've seen such a weird change, whereas the second I get up to do the smallest tasks, my heart rate shoots up to \~100 and takes a very long time to get back down. I guess more than anything else, I'm wondering if anybody has had these symptoms AND they have passed? I've gone through a battery of tests (urine, blood and chest xray) that have turned out very much fine, getting a CT Angiography in a little bit, so who knows. Is this my heart forever now or has anyone seen this come and go?</t>
        </is>
      </c>
      <c r="D1108" t="n">
        <v>1</v>
      </c>
      <c r="E1108" t="n">
        <v>44</v>
      </c>
      <c r="F1108">
        <f>HYPERLINK("https://www.reddit.com/r/COVID19positive/comments/gk9gos/heart_symptoms/")</f>
        <v/>
      </c>
      <c r="G1108" t="inlineStr">
        <is>
          <t>2020-05-15 06:50:35</t>
        </is>
      </c>
      <c r="H1108" t="inlineStr">
        <is>
          <t>Presumed Positive - From Test</t>
        </is>
      </c>
    </row>
    <row r="1109">
      <c r="A1109" t="inlineStr">
        <is>
          <t>gkaz9i</t>
        </is>
      </c>
      <c r="B1109" t="inlineStr">
        <is>
          <t>Covid 19 BAME and multigenerational housing</t>
        </is>
      </c>
      <c r="C1109" t="inlineStr">
        <is>
          <t>I live in a multigenerational house with my Indian girlfriend and her father, she's just tested positive for Covid19, probably for her working in a hospital.
Me and her father are yet to be tested, I'm a white male and have no symptoms, her father is 70 and Indian with no symptoms.
I've been reading that it's very common to be a symptomatic with white people, but I'm wondering what to expect for her father? 
Any advice or experience welcomed!
Thanks.</t>
        </is>
      </c>
      <c r="D1109" t="n">
        <v>0</v>
      </c>
      <c r="E1109" t="n">
        <v>3</v>
      </c>
      <c r="F1109">
        <f>HYPERLINK("https://www.reddit.com/r/COVID19positive/comments/gkaz9i/covid_19_bame_and_multigenerational_housing/")</f>
        <v/>
      </c>
      <c r="G1109" t="inlineStr">
        <is>
          <t>2020-05-15 08:16:39</t>
        </is>
      </c>
      <c r="H1109" t="inlineStr">
        <is>
          <t>Presumed Positive - From Test</t>
        </is>
      </c>
    </row>
    <row r="1110">
      <c r="A1110" t="inlineStr">
        <is>
          <t>gkb2ma</t>
        </is>
      </c>
      <c r="B1110" t="inlineStr">
        <is>
          <t>Strange symptoms</t>
        </is>
      </c>
      <c r="C1110" t="inlineStr">
        <is>
          <t>I’m on week 8 and on the upswing at the moment. However there have been a few new changes. I used to have chills all the time, but now I get a low grade fever every night and wake up soaking wet with sweat. I’m viewing this as a positive but wanted to know if others had this happen this late in the course of the virus. 
Also my urine has a very foul smell. Almost like chemicals. Does anyone know why that would be? I’ve been taking the same supplements for awhile. Vitamin c, D, zinc, quercetin, melatonin, NAC, glutathione</t>
        </is>
      </c>
      <c r="D1110" t="n">
        <v>1</v>
      </c>
      <c r="E1110" t="n">
        <v>14</v>
      </c>
      <c r="F1110">
        <f>HYPERLINK("https://www.reddit.com/r/COVID19positive/comments/gkb2ma/strange_symptoms/")</f>
        <v/>
      </c>
      <c r="G1110" t="inlineStr">
        <is>
          <t>2020-05-15 08:21:40</t>
        </is>
      </c>
      <c r="H1110" t="inlineStr">
        <is>
          <t>Presumed Positive - From Doctor</t>
        </is>
      </c>
    </row>
    <row r="1111">
      <c r="A1111" t="inlineStr">
        <is>
          <t>gkbj84</t>
        </is>
      </c>
      <c r="B1111" t="inlineStr">
        <is>
          <t>It's been two months since I was sick with COVID 19. Is it too risky to visit family?</t>
        </is>
      </c>
      <c r="C1111" t="inlineStr">
        <is>
          <t>On March 15, I suddenly became ill. I had fever, chills, body aches, loss of taste, headache, and a bad cough. I got tested on March 17 and my results came back positive a few days later. My symptoms fully subsided on March 24. Since then, I've returned back to work on a limited basis with limited contact with others (not a healthcare job) and I donated plasma about 3 weeks ago. I did end up giving the virus to my partner, who lives with me, and he has fully recovered as well.
Over the past couple of weeks, my mom has been asking me to visit her. Obviously, I do not live with my mother. My mother and adult brother live together and to our knowledge, they have not gotten the virus but also have not gotten an antibody test. My mom has been staying home and hasn't left in over a month, but my brother has had to go to work every day and does the grocery shopping for the family. My mom is in a higher risk category by having asthma. Still, with all considered, my family is asking me to visit for a couple of days. They feel confident that my visiting won't be a risk because I was already sick with the virus a while ago and have been fully recovered for almost two months. 
I've weighed the pros and cons. I've taken all these things into consideration and I'm not sure if visiting family is worth the risk. To those that have fully recovered - do you continue to follow all social distancing guidelines from the CDC? What decisions have you made about visiting family?</t>
        </is>
      </c>
      <c r="D1111" t="n">
        <v>1</v>
      </c>
      <c r="E1111" t="n">
        <v>4</v>
      </c>
      <c r="F1111">
        <f>HYPERLINK("https://www.reddit.com/r/COVID19positive/comments/gkbj84/its_been_two_months_since_i_was_sick_with_covid/")</f>
        <v/>
      </c>
      <c r="G1111" t="inlineStr">
        <is>
          <t>2020-05-15 08:45:59</t>
        </is>
      </c>
      <c r="H1111" t="inlineStr">
        <is>
          <t>Tested Positive - Me</t>
        </is>
      </c>
    </row>
    <row r="1112">
      <c r="A1112" t="inlineStr">
        <is>
          <t>gkekjt</t>
        </is>
      </c>
      <c r="B1112" t="inlineStr">
        <is>
          <t>Are the lungs always affected?</t>
        </is>
      </c>
      <c r="C1112" t="inlineStr">
        <is>
          <t>I (female, 31, healthy lifestyle) didn't have any respiratory problems at all, only neurological and a temperature. Are the lungs yet always affected? I'm asking because whenever I'm trying to work out now I feel like my throat/lungs is/are shutting and I don't know if it is due to my allergies or some long-term effects of Covid-19. Should I be worried? My VO2max went from 47 to 43 and it doesn't look like it will change back anytime soon. I know 43 is not a bad number but it seems a bit weird to me that it changed so abruptly.</t>
        </is>
      </c>
      <c r="D1112" t="n">
        <v>2</v>
      </c>
      <c r="E1112" t="n">
        <v>18</v>
      </c>
      <c r="F1112">
        <f>HYPERLINK("https://www.reddit.com/r/COVID19positive/comments/gkekjt/are_the_lungs_always_affected/")</f>
        <v/>
      </c>
      <c r="G1112" t="inlineStr">
        <is>
          <t>2020-05-15 11:26:06</t>
        </is>
      </c>
      <c r="H1112" t="inlineStr">
        <is>
          <t>Tested Positive - Me</t>
        </is>
      </c>
    </row>
    <row r="1113">
      <c r="A1113" t="inlineStr">
        <is>
          <t>gkez7s</t>
        </is>
      </c>
      <c r="B1113" t="inlineStr">
        <is>
          <t>Negative antibody test followed by positive antibody test</t>
        </is>
      </c>
      <c r="C1113" t="inlineStr">
        <is>
          <t>I wanted to share this here because antibody tests seem to be giving unexpected results. People who had symptoms getting tested negative. 
A couple of months ago my friend and his partner came down with COVID-19 symptoms. They had been around someone who was confirmed positive. It was hard to get tested then so they isolated assuming they had it and waited to get better. 
Last week they decided to go get antibody tests, just to check, fully expecting positive results. Both of them tested negative. This was the test done in Quest labs (not the Abbott test).  They were surprised by the result based on their symptoms and exposure. 
This week they decided to do another antibody test. This time they did the Abbott/LabCorp test. One came back positive, the other negative. 
They live together so there's no way one of them had it and one didn't. But one of them still tested negative. I don't know if this is down to the tests or the level of antibodies they have it what, but it casts doubt for me on how reliable these tests are. 
My brother is getting tested next week (he has a positive virus yet) so curious to see the results!</t>
        </is>
      </c>
      <c r="D1113" t="n">
        <v>6</v>
      </c>
      <c r="E1113" t="n">
        <v>16</v>
      </c>
      <c r="F1113">
        <f>HYPERLINK("https://www.reddit.com/r/COVID19positive/comments/gkez7s/negative_antibody_test_followed_by_positive/")</f>
        <v/>
      </c>
      <c r="G1113" t="inlineStr">
        <is>
          <t>2020-05-15 11:47:54</t>
        </is>
      </c>
      <c r="H1113" t="inlineStr">
        <is>
          <t>Tested Positive - Friends</t>
        </is>
      </c>
    </row>
    <row r="1114">
      <c r="A1114" t="inlineStr">
        <is>
          <t>gkfb34</t>
        </is>
      </c>
      <c r="B1114" t="inlineStr">
        <is>
          <t>Blood work</t>
        </is>
      </c>
      <c r="C1114" t="inlineStr">
        <is>
          <t>I tested negative on the swab test and the antibody test. I’ve been sick for 8 weeks now. 
Has anyone been tested for other viruses like mycoplasma? 
Also it looks like my white blood cell count was low. Is there any information about what is low for covid people? I think I read low eosinophils or monocytes? Please share what you found out through bloodwork!</t>
        </is>
      </c>
      <c r="D1114" t="n">
        <v>1</v>
      </c>
      <c r="E1114" t="n">
        <v>5</v>
      </c>
      <c r="F1114">
        <f>HYPERLINK("https://www.reddit.com/r/COVID19positive/comments/gkfb34/blood_work/")</f>
        <v/>
      </c>
      <c r="G1114" t="inlineStr">
        <is>
          <t>2020-05-15 12:05:09</t>
        </is>
      </c>
      <c r="H1114" t="inlineStr">
        <is>
          <t>Presumed Positive - From Doctor</t>
        </is>
      </c>
    </row>
    <row r="1115">
      <c r="A1115" t="inlineStr">
        <is>
          <t>gkfggw</t>
        </is>
      </c>
      <c r="B1115" t="inlineStr">
        <is>
          <t>Extremely Mild Case in 22 year old Female. My symptom diary.</t>
        </is>
      </c>
      <c r="C1115" t="inlineStr">
        <is>
          <t>Hi everyone. I wanted to share my experience to ease some anxiety in those having mild symptoms. I am a healthy 22 year old female with no underlying conditions. I understand this is a very serious illness but I don't see enough publicized about experiences like mine and I want to ease the minds of some people if possible.
I arrived in Los Angeles from out of state on a full flight and got tested a few days later to be safe. I was shocked to receive my positive test as I'd been having mild symptoms but brushed them off as dehydration. I spoke with the LA dept of public health and I should be good to go by Sunday. Oddly enough my partner who I live with has had no symptoms and tested negative twice in a row. Here's my symptom diary: 
overall trend: symptoms get worse throughout day and better by morning 
days 1-3: no symptoms
days 4-6: mild body aches, sore throat
day 7:  sore throat, mild body aches, mild chest heaviness at night, easily tired
day 8: swollen lymph node, easily tired, mild headache 
day 9: swollen lymph node
day 10: no symptoms 
day 11: no symptoms 
day 12: no symptoms</t>
        </is>
      </c>
      <c r="D1115" t="n">
        <v>7</v>
      </c>
      <c r="E1115" t="n">
        <v>51</v>
      </c>
      <c r="F1115">
        <f>HYPERLINK("https://www.reddit.com/r/COVID19positive/comments/gkfggw/extremely_mild_case_in_22_year_old_female_my/")</f>
        <v/>
      </c>
      <c r="G1115" t="inlineStr">
        <is>
          <t>2020-05-15 12:12:57</t>
        </is>
      </c>
      <c r="H1115" t="inlineStr">
        <is>
          <t>Tested Positive - Me</t>
        </is>
      </c>
    </row>
    <row r="1116">
      <c r="A1116" t="inlineStr">
        <is>
          <t>gkfiok</t>
        </is>
      </c>
      <c r="B1116" t="inlineStr">
        <is>
          <t>Made it off the ventilator... now what</t>
        </is>
      </c>
      <c r="C1116" t="inlineStr">
        <is>
          <t xml:space="preserve"> 
The last two weeks have been the craziest of my life as my father went from slightly ill to life support in less than two days. Today was my father's first day off of a ventilator after 10 days, he is 63 and a bit overweight and has high blood pressure but never the less, "healthy". I'm just wondering what life will look like in the following weeks since he has now "beaten" the virus. He is on the trial medication that he will take for 8 more days (I think its called Remdesivir) and while he was sedated he was given the antibody treatment and a drug name Tocilizumab. I know that there are some rehabilitation locations specifically for coronavirus patients but if my father can breathe and follow commands what is the normal timeline until he can come home? Also, if he can respond to commands, talk, and breathe does that mean that he has avoided all of the risks of being overly sedated or ventilated for too long?
\-Also, I would like to thank this subreddit for giving me the information I needed throughout this time as well as the first-hand accounts that told us to pay attention to his levels and setting so we can set small goals, it helped our family stay sane during this time. &amp;lt;3</t>
        </is>
      </c>
      <c r="D1116" t="n">
        <v>5</v>
      </c>
      <c r="E1116" t="n">
        <v>20</v>
      </c>
      <c r="F1116">
        <f>HYPERLINK("https://www.reddit.com/r/COVID19positive/comments/gkfiok/made_it_off_the_ventilator_now_what/")</f>
        <v/>
      </c>
      <c r="G1116" t="inlineStr">
        <is>
          <t>2020-05-15 12:16:10</t>
        </is>
      </c>
      <c r="H1116" t="inlineStr">
        <is>
          <t>Tested Positive - Family</t>
        </is>
      </c>
    </row>
    <row r="1117">
      <c r="A1117" t="inlineStr">
        <is>
          <t>gkfu1p</t>
        </is>
      </c>
      <c r="B1117" t="inlineStr">
        <is>
          <t>Dealing with weight loss</t>
        </is>
      </c>
      <c r="C1117" t="inlineStr">
        <is>
          <t>Does anyone have a good way to gain/maintain weight while also dealing with bad nausea, diarrhea/malabsorption?
All I can eat are smoothies, smoothies have seriously been saving my life. But getting the daily recommended calories seems like a Herculean task when everything tastes horrendous and makes my stomach churn. At this point I’ve lost 15lbs, I was already thin, and this is not a good look for me. I’m worried about the effects malnutrition has on my heart too, as it is already under extreme duress. 
I have a follow up in a week, if I’ve lost more weight then they’re going to admit me to the hospital. 
I do not want to eat junk food, I want to give my body all the support it needs, I’m just not sure how. TIA.</t>
        </is>
      </c>
      <c r="D1117" t="n">
        <v>2</v>
      </c>
      <c r="E1117" t="n">
        <v>15</v>
      </c>
      <c r="F1117">
        <f>HYPERLINK("https://www.reddit.com/r/COVID19positive/comments/gkfu1p/dealing_with_weight_loss/")</f>
        <v/>
      </c>
      <c r="G1117" t="inlineStr">
        <is>
          <t>2020-05-15 12:33:04</t>
        </is>
      </c>
      <c r="H1117" t="inlineStr">
        <is>
          <t>Presumed Positive - From Doctor</t>
        </is>
      </c>
    </row>
    <row r="1118">
      <c r="A1118" t="inlineStr">
        <is>
          <t>gkhcwi</t>
        </is>
      </c>
      <c r="B1118" t="inlineStr">
        <is>
          <t>My mom died April 30 - here's my story</t>
        </is>
      </c>
      <c r="C1118" t="inlineStr">
        <is>
          <t>I am writing this to share the experience of losing my mom in a time of a pandemic from the virus that started the pandemic. For those who didn’t know my mom, she bravely fought a rare form of lymphoma since June 2014. She went into remission, courageously battled chemo, a stem cell transplant, came out of remission and back again. I know the 11th floor of the cancer hospital and those who haunt it like the back of my hand.
In a way, this has prepared me to grieve her for 6 years now. She came out of remission in January and underwent radiation treatments. No longer able to walk, my mom was placed in a nursing home for rehabilitation. I continued to plan my wedding for August, eager to help her pick out her dress and give her something to look forward to.
Around late March, we received a call from her nursing home: the first confirmed case of covid-19 in her facility. And oh that evening did I scream and cry. How could somebody unknowingly or otherwise effectively stamp a death sentence on our most vulnerable population? Hardly two weeks later, we received another call that her roommate tested positive. Again, I knew what this meant for my mom. The pain in my chest was palpable… I continued to call my mom every day just to say hello - no longer given the luxury of holding her hand.
She would never see my face again. She would never hug me again, and what’s more - I’d never hug her again. The nursing home said she was merely a “carrier” and had a mild case. On April 23, my mom was sent to the ICU of the nearest hospital. On April 24, I Facetimed my mom - tears soaked by the fur of my loving cat. She couldn’t speak and could only give me a voided gaze.
On April 30, her doctors called us to advise that she had ARDS and pneumonia and was in respiratory failure. Her recent scan revealed that her cancer advanced to stage 4 - that she had 1 or 2 months left to live. They asked us for permission to give a morphine drip and let her die.
At 7pm that night, my fiance drove me to the water and I Facetimed my mom - saw my mom - for the last time ever. I choked tears back and promised her that I would always be there with her, that I loved her, that she was the best mom I could ever ask for. She weakly tried to blow me a kiss, coughing violently in the process. At 8:08pm on April 30, my mom died.
The past few weeks have felt numb for me. I didn’t get closure - no funeral, no service, no body, nothing that tells me that she’s gone. Even holding her urn didn’t make it really sink in for me. You see, I lost part of my mom 6 years ago when she was diagnosed with cancer. I have been in grief and agony for years, and I hadn’t seen her since early March.
Now, all I have left is 6 voicemails - progressively hearing her voice get weaker as they continue - the last one being April 20. I don’t know how long I’m going to feel numb, and I think I’m okay with feeling numb, but I wanted to share my experience for anybody who is going through something remotely similar. It is a lonely, lonely experience and I hope this will reach somebody who needs to hear my story.</t>
        </is>
      </c>
      <c r="D1118" t="n">
        <v>11</v>
      </c>
      <c r="E1118" t="n">
        <v>71</v>
      </c>
      <c r="F1118">
        <f>HYPERLINK("https://www.reddit.com/r/COVID19positive/comments/gkhcwi/my_mom_died_april_30_heres_my_story/")</f>
        <v/>
      </c>
      <c r="G1118" t="inlineStr">
        <is>
          <t>2020-05-15 13:57:03</t>
        </is>
      </c>
      <c r="H1118" t="inlineStr">
        <is>
          <t>Tested Positive - Family</t>
        </is>
      </c>
    </row>
    <row r="1119">
      <c r="A1119" t="inlineStr">
        <is>
          <t>gki7vh</t>
        </is>
      </c>
      <c r="B1119" t="inlineStr">
        <is>
          <t>It tried every door and its hand is still shaking the handles 9wks later..</t>
        </is>
      </c>
      <c r="C1119" t="inlineStr">
        <is>
          <t>So.. managed to end up being one of the first people to get the virus in my city back in the beginning of March. Both me and my GF got it. Started with a tickle in the throat. Then shortness of breath which I initially played off as panic attacks. Then the worst diarrhea I've ever had. Literally bright yellow water..  This coincided with chest pain, lowgrade fever.
When to emerge at this point and was sent away.
2 weeks later, march 20ish, fever still came and went, violent rickets every other night. Started to have a rapid, hard and fluttery heartbeat. Diarrhea started to clear but maintained the bright yellow colour. I had lost about 20lbs by this point. The next few days, everything cleared up and I proudly proclaimed that I was over it on facebook. The next day I woke up with conjuctivitis. Heart pain got worse. Then my guts got really stabby around my liver so I went back to the hospital. Did all the tests. Bilial count was slightly elevated, they found a polyp on my gallbladder and suggested that my gallbladder may need to come out when electives open back up.
The next week was ok. Slow recovery. Fever was gone for the most part with the exception of feeling like I had a sunburn on occasion. One night about a week from the 2nd hospital visit, I had a small arguement with my girlfriend (who had been symptom free after about 2 weeks) and felt like I was having a heart attack. I waited it out. It resided but left a heavy pain in my chest. I didnt sleep that night because of the pain. Got up in the morning and called GP who told me to go to emerge immediately.  I did. They did all the tests, except the echo. Also finally got the swab, 5 weeks too late. Came back negative with the caveat that all my symptoms lined up perfectly and that these tests had a huge fsik rate after the first 3-4 weeks. Was begged to take part in antibody study when it was made available. Heart tests came back fine, but I was referred to a specialist as an outpatient..
So a week went by and I lived with this pain in my chest. Hurt to breathe. Hurt to have a hot shower. Stuck to noncaffinated teas to fight the ever present sore throat. Tinnitus set in for a few days around here. Then my leg swelled up. To note, I have a varicose in my left calf. It got real nasty and puffy, and fearing DVT, I went back to emerge for the 4th time. Did all the tests. Came back as a superficial bloodclot. So, just elevation and warm compress.
Finally got a call from the cardiologist who tried to tell me it was just stress. I flipped and demanded an echo. He agreed. 4 days later I got the echo. Wore a holter device for 3 days and 3 days after that I took a stress test. Results from echo showed that I had some fluid around my heart, indicative of someone recovering from pericarditis. Killed the stress test, to my amazement.. but I've always been a show off.
Holter showed very minor arrhythmia blips, which he thought correlated. Said I was probably on the up and up before the test happened.
Great! I went home and had coffee for the first time in 2 months. It was lovely. The boast in spirits really gave me a great week. Felt like a was making leaps and bounds with recovery. Up my workout regime. Got more cocky with what I ate. Guts only bugged me with high fat foods. 
That was last week. This week, my throat has been worse in the mornings and my girlfriend is now complaining of a sore throat also. Her tonsils look inflamed. Last night I has the worst testicle pain I've ever experienced. Gave me dry heaves. Had a hot shower and pulled on the sack to give them some room (tmi, sorry) and it got a bit better. I really didnt want that 5th ED visit. Still very tender today. Felling a little warm, but temp reads 36.8 
Today would be day 65.
My morale has taken a huge hit.</t>
        </is>
      </c>
      <c r="D1119" t="n">
        <v>2</v>
      </c>
      <c r="E1119" t="n">
        <v>57</v>
      </c>
      <c r="F1119">
        <f>HYPERLINK("https://www.reddit.com/r/COVID19positive/comments/gki7vh/it_tried_every_door_and_its_hand_is_still_shaking/")</f>
        <v/>
      </c>
      <c r="G1119" t="inlineStr">
        <is>
          <t>2020-05-15 14:45:16</t>
        </is>
      </c>
      <c r="H1119" t="inlineStr">
        <is>
          <t>Presumed Positive - From Doctor</t>
        </is>
      </c>
    </row>
    <row r="1120">
      <c r="A1120" t="inlineStr">
        <is>
          <t>gkk3w6</t>
        </is>
      </c>
      <c r="B1120" t="inlineStr">
        <is>
          <t>31 year old male, tested positive over a week ago</t>
        </is>
      </c>
      <c r="C1120" t="inlineStr">
        <is>
          <t>Saw another post like this, thought I'd give my own experience here as well. I'm a 31 year old male with asthma and diabetes. My experience hasn't been great, but not horrible either. 
Day 1: May 5th - I started with a dry cough and mild swollen lymph nodes late in the evening. Went to bed hoping I hadn't caught it.
Day 2: Woke up with pretty bad shortness of breath and chest tightness. Took a few puffs from my inhaler and was ok. My doctor's office got me into a testing center within a couple hours and I was presumed positive and told to quarantine. Cough and swollen throat continued, with added fever and chills throughout the day.
Day 3: This is when it really hit me hard. All previous symptoms were worse than before, and fatigue had set in. I slept around 16 hours that day. Find out I tested positive in the afternoon.
Day 4: Seemed like I had plateaued. Added feelings of dehydration even though I was drinking more water than normal already and resting a lot.
Day 5: Symptoms persisted, with lots of fevers with natural breaks. Slept almost the entire day.
Day 6: Symptoms started to wane a bit, cough wasn't waking me up anymore, and I didn't feel as tired.
Day 7: Symptoms at their worst. I woke up feeling like there was a large weight on my chest, and considered going to the hospital due to pain in my lungs. Doctor advised to monitor but not go yet.
Day 8: Pain in lungs persists, but isn't as bad. Cough, fever, and chills are mostly mild. Fatigue is still heavy.
Day 9: Woke up mostly symptom free, or very mild. Coughing a bit, and slightly swollen throat soothed with warm soup or cold drinks.
Day 10: Returned to working from home (workaholic here), now cough is minor and pretty rare.
Day 11: Today, once again was able to work from home. Took a sudden fatigue nap in the afternoon. Cough is still mild and rare. No fever or chills today, throat is fine.</t>
        </is>
      </c>
      <c r="D1120" t="n">
        <v>1</v>
      </c>
      <c r="E1120" t="n">
        <v>13</v>
      </c>
      <c r="F1120">
        <f>HYPERLINK("https://www.reddit.com/r/COVID19positive/comments/gkk3w6/31_year_old_male_tested_positive_over_a_week_ago/")</f>
        <v/>
      </c>
      <c r="G1120" t="inlineStr">
        <is>
          <t>2020-05-15 16:34:07</t>
        </is>
      </c>
      <c r="H1120" t="inlineStr">
        <is>
          <t>Tested Positive - Me</t>
        </is>
      </c>
    </row>
    <row r="1121">
      <c r="A1121" t="inlineStr">
        <is>
          <t>gkledn</t>
        </is>
      </c>
      <c r="B1121" t="inlineStr">
        <is>
          <t>Recovered from Covid-19 last Tuesday (discharged from hospital) and have felt absolutely amazing since. How long until I'm no longer contagious?</t>
        </is>
      </c>
      <c r="C1121" t="inlineStr">
        <is>
          <t>I caught the virus sometime in the middle of April and spent 8 days at home trying to fight it until I hit a fever of 103. I felt awful and went to the hospital and came to find out that I had actually contracted pneumonia but had no idea, as I had no chest pain, shortness of breath, and had no problem walking around. They took great care of me, giving me hydroxychloroquine and antibiotics for the pneumonia (extreme shortness of breath kicked in about 2 days later). I felt perfect after 6 days and was discharged.
My lungs are back in perfect working order (thanks to the antibiotics, breathing exercises, and a spirometer) and all symptoms have completely disappeared. So the question now is, now that I'm about to hit two weeks after recovery, is it safe to say that I'm no longer contagious? How long is considered a safe bet? The hospital and my discharge papers said that I had to be in quarantine for just one week and it has now been 10 days since then.
Thanks in advance for any advice!</t>
        </is>
      </c>
      <c r="D1121" t="n">
        <v>2</v>
      </c>
      <c r="E1121" t="n">
        <v>12</v>
      </c>
      <c r="F1121">
        <f>HYPERLINK("https://www.reddit.com/r/COVID19positive/comments/gkledn/recovered_from_covid19_last_tuesday_discharged/")</f>
        <v/>
      </c>
      <c r="G1121" t="inlineStr">
        <is>
          <t>2020-05-15 17:52:42</t>
        </is>
      </c>
      <c r="H1121" t="inlineStr">
        <is>
          <t>Tested Positive - Me</t>
        </is>
      </c>
    </row>
    <row r="1122">
      <c r="A1122" t="inlineStr">
        <is>
          <t>gko8sr</t>
        </is>
      </c>
      <c r="B1122" t="inlineStr">
        <is>
          <t>Need Help ASAP</t>
        </is>
      </c>
      <c r="C1122" t="inlineStr">
        <is>
          <t>I live in a house with a few people.  One has decided to make a terrible mistake of visiting their dying relative who has COVID.  Apparently the hospital allows visitors to someone who is dying.  If this person wears a mask but is in the visitor wing of a hospital with COVID what is the likelihood this housemate gets COVID?</t>
        </is>
      </c>
      <c r="D1122" t="n">
        <v>1</v>
      </c>
      <c r="E1122" t="n">
        <v>8</v>
      </c>
      <c r="F1122">
        <f>HYPERLINK("https://www.reddit.com/r/COVID19positive/comments/gko8sr/need_help_asap/")</f>
        <v/>
      </c>
      <c r="G1122" t="inlineStr">
        <is>
          <t>2020-05-15 21:06:01</t>
        </is>
      </c>
      <c r="H1122" t="inlineStr">
        <is>
          <t>Tested Positive - Friends</t>
        </is>
      </c>
    </row>
    <row r="1123">
      <c r="A1123" t="inlineStr">
        <is>
          <t>gkow5d</t>
        </is>
      </c>
      <c r="B1123" t="inlineStr">
        <is>
          <t>Tested negative today after 1 month isolation !!</t>
        </is>
      </c>
      <c r="C1123" t="inlineStr">
        <is>
          <t>Hi guys! I’m beyond excited to say that I tested negative today! I’ve have had symptoms since the 18th of April and Started isolation that same day. Didn’t get tested till 28th of April and it came back positive. I decided to get retested again yesterday and results came back today negative! I am so happy! I am still having pain in my chest and back and get fatigued really quick but just seeing the test negative makes me Smile and know that I got through this. I was in so much pain you wouldn’t believe it. By the way I was the one that posted a few days ago about the nurse that Asked me if my pain was worse than when Jesus died in the cross LOL. The hospital reached out to me and apologized. Anyways I wish everybody that has tested positive a speedy recovery! You’ve got this! Be strong! Big hugs to you all !!!!</t>
        </is>
      </c>
      <c r="D1123" t="n">
        <v>1</v>
      </c>
      <c r="E1123" t="n">
        <v>7</v>
      </c>
      <c r="F1123">
        <f>HYPERLINK("https://www.reddit.com/r/COVID19positive/comments/gkow5d/tested_negative_today_after_1_month_isolation/")</f>
        <v/>
      </c>
      <c r="G1123" t="inlineStr">
        <is>
          <t>2020-05-15 21:55:02</t>
        </is>
      </c>
      <c r="H1123" t="inlineStr">
        <is>
          <t>Tested Positive</t>
        </is>
      </c>
    </row>
    <row r="1124">
      <c r="A1124" t="inlineStr">
        <is>
          <t>gkped0</t>
        </is>
      </c>
      <c r="B1124" t="inlineStr">
        <is>
          <t>Big strong gulps of air!</t>
        </is>
      </c>
      <c r="C1124" t="inlineStr">
        <is>
          <t>Hello guys, so if you want to know more details about my experience go on my original post on my profile. 
But I was wondering does anyone else get this kind of clean air feeling when they breath in now? Like it feels good almost like you’ve swallowed a bit of extra fresh air that goes right down to your ribs. Almost like your body is learning to breath again? 
For a while when this started I couldn’t catch my breath. But when I get these breathes I can breathe them in without having to yawn to do so and it feels very deep... almost very satisfying 
It’s hard to describe but if you feel it you’ll get what I mean? 
I’m on my 52 day of symptoms now on and off, symptoms also switch around as well. 
Yesterday I had another one of those intermittent fevers everyone seems to get, mid afternoon. And have now developed some sores in my lip. Look like canker sores. 
Hope everyone is managing to cope🙏</t>
        </is>
      </c>
      <c r="D1124" t="n">
        <v>1</v>
      </c>
      <c r="E1124" t="n">
        <v>16</v>
      </c>
      <c r="F1124">
        <f>HYPERLINK("https://www.reddit.com/r/COVID19positive/comments/gkped0/big_strong_gulps_of_air/")</f>
        <v/>
      </c>
      <c r="G1124" t="inlineStr">
        <is>
          <t>2020-05-15 22:36:44</t>
        </is>
      </c>
      <c r="H1124" t="inlineStr">
        <is>
          <t>Presumed Positive - From Doctor</t>
        </is>
      </c>
    </row>
    <row r="1125">
      <c r="A1125" t="inlineStr">
        <is>
          <t>gkpl2d</t>
        </is>
      </c>
      <c r="B1125" t="inlineStr">
        <is>
          <t>COVID back pain</t>
        </is>
      </c>
      <c r="C1125" t="inlineStr">
        <is>
          <t>Has anybody that's been COVID positive had back pain?  Mostly at the hip and between the shoulders. I about cant get myself out of bed at times and it's not going away.</t>
        </is>
      </c>
      <c r="D1125" t="n">
        <v>1</v>
      </c>
      <c r="E1125" t="n">
        <v>10</v>
      </c>
      <c r="F1125">
        <f>HYPERLINK("https://www.reddit.com/r/COVID19positive/comments/gkpl2d/covid_back_pain/")</f>
        <v/>
      </c>
      <c r="G1125" t="inlineStr">
        <is>
          <t>2020-05-15 22:52:41</t>
        </is>
      </c>
      <c r="H1125" t="inlineStr">
        <is>
          <t>Tested Positive - Me</t>
        </is>
      </c>
    </row>
    <row r="1126">
      <c r="A1126" t="inlineStr">
        <is>
          <t>gkqgkp</t>
        </is>
      </c>
      <c r="B1126" t="inlineStr">
        <is>
          <t>Worst BO ever!</t>
        </is>
      </c>
      <c r="C1126" t="inlineStr">
        <is>
          <t>Anyone else notice really bad body odor with this virus?  I’m not talking about when you were very ill and not showering daily...but around week 5 when I was up and about I began to be appalled by my smell.  I thought maybe my body was expelling the virus so I took it as a good sign and just showered a few times a day and wore lots of antiperspirant.  But now at week 8 while I smell better than before, I still stink like a high school locker room.  It’s sooo bad.  Thank God I’m not leaving the house.  Has anyone else noticed this?  Or am I just disgusting?</t>
        </is>
      </c>
      <c r="D1126" t="n">
        <v>1</v>
      </c>
      <c r="E1126" t="n">
        <v>11</v>
      </c>
      <c r="F1126">
        <f>HYPERLINK("https://www.reddit.com/r/COVID19positive/comments/gkqgkp/worst_bo_ever/")</f>
        <v/>
      </c>
      <c r="G1126" t="inlineStr">
        <is>
          <t>2020-05-16 00:10:50</t>
        </is>
      </c>
      <c r="H1126" t="inlineStr">
        <is>
          <t>Tested Positive - Family</t>
        </is>
      </c>
    </row>
    <row r="1127">
      <c r="A1127" t="inlineStr">
        <is>
          <t>gkqww7</t>
        </is>
      </c>
      <c r="B1127" t="inlineStr">
        <is>
          <t>February case/speculation</t>
        </is>
      </c>
      <c r="C1127" t="inlineStr">
        <is>
          <t>I think I got it playing basketball.. have been out of commission since. Wondering does anyone else have a spider web like mucus?</t>
        </is>
      </c>
      <c r="D1127" t="n">
        <v>1</v>
      </c>
      <c r="E1127" t="n">
        <v>3</v>
      </c>
      <c r="F1127">
        <f>HYPERLINK("https://www.reddit.com/r/COVID19positive/comments/gkqww7/february_casespeculation/")</f>
        <v/>
      </c>
      <c r="G1127" t="inlineStr">
        <is>
          <t>2020-05-16 00:53:42</t>
        </is>
      </c>
      <c r="H1127" t="inlineStr">
        <is>
          <t>Presumed Positive - From Doctor</t>
        </is>
      </c>
    </row>
    <row r="1128">
      <c r="A1128" t="inlineStr">
        <is>
          <t>gkr8fi</t>
        </is>
      </c>
      <c r="B1128" t="inlineStr">
        <is>
          <t>Tested Negative after 4 weeks, but feel even worse than before!</t>
        </is>
      </c>
      <c r="C1128" t="inlineStr">
        <is>
          <t>Hey, I tested positive for COVID around April 16th. I felt like my mouth was widening, had no smell or taste (Tongue was swollen with metal taste) Bad case of anxiety and insomnia, and breathing issues. I isolated in my room after being tested positive. It was and still is hard to even get a few hours of sleep due to my anxiety. My nasal passages are blocked. My ears are blocked, I literally cant breathe properly from my nose properly. 
After 4 weeks, my symptoms started to die down, ( My mouth still has that feeling of "opening up" as if its detaching from the my skull, ears and nose still blocked, sleep still messed) but it was looking better. I ended up being tested negative but my symptoms have all came back extra hard. My stomach keeps irritating, my upper abdoment hurts, I lost my smell and taste again, my top teeth feel off as if theres air stuck behind them, tongue is swelled up, my jaw hurts and I have alot of neck pain now. 
I literally dont know what to do anymore, I feel weaker than before and my body feels hollow. The doctor prescribed me with Prednisone to fix up my blocked nasal passages but it doesnt seem to help. I feel like im going crazy and dont know what is because doctors just assume its Covid. Keep having a feeling im gonna die any second.</t>
        </is>
      </c>
      <c r="D1128" t="n">
        <v>1</v>
      </c>
      <c r="E1128" t="n">
        <v>10</v>
      </c>
      <c r="F1128">
        <f>HYPERLINK("https://www.reddit.com/r/COVID19positive/comments/gkr8fi/tested_negative_after_4_weeks_but_feel_even_worse/")</f>
        <v/>
      </c>
      <c r="G1128" t="inlineStr">
        <is>
          <t>2020-05-16 01:25:18</t>
        </is>
      </c>
      <c r="H1128" t="inlineStr">
        <is>
          <t>Tested Positive - Me</t>
        </is>
      </c>
    </row>
    <row r="1129">
      <c r="A1129" t="inlineStr">
        <is>
          <t>gkrmdb</t>
        </is>
      </c>
      <c r="B1129" t="inlineStr">
        <is>
          <t>Coronavirus IgG Antibody Positive - My Story</t>
        </is>
      </c>
      <c r="C1129" t="inlineStr">
        <is>
          <t>Had mild symptoms of a bad sinusitis or a cold.  Had a 100.3 fever for a night.  That same night, had a super high heart rate, sweats, and a 100.3 fever when I thought I was about to wind down and go to bed.  I just remember sitting on my bed saying it’s time to sleep now, not had a 135 heart rate.  Instead I called 911.  But I wasn’t having a heart attack.  Paramedics came, there was “nothing wrong” they could find.  Went to the ER anyway for a night and they diagnosed me with anxiety and a CBC that had super low lymphocytes.  Like, AIDS low.  But doctors weren’t that worried because all my other levels were normal.  Nothing suggested anything else except I was “probably fighting something off”. My fever wasn’t high and dropped right away with a Tylenol.   They gave me an Ativan and sent me home.  My heart rate came down to 98.  This was mid-February.  
A week later after analyzing a stool sample I submitted because I was also having horrible abdominal gas and sulfur farts, I got a diagnosis of Sapo Virus.  I had been having horrible GI symptoms for two weeks before and had them for a MONTH on and off after getting my Sapo diagnosis.  Sapo is very mild, kids get over it in 2-3 days.  Adults 24-48 hours.  I had Sapo, but why was it constantly coming back? 
Why did I have almost no lymphocytes (natural killer cells) and tons and tons of neutrophils?  Isn’t a normal virus supposed to lower neutrophils and raise lymphocytes???
The problem with all of this is that I also have horrible panic disorder.  Which has been well controlled for years.  An anxiety fear of impending doom is indistinguishable for me from an actual medical emergency.
I went scorched earth on this thing, whatever I had.  There were no COVID tests then.  (Even though many of us likely had it in Los Angeles.). 
5000 IU of D, 1000mg Lipospheric C, Elderberry, Garlic, B complex, serious liquid multi, Tumeric, Ginger, and many other things.  Then I went balls to the wall with 1 tsp of Licrorice Root, 1 tsp Tumeric and 1 tsp Ginger with raw honey as a paste when what felt like a sinus infection showed up. That cures anything.  I instantly felt better and slowly recovered over a month.
In May my wife and I got antibody tests.  Blood serum.  She had a horrible cough that wouldn’t go away for three weeks in January.  We’re both positive.  My result was a 49.8, hers was 15.9.  They say another over 11 means you 100% had something...
Got new blood work and my lymphocytes have totally recovered.  Everything was finally normal again!  I started having some decaf coffee and walking again.
I started walking more, enjoying the sun.  I started doing some mild exercise on my elliptical.  But something was strange.  After I’d get done working out, instead of feeling my usual “high” my heart rate would never really go that high and instead drop pretty quickly back to resting and I would feel...very tired.
The other day we went to see the algae bloom at the ocean.  It was freezing out there and I had shorts on.  It was cold but it didn’t bother me that much.  We came home and I was feeling a little nasty from laying around all day so I did a 20 minute elliptical routine.  It was a little more difficult than I thought it might be.  No pain, but it was just tiring to do.  No shortness of breath at all.
Then I got real tired.  Real real tired.  The most tired I’ve even been in my life.  I started feeling bad chills.  The kind you have to get immediately in bed from because you just can’t get warm.  Then I started to feel light headed.  Then depersonalized.  Was I just exhausted or was it something else?  My body really wanted to sleep but my mind started sending another signal.  Something is wrong.  Really wrong.  You need to get help now!  I told my wife, by this point it was 3am.  She calmly reassured me, “you just got a blood test 3 days ago, all your levels are normal, you got over whatever you had!”  I got some sleep at 6am, only to wake up to soaked sweats.  Took my temp at least 100 times over the next three days.  Always 96.8-98.6.  Never higher, never lower.  The next three days I had the worst anxiety and panic attacks I’ve ever had.  The only thing that stopped me from going back to the ER was that I didn’t have an actual complaint other than high heart rate, profuse sweating and some mild low body temperature — yet all 100% textbook for a panic attack.  And the attacks did eventually go away after hours when I was able to focus on something else.  If I was really sick, they wouldn’t have went away right or I’d have had a really high fever.
Today, I’m a bit better.  The fear of impending doom has went away.  The night sweats have stopped.  The light headedness and DP is all gone.  But something is different.
When I stand up, I get instant Sinus Tach.  When I do any major physical exercise I get super exhausted and have to lay down.  Showers are exhausting.  Adrenal fatigue seems likely and makes a lot of sense when you sit for three days in horrible panic.  That came out of NOWHERE.  Because I was...really, really tired?  Like, so tired that I felt I might die if I fell asleep?  So I fought it for hours.  Nuts, right?
Could it all be anxiety from a horrendous depersonalized experience from just being really tired?  Absolutely.
Or it’s a reactivation of COVID or what comes after or basically some horrible you exercised a little much SHOCK to my whole system.  I’ve read lots of links on the bad that comes after the “recovery” and many horror stories about exercising during or after this thing.  
I have no idea what happened to me when I went to the ER in February.  I never had chest pain, never had any issue with my lungs, never had a high fever.  But plenty of days with 96s and 97s.  Sepsis?  Shock?  Oh, and my back really hurt bad for a week.  Kidney infection?
Anyone here with any similar stories or thoughts, I’d LOVE to hear them.  Whether it’s hard science or conspiracy I’d love to hear any opinions. 
Lots of love to everyone here.  No really, I mean it.  Every one of you.
I don’t know what this is.  I don’t know what’s still here or what could have...reactivated or come to play later?
EBV?  ME?  CFS?  Or something...worse?
Worst time I’ve ever had in my life trying to separate any of this out from anxiety and panic.  But like my wife has told me at least ten times, nothing I had was “that” bad, it all could have just been panic.  But why do I have high antibodies?  Why does she?  
UCLA can’t tell me definitely what any of it means.  And I believe them.  They don’t know.  
If anyone knows, it’s this community that has seen this shit.  If anyone has any super pro tips on truly getting back to normal, I’d love to know.  I’m going back on all my supplements.  Even if I think I feel better, I’m not going to stop.  Not till we know a lot more.  
And fuck that elliptical.</t>
        </is>
      </c>
      <c r="D1129" t="n">
        <v>1</v>
      </c>
      <c r="E1129" t="n">
        <v>27</v>
      </c>
      <c r="F1129">
        <f>HYPERLINK("https://www.reddit.com/r/COVID19positive/comments/gkrmdb/coronavirus_igg_antibody_positive_my_story/")</f>
        <v/>
      </c>
      <c r="G1129" t="inlineStr">
        <is>
          <t>2020-05-16 02:03:40</t>
        </is>
      </c>
      <c r="H1129" t="inlineStr">
        <is>
          <t>Presumed Positive - From Doctor</t>
        </is>
      </c>
    </row>
    <row r="1130">
      <c r="A1130" t="inlineStr">
        <is>
          <t>gkszbf</t>
        </is>
      </c>
      <c r="B1130" t="inlineStr">
        <is>
          <t>Tell me</t>
        </is>
      </c>
      <c r="C1130" t="inlineStr">
        <is>
          <t>My dad tested positive for Covid. He has no underlying ilnesses and he has one mild symptom, a cough. It's been a week and he still has few mild symptoms. He is over 50, this is good right. This means he can recover well right?</t>
        </is>
      </c>
      <c r="D1130" t="n">
        <v>1</v>
      </c>
      <c r="E1130" t="n">
        <v>4</v>
      </c>
      <c r="F1130">
        <f>HYPERLINK("https://www.reddit.com/r/COVID19positive/comments/gkszbf/tell_me/")</f>
        <v/>
      </c>
      <c r="G1130" t="inlineStr">
        <is>
          <t>2020-05-16 04:12:47</t>
        </is>
      </c>
      <c r="H1130" t="inlineStr">
        <is>
          <t>Tested Positive - Family</t>
        </is>
      </c>
    </row>
    <row r="1131">
      <c r="A1131" t="inlineStr">
        <is>
          <t>gkt8bu</t>
        </is>
      </c>
      <c r="B1131" t="inlineStr">
        <is>
          <t>Does Sugar make the virus worse?</t>
        </is>
      </c>
      <c r="C1131" t="inlineStr">
        <is>
          <t>I ate some nutella and felt worse than before so was wondering.</t>
        </is>
      </c>
      <c r="D1131" t="n">
        <v>1</v>
      </c>
      <c r="E1131" t="n">
        <v>19</v>
      </c>
      <c r="F1131">
        <f>HYPERLINK("https://www.reddit.com/r/COVID19positive/comments/gkt8bu/does_sugar_make_the_virus_worse/")</f>
        <v/>
      </c>
      <c r="G1131" t="inlineStr">
        <is>
          <t>2020-05-16 04:35:51</t>
        </is>
      </c>
      <c r="H1131" t="inlineStr">
        <is>
          <t>Presumed Positive - From Doctor</t>
        </is>
      </c>
    </row>
    <row r="1132">
      <c r="A1132" t="inlineStr">
        <is>
          <t>gktxno</t>
        </is>
      </c>
      <c r="B1132" t="inlineStr">
        <is>
          <t>Multi-System Inflammatory Syndrome in Children - related to Adults with ongoing symptoms?</t>
        </is>
      </c>
      <c r="C1132" t="inlineStr">
        <is>
          <t>Anyone notice any eerie correlations between the newly diagnosed PIMS (Pediatric Inflammatory Multisystem Syndrome) and those of us who are experiencing ongoing relapses of symptoms weeks after being infected with Covid-19? From what they know so far, it appears to come a few weeks after a Covid-19 infection with inflammation connected to systems like the heart and blood vessels. It has symptoms (among others) like SOB, ongoing fever, blood vessel and GI issues. I'm on Day 64 and that's what I've noticed - inflammation throughout the body affecting my different systems (heart, lungs, blood vessels, stomach, kidneys and skin). From reading through so many ongoing-symptoms posts (along with another one on the platform *Slack*), it seems like many adults are experiencing something similar.</t>
        </is>
      </c>
      <c r="D1132" t="n">
        <v>1</v>
      </c>
      <c r="E1132" t="n">
        <v>33</v>
      </c>
      <c r="F1132">
        <f>HYPERLINK("https://www.reddit.com/r/COVID19positive/comments/gktxno/multisystem_inflammatory_syndrome_in_children/")</f>
        <v/>
      </c>
      <c r="G1132" t="inlineStr">
        <is>
          <t>2020-05-16 05:33:39</t>
        </is>
      </c>
      <c r="H1132" t="inlineStr">
        <is>
          <t>Tested Positive</t>
        </is>
      </c>
    </row>
    <row r="1133">
      <c r="A1133" t="inlineStr">
        <is>
          <t>gku3fj</t>
        </is>
      </c>
      <c r="B1133" t="inlineStr">
        <is>
          <t>Dry cough returns after a week</t>
        </is>
      </c>
      <c r="C1133" t="inlineStr">
        <is>
          <t>So my dry cough came back Thursday after finally leaving a week ago. I finally tested negative almost two weeks ago so I started working again this week. Work in the hospital setting so I have been working with postive Covid patients with appropriate PPE. Guess I'm just being paranoid but would it be possible to be re infected this fast? I originally got sick April 3rd. When I fist got sick it started just like this, a dry cough/tickle in my throat. Although I did take my dogs for a hike on Thursday that caused me to work pretty hard going up some hills that got me winded, so it could have just been that I guess. My cough came back that night</t>
        </is>
      </c>
      <c r="D1133" t="n">
        <v>1</v>
      </c>
      <c r="E1133" t="n">
        <v>6</v>
      </c>
      <c r="F1133">
        <f>HYPERLINK("https://www.reddit.com/r/COVID19positive/comments/gku3fj/dry_cough_returns_after_a_week/")</f>
        <v/>
      </c>
      <c r="G1133" t="inlineStr">
        <is>
          <t>2020-05-16 05:46:35</t>
        </is>
      </c>
      <c r="H1133" t="inlineStr">
        <is>
          <t>Tested Positive - Me</t>
        </is>
      </c>
    </row>
    <row r="1134">
      <c r="A1134" t="inlineStr">
        <is>
          <t>gkuht4</t>
        </is>
      </c>
      <c r="B1134" t="inlineStr">
        <is>
          <t>Feedback on my conditions</t>
        </is>
      </c>
      <c r="C1134" t="inlineStr">
        <is>
          <t>I started feeling ill 2 days ago and tested Positive (got results yesterday)
I've ran a low fever (99-101) for two days but it seems to have broken last night, I'm back to 97.5.  The flu achyness has stopped but my throat isn't back to normal yet.
When do you know you are 'over it'?</t>
        </is>
      </c>
      <c r="D1134" t="n">
        <v>1</v>
      </c>
      <c r="E1134" t="n">
        <v>5</v>
      </c>
      <c r="F1134">
        <f>HYPERLINK("https://www.reddit.com/r/COVID19positive/comments/gkuht4/feedback_on_my_conditions/")</f>
        <v/>
      </c>
      <c r="G1134" t="inlineStr">
        <is>
          <t>2020-05-16 06:16:58</t>
        </is>
      </c>
      <c r="H1134" t="inlineStr">
        <is>
          <t>Tested Positive - Me</t>
        </is>
      </c>
    </row>
    <row r="1135">
      <c r="A1135" t="inlineStr">
        <is>
          <t>gkunhv</t>
        </is>
      </c>
      <c r="B1135" t="inlineStr">
        <is>
          <t>Neurological symptoms later on?</t>
        </is>
      </c>
      <c r="C1135" t="inlineStr">
        <is>
          <t>I've been sick for over 40 days now. I've had fevers, a dry cough, muscle pains, skin rashes on toes and body and in the last week I've experienced neurological symptoms.
I've been checked by a cardiologist since my resting heart rate is at 100, normally it sits at 60-70 for me. When I'm up walking around at home it goes up to 170-180. I've been diagnosed with unspecific tachyardia. They haven't found anything wrong with my heart but says its probably caused by covid and should go back to normal.
The fever and cough has stopped now but I'm having neurological symptoms and it scares the shit out me. I'm F23 and have no prior existing conditions.
I have dull headaches daily that Tylenol doesn't help with. Sometimes I wake up to a tender and swollen head. It hurts just by touching it. I also have diffuse muscle pains every day, mostly on my right side. Feels like I've been working out, it's Sharp and sometimes dull.
I also get completely out of it when taking a short walk. I feel shortness of breath and like I'm not getting enough of air. Like something is stuck in my lungs. I've had a lung x ray and they didn't see anything, looked normal.
I'm previously healthy and this is honestly scaring the shit of out of me. I've had blood work done and everything looks fine but my white blood cells have been a little elevated and now its back to normal.
How can I still be this sick?</t>
        </is>
      </c>
      <c r="D1135" t="n">
        <v>1</v>
      </c>
      <c r="E1135" t="n">
        <v>64</v>
      </c>
      <c r="F1135">
        <f>HYPERLINK("https://www.reddit.com/r/COVID19positive/comments/gkunhv/neurological_symptoms_later_on/")</f>
        <v/>
      </c>
      <c r="G1135" t="inlineStr">
        <is>
          <t>2020-05-16 06:28:07</t>
        </is>
      </c>
      <c r="H1135" t="inlineStr">
        <is>
          <t>Presumed Positive - From Doctor</t>
        </is>
      </c>
    </row>
    <row r="1136">
      <c r="A1136" t="inlineStr">
        <is>
          <t>gkv0k7</t>
        </is>
      </c>
      <c r="B1136" t="inlineStr">
        <is>
          <t>I think I might go insane</t>
        </is>
      </c>
      <c r="C1136" t="inlineStr">
        <is>
          <t>My mom went in to get tested on Monday because she's been feeling under the weather on and off for a number of weeks now (at least 3). The test comes back positive yesterday. It's been 6 days now since she took the test. My dad shows no symptoms. I've been feeling symptomatic since yesterday. (coincidence?).  I'm not sure if it's in my head or not. I'm hoping it's just hypochondria . I just feel "off" and fatigued. 
I don't know what to do. You always think it will never happen to you. At what point would we go to the hospital? Does anyone have any tips? Im terrified that this thing is just going to ramp up any day now and kill us. This is absolutely awful.</t>
        </is>
      </c>
      <c r="D1136" t="n">
        <v>1</v>
      </c>
      <c r="E1136" t="n">
        <v>12</v>
      </c>
      <c r="F1136">
        <f>HYPERLINK("https://www.reddit.com/r/COVID19positive/comments/gkv0k7/i_think_i_might_go_insane/")</f>
        <v/>
      </c>
      <c r="G1136" t="inlineStr">
        <is>
          <t>2020-05-16 06:53:55</t>
        </is>
      </c>
      <c r="H1136" t="inlineStr">
        <is>
          <t>Tested Positive - Family</t>
        </is>
      </c>
    </row>
    <row r="1137">
      <c r="A1137" t="inlineStr">
        <is>
          <t>gkvjhb</t>
        </is>
      </c>
      <c r="B1137" t="inlineStr">
        <is>
          <t>Any long term sufferers take Hydroxychloroquine, Ivermectin or Remdesivir?</t>
        </is>
      </c>
      <c r="C1137" t="inlineStr">
        <is>
          <t>30+ days suffering now and wondering if taking any one of those would help me now.
Have heard people recovered taking Hydroxychloroquine when they went to the ER within 14 days of symptom onset.</t>
        </is>
      </c>
      <c r="D1137" t="n">
        <v>1</v>
      </c>
      <c r="E1137" t="n">
        <v>7</v>
      </c>
      <c r="F1137">
        <f>HYPERLINK("https://www.reddit.com/r/COVID19positive/comments/gkvjhb/any_long_term_sufferers_take_hydroxychloroquine/")</f>
        <v/>
      </c>
      <c r="G1137" t="inlineStr">
        <is>
          <t>2020-05-16 07:30:15</t>
        </is>
      </c>
      <c r="H1137" t="inlineStr">
        <is>
          <t>Presumed Positive - From Doctor</t>
        </is>
      </c>
    </row>
    <row r="1138">
      <c r="A1138" t="inlineStr">
        <is>
          <t>gkvlcl</t>
        </is>
      </c>
      <c r="B1138" t="inlineStr">
        <is>
          <t>Recommendation</t>
        </is>
      </c>
      <c r="C1138" t="inlineStr">
        <is>
          <t>My brother tested positive this morning, he is only experiencing generalized body aches and decreased taste/smell. Anyone knows if it helped to supplement with multi vitamins and D3 ?</t>
        </is>
      </c>
      <c r="D1138" t="n">
        <v>1</v>
      </c>
      <c r="E1138" t="n">
        <v>6</v>
      </c>
      <c r="F1138">
        <f>HYPERLINK("https://www.reddit.com/r/COVID19positive/comments/gkvlcl/recommendation/")</f>
        <v/>
      </c>
      <c r="G1138" t="inlineStr">
        <is>
          <t>2020-05-16 07:33:43</t>
        </is>
      </c>
      <c r="H1138" t="inlineStr">
        <is>
          <t>Tested Positive - Family</t>
        </is>
      </c>
    </row>
    <row r="1139">
      <c r="A1139" t="inlineStr">
        <is>
          <t>gkwzpv</t>
        </is>
      </c>
      <c r="B1139" t="inlineStr">
        <is>
          <t>Week 8, managed to walk 6000 steps</t>
        </is>
      </c>
      <c r="C1139" t="inlineStr">
        <is>
          <t>So, I'm on week 8, took a walk for 6000 steps today, I'm feeling that I'm not used to this, but damn is it good to be able to do this!!!</t>
        </is>
      </c>
      <c r="D1139" t="n">
        <v>6</v>
      </c>
      <c r="E1139" t="n">
        <v>12</v>
      </c>
      <c r="F1139">
        <f>HYPERLINK("https://www.reddit.com/r/COVID19positive/comments/gkwzpv/week_8_managed_to_walk_6000_steps/")</f>
        <v/>
      </c>
      <c r="G1139" t="inlineStr">
        <is>
          <t>2020-05-16 08:59:27</t>
        </is>
      </c>
      <c r="H1139" t="inlineStr">
        <is>
          <t>Presumed Positive - From Doctor</t>
        </is>
      </c>
    </row>
    <row r="1140">
      <c r="A1140" t="inlineStr">
        <is>
          <t>gkxi6y</t>
        </is>
      </c>
      <c r="B1140" t="inlineStr">
        <is>
          <t>Food is not the same after contracting coronavirus.</t>
        </is>
      </c>
      <c r="C1140" t="inlineStr">
        <is>
          <t>Now, I know what you may be thinking. After all the potentially life threatening symptoms you experienced with corona, this is what you’re worried about? I ask you to please hear me out. I’ve always been a food junkie. Not in the way that you eat too much or too bad that it becomes imperative to your health, but in the way that any emotion you may experience, food is there to comfort your soul. I’m not afraid to admit that food is—was one of my passions. I loved to make it, I loved to plan it, I loved to see countless shows on I t, I loved to taste it (obviously), and I just loved everything about it. I’m a slow eater not because I get distracted by other things, but because I choose to savor each bite and really experience my meal with each bite. Now...My family and I contracted the virus and I went about two weeks without the ability to smell or taste anything. Yet, I still had to eat (of course). I would say it was the most depressing times of my life. Losing those senses made eating paired with a sinking sensation of sadness. Especially the moments where I had somehow forgotten and took a bite—I really cannot explain the shock and sorrow I was forced to endure. Though I knew—I hoped— that it wasn’t forever, I found myself mourning the loss of smell and taste for the rest of my life. And yes, I know I sound dramatic. 
Fast forward to present day, I can taste! My smell followed shortly after and if you ask anyone, they’ll tell you how I spend just a bit more time lingering next to a candle or spraying on my perfume. The only downfall? Food doesn’t excite me anymore. The passion I had for food has since disappeared and I find myself hungry, sure, but left unsatisfied after every meal. Cravings are not a thing in my dictionary anymore, after lunch I’m not looking to see what I can possibly have for dinner, there’s no spark. And shouldn’t it be the opposite? After weeks of not tasting or smelling, shouldn’t I be over the moon with every meal and engorging myself in every taste? Yeah...I thought so, too. It’s just not. And I have no idea how to repair this.</t>
        </is>
      </c>
      <c r="D1140" t="n">
        <v>7</v>
      </c>
      <c r="E1140" t="n">
        <v>34</v>
      </c>
      <c r="F1140">
        <f>HYPERLINK("https://www.reddit.com/r/COVID19positive/comments/gkxi6y/food_is_not_the_same_after_contracting_coronavirus/")</f>
        <v/>
      </c>
      <c r="G1140" t="inlineStr">
        <is>
          <t>2020-05-16 09:29:13</t>
        </is>
      </c>
      <c r="H1140" t="inlineStr">
        <is>
          <t>Tested Positive - Family</t>
        </is>
      </c>
    </row>
    <row r="1141">
      <c r="A1141" t="inlineStr">
        <is>
          <t>gkybwn</t>
        </is>
      </c>
      <c r="B1141" t="inlineStr">
        <is>
          <t>How do I find a lab with FDA approved Antibody Tests?</t>
        </is>
      </c>
      <c r="C1141" t="inlineStr">
        <is>
          <t>I got the rapid test, came back negative, but now I've heard a study last week showed as much as a 48% false negative rate! So with the antibody test I don't want to make the same mistake and get a faulty one. 
My doctor wants me to get an Antibody test, but she's given me no guidance for finding a valid FDA approved one. 
Any advice? Also, can I take it if I'm symptomatic? (Been symptomatic for like 6 weeks, so it's not early in the infection)</t>
        </is>
      </c>
      <c r="D1141" t="n">
        <v>2</v>
      </c>
      <c r="E1141" t="n">
        <v>9</v>
      </c>
      <c r="F1141">
        <f>HYPERLINK("https://www.reddit.com/r/COVID19positive/comments/gkybwn/how_do_i_find_a_lab_with_fda_approved_antibody/")</f>
        <v/>
      </c>
      <c r="G1141" t="inlineStr">
        <is>
          <t>2020-05-16 10:16:11</t>
        </is>
      </c>
      <c r="H1141" t="inlineStr">
        <is>
          <t>Presumed Positive - From Doctor</t>
        </is>
      </c>
    </row>
    <row r="1142">
      <c r="A1142" t="inlineStr">
        <is>
          <t>gkyxja</t>
        </is>
      </c>
      <c r="B1142" t="inlineStr">
        <is>
          <t>Last month I asked for a beacon of hope for my family, here is our recovery story! (with symptoms, re tests results, medications, the whole sha bang)</t>
        </is>
      </c>
      <c r="C1142" t="inlineStr">
        <is>
          <t>Before I get started because I’d like to be as detailed as possible, keep in mind we did have a mild case even though the anxiety did not make me feel like it. This might get more detailed than I would like, but if this can help people out then please read. I will start off with myself
Myself and underlying conditions: My lifestyle was horrible, but I had no diagnosed conditions (just adhd if anything) I was a frequent wax smoker, I smoked vape pens such as Juul bars, took adderall here and there, Drank beer once a week (turned 21 December). I rarely ever exercised. I ate disgusting for the most part but not overweight for my height. 
Symptoms: loss of smell, mild fatigue (had the least worrisome case) 
4/12: mild sore throat, nasal congestion, wanted to lay in bed all day
4/13: felt amazing. the sore throat was still kinda there. at night time I realized my food tasted a little bland and masked. no fatigue 
4/16: no new symptoms except my senses were completely gone. tested positive 
day 3 - my recovery 2 weeks later: JUST a loss of a smell, no cough. I hear this happens with a lot of people. around the 2 week mark, my senses came back and I had no further symptoms 
blood type: B- 
medication: just tylenol the first few days since I couldn’t treat my loss senses. vitamin C as well, hot water.
TESTS: POSITIVE 4/16, NEGATIVE 5/8, NEGATIVE 5/15
MOM and underlying conditions: 54 years old, diabetic, high blood pressure, has thyroid issues (surgery a few years back), gets sick the most out of the family year round and takes the most meds, non smoker/drinker ...I was very scared about her! 
symptoms: EXTREME fatigue, dizziness, face was a little redder here and there, mild dry cough, fever, no appetite, still had her senses, no shortness of breath 
4/23: she stayed in bed all day, congestion and cough 
not sure on her dates , but :
days 6-9 for her was quite bad. her ox levels fell around 93-94 but she said she didn’t want to go to the ER because she felt like she wasn’t severe enough. Oxygen levels rose to 97 the next day. still extremely tired, her blood sugar and blood pressure levels were still okay. 
day 10- fever comes back, still tired 
day 13-15: feels fine and recovered 
blood type: B-
medications: Tylenol extra strength 3 times a day, mucinex (for her congestion), vitamins D and C, ZINC!!, and some herbal supplements she got shipped from overseas
TESTS: POSITIVE 4/25, NEGATIVE 5/ 10, NEGATIVE 5/15 
Thank goodness around this time they increased testing in our area...
My dad and underlying conditions: 68, healthy, bad joints, non smoker/drinker 
Blood type: O
Medications: zinc, vitamin D
Tested negative 5/10. This blew my mind because he was honestly sitting across the room from my my mom the entire few weeks, monitoring her. He wore a masks but until later. No symptoms during these weeks. 
My sister: 28 years overweight, non smoker or drinker 
Symptoms: cough for 1 day (does not live with us but had exposure to me and my mom days before I was positive) 
blood type: O
medications: zinc
TESTS: NEGATIVE 5/4 
So 2 things to note
I listed the blood types even though I’m not too sure if there’s science between the correlation. My dad and my sister are the same blood type, did not catch it. My dad was constantly around my mom and was me right before I showed symptoms, when I’m supposedly the most contagious. I wouldn’t say if he was to get he would be better off though, he’s still very old I think maybe he got lucky with my sister. 
Last lesson I learned: THIS VIRUS IS FUCKING RANDOM!!! It doesn’t matter how healthy you were before, it can make you feel just as bad or hit you as a mild case like myself. My mom has all the risk factors and still was considered very mild. Our mutual family friends both ended up in the hospital and had severe cases. 
I say this to be a “hope” for someone else, because not all cases are a death sentence. It’s easy to feel like that in the moments you finally experience this crazy virus that shook the world. We were lucky, and though I can’t promise everyone to have a mild case, I know that anxiety will make it worse since I panicked a lot as well. So with that being said, get a pulse ox for your ease of mind, take lots of vitamins, zinc, warm water and don’t assume the worst yet. We still treat our recoveries as big chances of getting infected or reinfected still. We are not completely out of the woods yet. 
Good luck to all of you guys, I will be signing up for plasma donation to help those who didn’t get to stay home and recover like us.</t>
        </is>
      </c>
      <c r="D1142" t="n">
        <v>11</v>
      </c>
      <c r="E1142" t="n">
        <v>13</v>
      </c>
      <c r="F1142">
        <f>HYPERLINK("https://www.reddit.com/r/COVID19positive/comments/gkyxja/last_month_i_asked_for_a_beacon_of_hope_for_my/")</f>
        <v/>
      </c>
      <c r="G1142" t="inlineStr">
        <is>
          <t>2020-05-16 10:50:24</t>
        </is>
      </c>
      <c r="H1142" t="inlineStr">
        <is>
          <t>Tested Positive - Family</t>
        </is>
      </c>
    </row>
    <row r="1143">
      <c r="A1143" t="inlineStr">
        <is>
          <t>gkz5uu</t>
        </is>
      </c>
      <c r="B1143" t="inlineStr">
        <is>
          <t>Has anyone found going to pulmonologist, infectious disease doctor helped?</t>
        </is>
      </c>
      <c r="C1143" t="inlineStr">
        <is>
          <t xml:space="preserve">
Day 61, blood work is good, CT scan clear, echocardiogram good, HR high but not too bad... doctors think I’m not contagious and inflammation/irritation just needs to calm down.
After a couple of days of feeling better, slight cough and chest pain are back. Wondering if seeing a pulmonologist/infectious disease specialist is worth it. Or heck, even getting tested to see if positive still. Thoughts?</t>
        </is>
      </c>
      <c r="D1143" t="n">
        <v>4</v>
      </c>
      <c r="E1143" t="n">
        <v>10</v>
      </c>
      <c r="F1143">
        <f>HYPERLINK("https://www.reddit.com/r/COVID19positive/comments/gkz5uu/has_anyone_found_going_to_pulmonologist/")</f>
        <v/>
      </c>
      <c r="G1143" t="inlineStr">
        <is>
          <t>2020-05-16 11:03:34</t>
        </is>
      </c>
      <c r="H1143" t="inlineStr">
        <is>
          <t>Tested Positive - Me</t>
        </is>
      </c>
    </row>
    <row r="1144">
      <c r="A1144" t="inlineStr">
        <is>
          <t>gkzs9b</t>
        </is>
      </c>
      <c r="B1144" t="inlineStr">
        <is>
          <t>Daily hives and skin rashes that come and go in short intervals, had them since I got sick with covid symptoms in beginning of april. Anyone else?</t>
        </is>
      </c>
      <c r="C1144" t="inlineStr">
        <is>
          <t>I've written in this sub about my symptoms but I haven't seen anyone with hives and skin rashes as one of them. I've read that it's mostly young people who get it so maybe thats why.
Here is a collage of my daily skin rashes. https://imgur.com/a/EXgEc90
Is anyone else having something similar? I started noticing them in the beginning of april, when I started displaying symptoms.</t>
        </is>
      </c>
      <c r="D1144" t="n">
        <v>3</v>
      </c>
      <c r="E1144" t="n">
        <v>19</v>
      </c>
      <c r="F1144">
        <f>HYPERLINK("https://www.reddit.com/r/COVID19positive/comments/gkzs9b/daily_hives_and_skin_rashes_that_come_and_go_in/")</f>
        <v/>
      </c>
      <c r="G1144" t="inlineStr">
        <is>
          <t>2020-05-16 11:37:41</t>
        </is>
      </c>
      <c r="H1144" t="inlineStr">
        <is>
          <t>Presumed Positive - From Doctor</t>
        </is>
      </c>
    </row>
    <row r="1145">
      <c r="A1145" t="inlineStr">
        <is>
          <t>gl28ks</t>
        </is>
      </c>
      <c r="B1145" t="inlineStr">
        <is>
          <t>Cipro damage</t>
        </is>
      </c>
      <c r="C1145" t="inlineStr">
        <is>
          <t>If anyone took a fluoroquinolone like cipro or levaquin you may want to look into the lasting effects of those meds. Look up floxies.</t>
        </is>
      </c>
      <c r="D1145" t="n">
        <v>1</v>
      </c>
      <c r="E1145" t="n">
        <v>2</v>
      </c>
      <c r="F1145">
        <f>HYPERLINK("https://www.reddit.com/r/COVID19positive/comments/gl28ks/cipro_damage/")</f>
        <v/>
      </c>
      <c r="G1145" t="inlineStr">
        <is>
          <t>2020-05-16 13:57:51</t>
        </is>
      </c>
      <c r="H1145" t="inlineStr">
        <is>
          <t>Presumed Positive - From Doctor</t>
        </is>
      </c>
    </row>
    <row r="1146">
      <c r="A1146" t="inlineStr">
        <is>
          <t>gl2ghf</t>
        </is>
      </c>
      <c r="B1146" t="inlineStr">
        <is>
          <t>Day 34, finally feel like I've turned a corner! Here's how I've been treating myself at home.</t>
        </is>
      </c>
      <c r="C1146" t="inlineStr">
        <is>
          <t>Hi everyone,
I've been commenting on posts here and there with my suggestions, but feel like I really have turned a corner with this beast and I wanted to make my own post with details on how I've been managing my treatment at home. I am not a medical professional, but some of this is advice I've received from doctors. At the same time, even those doctors have been upfront that we're all figuring this out as we go so they're kind of shooting blindly as well. I do think some of the ways I have managed myself during this time have contributed to my improvement, but it's impossible to say for sure if it's that or the passage of time. Still, if you're like I was a few weeks ago and desperate to try anything that could help I think this post could be of interest to you.
I am 31 y/o relatively healthy female. I have endometriosis (which acts like an autoimmune disease in many ways, but there are debates over whether it classifies as such), drink rarely (special occasions), and do not smoke or do drugs. I eat well and move often (walking and bike riding) with some cardio exercise and yoga thrown into the mix.
In early April my husband developed a headache, cough, and some tightness in his chest. We had been on lockdown since mid March with few cases reported in our area and had been taking social distancing very seriously. We were careful when we went to stores, the only thing we weren't doing at this time was wearing masks. We didn't pay too much attention to his symptoms for these reasons and did not isolate him in our home (it just seemed so impossible that he could have been exposed to covid). My doctor suspects that not isolating ourselves within the home caused me to get a heavy viral load of the disease and is why I got hit so hard.
On April 12 I woke up and I just knew something was wrong and that it couldn't be anything except covid. I've never had such a strange, heavy feeling in my chest. That and the intense dry cough and fatigue appeared overnight. I experienced basically every other symptom being reported with the exception of fever (but my siblings and I have historically never run fevers, even when I was young and got strep throat or other infections).
I was diagnosed presumed positive by 3 different doctors based on my symptoms and listening to my breathing / cough over televisits. I know 3 different doctors might sound insane, but one is a good family friend who is a top doctor and who I had been communicating with throughout my illness, one was my old PCP, and the third is my new PCP who I switched to after becoming frustrated with my former PCP's care. My first PCP was insistent that testing was useless with the false negative rate so I did not get tested. My new PCP said we could test, but she would say she was 99% sure it was COVID and she didn't need a test to prove that if I didn't. I decided I'd rather not have a nasal swab tickle my brain and I'm content to be presumed positive at this point.
**My at home treatment:**
*Some of this is super obvious, but I want to outline it all anyways. The starred\* items are things I started doing more recently and I suspect ultimately led to my quicker turnaround.*
* Tons of watered down gatorade or pedialyte and herbal teas, basically flushing myself out but making sure I'm still getting electrolytes.
* Sleeping with a humidifier every night
* Sleeping on my stomach or propped up with pillows
* Hot showers, or when I was too weak to stand I would take hot baths and slather vick's vapor rub on my chest
* DayQuil and NyQuil
* Stopping every day at around 60-70% capacity. Even if I was capable of more, the days I would go to 80-90% capacity I'd find myself stuck in bed with a "hangover" for 2-3 days after.
* Taking walks and moving around, while I wanted to not push myself too much I also found I felt worse if I did nothing at all.
* Getting outside in the sunshine (I have an eno hammock and have spent a lot of time laying in that thing since I got sick, it's been a lifesaver!)
* Albuterol inhaler\* 2x a day. I used one when I was younger for exercise and on a day when I had a lot of trouble breathing decided to get a new prescription from my doctor. She recommended I use it preventatively, so even though I haven't felt like I *have* to have it I still use it 2x a day to keep my lungs open and help with the cough.
* Quercetin, NAC, Magnesium, Vitamin D\* I'm in a covid support group on slack that has been toting these. Funny enough, these are all supplements my nutritionist already had me on. I have been working with her since the beginning of the year to manage my endometriosis and some gut issues. The thing is, the first half of my illness I wasn't taking these because I had such a poor appetite. The supplements usually make me sick on an empty stomach so I skipped them. About a week after I started eating on a regular schedule I began adding them back in, and this is right around the time I really started to make significant improvements.
* Maintaining a sleep schedule.\* I watched one of the PVF videos floating around that recommended a good sleep schedule to help with healing. At this point I had been staying up late simply because I always felt so bad by the end of the day that it felt like a battle to go to sleep. I was probably going to bed around 1-2am. When I started moving my bedtime up to 10-11pm I noticed *huge* improvements in how I was feeling. I accomplished this by taking melatonin, timing my NyQuil dose to be earlier in the evening, and STAYING OFF SCREENS. I know it's hard when you're so sick that the only thing you *can* do is scroll on your phone, but keeping them off helped so much in getting to bed earlier. I got a pair of blue light blocking glasses because I had been experiencing eye strain and headaches from all the time on my screens and I now use those for any extended time or any screen time at all after 8pm.
* Eliminating inflammatory foods.\* I can't eat gluten already and I avoid dairy, but being sick definitely had me reaching for comfort foods like gluten free pizza, grilled cheese, cookies, and brownies. I'm convinced this really hurt me. I snapped out of it and decided about halfway through that being sick was no excuse for eating shit and went back to my normal way of eating, which is basically paleo but add in some gf bread.
On my most recent televisit my doctor told me to take some mucinex to help clear out anything I might have in my lungs and to start taking zinc, vitamin c, and to double my vitamin d dosage (just for the next week). I have also started with elderberry syrup after the recommendation of some nurse friends. I'm aware there are conflicting studies about this, but decided to take it anyways. These things I have all started in the past day or so, so it's even to harder to say if they've had any impact.
My doctor said (like I'm sure many of you are already aware) that covid seems to induce Post Viral Fatigue in some patients. She said at this point it sounds like that's what I'm dealing with, and she would guess I'm past the virus. It's a bummer because I have suffered PVF before and it knocked me out for months, I would say even the year after I still felt some of the effects, but as of today with COVID I truly am feeling *well.* I'm not about to run a marathon (not that I have ever been able to run a marathon...?), but I'm able to take longer and longer walks each day and do more and more. My symptoms continue to disappear and I feel really confident if I continue with this treatment course I will be back to my fullest, healthiest self very soon.
One thing I do plan to stick with for a while, likely throughout the summer, is limiting my activities to 70% of my capacity. There have been too many stories of people backsliding and the maxing out on my energy (or getting close to it) has been the biggest trigger for setbacks for me so far. I've made peace with my summer looking vastly different than I had originally planned. Readjusting those expectations for myself has made a huge difference in my mental health.
I hope this is of help to some of you! I'm so sorry if you're dealing with this virus, it has been really awful.</t>
        </is>
      </c>
      <c r="D1146" t="n">
        <v>11</v>
      </c>
      <c r="E1146" t="n">
        <v>33</v>
      </c>
      <c r="F1146">
        <f>HYPERLINK("https://www.reddit.com/r/COVID19positive/comments/gl2ghf/day_34_finally_feel_like_ive_turned_a_corner/")</f>
        <v/>
      </c>
      <c r="G1146" t="inlineStr">
        <is>
          <t>2020-05-16 14:10:47</t>
        </is>
      </c>
      <c r="H1146" t="inlineStr">
        <is>
          <t>Presumed Positive - From Doctor</t>
        </is>
      </c>
    </row>
    <row r="1147">
      <c r="A1147" t="inlineStr">
        <is>
          <t>gl2j2p</t>
        </is>
      </c>
      <c r="B1147" t="inlineStr">
        <is>
          <t>Pulmonary nodules? Heart damage?</t>
        </is>
      </c>
      <c r="C1147" t="inlineStr">
        <is>
          <t>I (49F) have been sick for 13 weeks (history/symptoms in comments), presumed positive by my doctor, who is in contact with an infectious disease specialist. Last Monday had a CT angiogram with contrast &amp;amp; no blood clots were found, lungs were mostly clear, but a nodule was found. Apparently can be a variety of things- abscess, scarring, mucus plug or possibly cancer (I smoked for 25 years- probably about 15 "pack years").
Also had an echocardiogram yesterday but don't have the results yet. I do have some symptoms of cardiomyopathy/congestive heart failure.
Anyone else C19+ &amp;amp; have nodule(s) show up on a CT scan? If so, any clue what they were?
How about symptoms of heart damage but a normal echo? (I'm praying my echo results are normal!)</t>
        </is>
      </c>
      <c r="D1147" t="n">
        <v>1</v>
      </c>
      <c r="E1147" t="n">
        <v>5</v>
      </c>
      <c r="F1147">
        <f>HYPERLINK("https://www.reddit.com/r/COVID19positive/comments/gl2j2p/pulmonary_nodules_heart_damage/")</f>
        <v/>
      </c>
      <c r="G1147" t="inlineStr">
        <is>
          <t>2020-05-16 14:14:59</t>
        </is>
      </c>
      <c r="H1147" t="inlineStr">
        <is>
          <t>Presumed Positive - From Doctor</t>
        </is>
      </c>
    </row>
    <row r="1148">
      <c r="A1148" t="inlineStr">
        <is>
          <t>gl2jf6</t>
        </is>
      </c>
      <c r="B1148" t="inlineStr">
        <is>
          <t>Smell issues</t>
        </is>
      </c>
      <c r="C1148" t="inlineStr">
        <is>
          <t>Has anyone had the opposite and had an increased sense of smell??</t>
        </is>
      </c>
      <c r="D1148" t="n">
        <v>1</v>
      </c>
      <c r="E1148" t="n">
        <v>9</v>
      </c>
      <c r="F1148">
        <f>HYPERLINK("https://www.reddit.com/r/COVID19positive/comments/gl2jf6/smell_issues/")</f>
        <v/>
      </c>
      <c r="G1148" t="inlineStr">
        <is>
          <t>2020-05-16 14:15:33</t>
        </is>
      </c>
      <c r="H1148" t="inlineStr">
        <is>
          <t>Presumed Positive - From Doctor</t>
        </is>
      </c>
    </row>
    <row r="1149">
      <c r="A1149" t="inlineStr">
        <is>
          <t>gl2lbl</t>
        </is>
      </c>
      <c r="B1149" t="inlineStr">
        <is>
          <t>Burning nose</t>
        </is>
      </c>
      <c r="C1149" t="inlineStr">
        <is>
          <t>Has anyone had a burning nose feeling?  Or like you check at is itchy??</t>
        </is>
      </c>
      <c r="D1149" t="n">
        <v>3</v>
      </c>
      <c r="E1149" t="n">
        <v>7</v>
      </c>
      <c r="F1149">
        <f>HYPERLINK("https://www.reddit.com/r/COVID19positive/comments/gl2lbl/burning_nose/")</f>
        <v/>
      </c>
      <c r="G1149" t="inlineStr">
        <is>
          <t>2020-05-16 14:18:44</t>
        </is>
      </c>
      <c r="H1149" t="inlineStr">
        <is>
          <t>Presumed Positive - From Doctor</t>
        </is>
      </c>
    </row>
    <row r="1150">
      <c r="A1150" t="inlineStr">
        <is>
          <t>gl489u</t>
        </is>
      </c>
      <c r="B1150" t="inlineStr">
        <is>
          <t>Day 50: short, sharp dips: blood sugar?</t>
        </is>
      </c>
      <c r="C1150" t="inlineStr">
        <is>
          <t>I had short, sharp dips yesterday and today which are leaving me wondering if Covid (or the aftermath!) is messing with my blood sugar. 
Yesterday, day 49, I started off well! I got a Starbucks coffee and breakfast wrap around 830am. I did a Zoom job interview from 11am to noon. I think I had one more small snack around noon (an egg.) 2pm I crashed HARD. I got dizzy, foggy, headache and thought I was gonna pass out. It felt like I hadn’t eaten for 12 hours plus I felt super sweaty and my temp was 0.5 degrees higher than normal. I got a bunch of food and felt better within about an hour. Temp fell back to normal. 
Today, day 50, I had only a small snack in the morning and then crashed hard at noon during a conversation with someone. Dizzy, couldn’t focus, thought I might pass out. 
Theory: unlike before, my body can no longer handle a few hours without food. It’s creating some sort of “sugar crash” type situation which is even driving a small fever. Is anyone else experiencing this? 
Besides these dips, my main symptoms past couple days is moderate fatigue and mild-moderate body pain/inflammation.</t>
        </is>
      </c>
      <c r="D1150" t="n">
        <v>1</v>
      </c>
      <c r="E1150" t="n">
        <v>16</v>
      </c>
      <c r="F1150">
        <f>HYPERLINK("https://www.reddit.com/r/COVID19positive/comments/gl489u/day_50_short_sharp_dips_blood_sugar/")</f>
        <v/>
      </c>
      <c r="G1150" t="inlineStr">
        <is>
          <t>2020-05-16 15:59:24</t>
        </is>
      </c>
      <c r="H1150" t="inlineStr">
        <is>
          <t>Presumed Positive - From Doctor</t>
        </is>
      </c>
    </row>
    <row r="1151">
      <c r="A1151" t="inlineStr">
        <is>
          <t>gl4dh6</t>
        </is>
      </c>
      <c r="B1151" t="inlineStr">
        <is>
          <t>My(20m) EXTREMELY mild case.</t>
        </is>
      </c>
      <c r="C1151" t="inlineStr">
        <is>
          <t>20m, my last exposure with someone would’ve been 05/01. Got tested 05/04, test came back 05/05. on 05/05, in the morning, i had a bad cough. I started documenting my symptoms after i got the call that i was positive. 05/04, no cough. 05/03, was nauseous at night and had a loss of taste. Came back 20 min later. 
5/05 - 6Pm sort of dry cough, not super frequent. Anxiety through the roof. Cold and no appetite. Probably anxiety. Getting ready for a nap
Woke up 8:20 pm. No symptoms. Still the cough. Shortness of breath going up two flights of stairs but might just be me out of shape. Throat feels like i have a little bit of water. 
10:20pm slight chest pain. Lungs feel like they’re only 80-90%. Could be anxiety 
Right ear temp- 98 
5/06 - Woke up at 11:45. Slight pressure on my chest, but could be making that up. Not sure if that’s my mind tricking me or if it’s there for real
If I didn’t test for corona i wouldn’t know i had it 
4:40. Can barely smell anything, taste is still here, but is pretty drastically reduced. Can’t even smell spray paint i sprayed in my room 
6:30 taste is back 
temperature 98
5/07, Day3- 12pm- Slight cough still, just standing around after shower feel like i’m out of breath. 
2am: All day nothing. Got up. Ate a few times. Was outside. I Feel 100. Anxiously waiting for symptoms to come. Scared to sleep because i’m scared i’ll wake up dying. 
Temp 97.5.  
5/08- Day 4 of being positive - 7 days after possible exposure 
11pm ish. Nothing new except i keep having to clear my throat. 
97.8 temp 
Lots of anxiety about waking up tomorrow.
5/09. Feel 100. Woke up at 12. Only symptom is cough and cleared throat a few time. Not sure if that’s related 
10pm. legs hurt a lot but i’ve been standing all day. I work construction though so standing for 8 ish hours isn’t anything new to me. Sometimes they just hurt so not sure if it’s related 
10:30- reduced smell, might be mind tricks though. Legs hurt REALLY bad. Felt like they were gonna fall off. Pain was 13/10. Tylenol fixed it.  
5/10 Day 6 
Woke up, feel 100. No leg or other body pain. No cough yet. No headaches. 
9:45pm wouldn’t be surprised if i tested negative. Coughed once today 
5/11 day 7 
It’s only day 7 of having a positive test. The cough did start a few days before I did get tested, but the last time i had contact with anyone was 5/01. They were presumed positive, but ended up testing negative, so not sure if i got it from them or someone else. 
97.9 temp 
Fast forward to 5/15. Nothing new to add. Today is 5/16 and i feel 100, no symptoms since 5/10. Assuming i beat it.
All in all my only symptoms was loss of taste/smell slight cough slight short of breath and leg pain which might not even be corona related.</t>
        </is>
      </c>
      <c r="D1151" t="n">
        <v>9</v>
      </c>
      <c r="E1151" t="n">
        <v>23</v>
      </c>
      <c r="F1151">
        <f>HYPERLINK("https://www.reddit.com/r/COVID19positive/comments/gl4dh6/my20m_extremely_mild_case/")</f>
        <v/>
      </c>
      <c r="G1151" t="inlineStr">
        <is>
          <t>2020-05-16 16:08:00</t>
        </is>
      </c>
      <c r="H1151" t="inlineStr">
        <is>
          <t>Tested Positive - Me</t>
        </is>
      </c>
    </row>
    <row r="1152">
      <c r="A1152" t="inlineStr">
        <is>
          <t>gl67p0</t>
        </is>
      </c>
      <c r="B1152" t="inlineStr">
        <is>
          <t>Root canals</t>
        </is>
      </c>
      <c r="C1152" t="inlineStr">
        <is>
          <t>How many of you with chronic symptoms (past 6 weeks) have root canals?
[View Poll](https://www.reddit.com/poll/gl67p0)</t>
        </is>
      </c>
      <c r="D1152" t="n">
        <v>0</v>
      </c>
      <c r="E1152" t="n">
        <v>10</v>
      </c>
      <c r="F1152">
        <f>HYPERLINK("https://www.reddit.com/r/COVID19positive/comments/gl67p0/root_canals/")</f>
        <v/>
      </c>
      <c r="G1152" t="inlineStr">
        <is>
          <t>2020-05-16 18:01:34</t>
        </is>
      </c>
      <c r="H1152" t="inlineStr">
        <is>
          <t>Presumed Positive - From Doctor</t>
        </is>
      </c>
    </row>
    <row r="1153">
      <c r="A1153" t="inlineStr">
        <is>
          <t>gl6aeu</t>
        </is>
      </c>
      <c r="B1153" t="inlineStr">
        <is>
          <t>My sister is extremely red.</t>
        </is>
      </c>
      <c r="C1153" t="inlineStr">
        <is>
          <t>As my header says. My sister is extremely red. Her face is red. And we’re super worried. We called the hotline for covid but they said they didn’t have info and my sister is currently calling her nurse. In the meanwhile. Anyone know what this could be? Did anyone experience this??</t>
        </is>
      </c>
      <c r="D1153" t="n">
        <v>1</v>
      </c>
      <c r="E1153" t="n">
        <v>29</v>
      </c>
      <c r="F1153">
        <f>HYPERLINK("https://www.reddit.com/r/COVID19positive/comments/gl6aeu/my_sister_is_extremely_red/")</f>
        <v/>
      </c>
      <c r="G1153" t="inlineStr">
        <is>
          <t>2020-05-16 18:06:28</t>
        </is>
      </c>
      <c r="H1153" t="inlineStr">
        <is>
          <t>Tested Positive - Family</t>
        </is>
      </c>
    </row>
    <row r="1154">
      <c r="A1154" t="inlineStr">
        <is>
          <t>gl6t33</t>
        </is>
      </c>
      <c r="B1154" t="inlineStr">
        <is>
          <t>Signs of the virus?</t>
        </is>
      </c>
      <c r="C1154" t="inlineStr">
        <is>
          <t>No one around me seems to believe me. My mom keeps insisting that I’m not even sick. 
I started out Sunday night with diarrhea. When I woke up the next morning I stopped eating. Had a horrible headache, like my eyes were going to pop out and slightly dizzy. Day 3 was awful bloating and stabbing stomach pains. It was like someone was squeezing me at my diaphragm. My back, flanks, ribs, between my shoulder all ache so bad and tender to touch. Shaking like I’d had way too much caffeine. Then my body developed muscle jerks, like when you jerk away right as you are drifting off to sleep. Stomach pains, tremors, and muscle jerks continued for a few days. Took lots of naps. Couldn’t eat. Feels like I can’t stop burping (which is really odd) and gas from the stomach cramping but I’m not eating so no BM. More headaches mostly behind my left eye and the base of my skull. I have tightness in my chest at my sternum and get winded just doing light housework. Constant dry mouth. The last 2 day have been just dizzy spells and nausea. But I have Ménière’s disease so it could be messing with that. I only seem to cough in the morning. More like I’m clearing my throat a lot. I have to take extra deep breaths that sound like I’m heavily sighing at someone. My temp never really got high. The highest was 99.5. It usually stays around 99. Yesterday I developed like a rash on my arms. It’s these little red/purple bumps. It doesn’t itch or hurt. Dr won’t refer me for testing, just said presumed positive</t>
        </is>
      </c>
      <c r="D1154" t="n">
        <v>2</v>
      </c>
      <c r="E1154" t="n">
        <v>6</v>
      </c>
      <c r="F1154">
        <f>HYPERLINK("https://www.reddit.com/r/COVID19positive/comments/gl6t33/signs_of_the_virus/")</f>
        <v/>
      </c>
      <c r="G1154" t="inlineStr">
        <is>
          <t>2020-05-16 18:40:47</t>
        </is>
      </c>
      <c r="H1154" t="inlineStr">
        <is>
          <t>Presumed Positive - From Doctor</t>
        </is>
      </c>
    </row>
    <row r="1155">
      <c r="A1155" t="inlineStr">
        <is>
          <t>gl6t69</t>
        </is>
      </c>
      <c r="B1155" t="inlineStr">
        <is>
          <t>56 Days Of Symptoms &amp;amp; Counting</t>
        </is>
      </c>
      <c r="C1155" t="inlineStr">
        <is>
          <t>56 days and counting COVID symptoms
Posting this as a rant/more so for relief/ and to unfortunately but thankfully know that I’m not/ we’re not alone. 27F , healthy in great shape , no prior health conditions 
As many as of thought, myself included, thought when we testing positive for COVID it’d be a 2-3 week thing and it’d be over. We were way wrong. 
Just wanted to kind of log my symptoms and see if anyone can relate. 
Week 1: I had the “typical” covid symptoms. The fever, body aches, fatigue, cough, minor shortness of breath but not the worst, tightness in chest, and that awful burning sensation in your lungs. ( felt like they were internally on fire) 
Week 2: Broke the fever, but had the cough, chest tightness, migraines , diarrhea &amp;amp; unfortunately the week my heart rate wanted to run rampant ( 141 resting) . 
Week 3- Currently: 
- The symptoms that have persisted are tachycardia : resting HR used to be 55/60, my fiancé and I power lift &amp;amp; love the gym , but now resting heart rate is 75 on a good day but ranges mostly from 80-90). Any physical excretion regardless of how minor  causes it to go up to 120/130 . You constantly just feel your heart in your chest/ throat , it’s awful &amp;amp; keeps me up most nights . Was told this is sinus tachycardia &amp;amp; will hopefully return to normal once this all said and done. ( showering is the worst , I refuse to take longer than a 5 minute shower because my heart thumps so hard ) 
- shortness of breath seems more annoying now than it did in the beginning although my oxygen has always remain 98/99 which I’m grateful for. But trying to get that “good” or “deep” breath is the most obnoxious feeling 
- Migraines- have been so bad, especially the last 3 days . A hot compress on my head and rubbing the temples helps a bit  . Also brain fog &amp;amp; tingly pressure feeling on head. It’s bizarre 
- Cough: that’s not really a cough but more so if a wheeze/ honking sound? 
- Extreme fatigue always. More than likely due to not being able to sleep more than 3-4 hours. Falling asleep is easy, but staying asleep is impossible. It’s been awful. Xanax doesn’t even seem to help . I’m sure this is why my mood has been crap too, crying fits happen more often than not ( I never was this way lol ) 
- neck pain mostly on the left side. Most pain I’ve had has been all on the left which is odd 
I have done chest x rays, cat scans , echo cardiograms, ekgs for days, currently on a 4 week event monitor , all things have come back clear which is great . I currently am in close touch with a pulmonologist, cardiologist, and with my primary care doctor. It’s at least comforting to know they care and want to help &amp;amp; keep doing routine blood work on me to make sure nothing is changing. 
___________________________________________
- As for self care : 
—Vitamin C, Vitamin D, Zinc, Multivitamin, B12, Folate, &amp;amp; fish oils are taken daily. 
— attempting to keep stress at a minimum because the mental game of this virus can get to you. 
— Keeping my mind distracted helps with the breathing/ sob problem I’ve been having. 
— Ginger/ Tumeric tea with melatonin before bed to attempt to calm myself/ supposedly warm liquid is good for this. 
— Keeping a healthy diet ( protein rich, vegetables, avocados , eggs, peanut butters / nuts / fruits ) 
— most importantly trying to take it easy. The weather is getting nicer which makes this more depressing but it’s a marathon not a sprint. Maybe instead of running outside , just soaking in some sun will work for now  . 
This seems to be more of a waiting game than anything &amp;amp; i’m waiting for the game to be over that’s for sure . Hopefully we all get well soon!</t>
        </is>
      </c>
      <c r="D1155" t="n">
        <v>14</v>
      </c>
      <c r="E1155" t="n">
        <v>47</v>
      </c>
      <c r="F1155">
        <f>HYPERLINK("https://www.reddit.com/r/COVID19positive/comments/gl6t69/56_days_of_symptoms_counting/")</f>
        <v/>
      </c>
      <c r="G1155" t="inlineStr">
        <is>
          <t>2020-05-16 18:40:57</t>
        </is>
      </c>
      <c r="H1155" t="inlineStr">
        <is>
          <t>Tested Positive</t>
        </is>
      </c>
    </row>
    <row r="1156">
      <c r="A1156" t="inlineStr">
        <is>
          <t>gl82ai</t>
        </is>
      </c>
      <c r="B1156" t="inlineStr">
        <is>
          <t>I don’t know what number day it is</t>
        </is>
      </c>
      <c r="C1156" t="inlineStr">
        <is>
          <t>Sick since March 4th, and again, fever from then until today and *still* counting since there’s been absolutely no improvement. Yesterday was the highest fever I’ve had in a while (101.6). My temp still stays around 100.5+, all day every day...since March 4th. I don’t know how many days it is now. Been plenty enough weeks, but I feel like counting anymore is too depressing. 
It’s so maddening. What end is there? What does an end to this feel like? I don’t care anymore about the fatigue and weakness. I just don’t. I want the fever to go away - that’s it. That’s all. It’s all I want. I don’t want it to be temporarily masked by Tylenol for a measly 2hrs of the day per dose. I want it gone for good. Let the fatigue and weakness stick around, I don’t care, I can scrape through the days being more tired, I’m good with that, I’ve dealt with that before, I can manage it. I can’t manage this fkn fever. And god, the nausea that comes with it. Screw that, too. 
Got more comprehensive blood tests done. Nothing odd found. No mono. No autoimmune stuff. No obscenely low vitamin levels. Vitamin D was only slightly low, just a small tick below the ideal levels. Literally nothing has accounted for the fever. Absolutely nothing. 
“72hrs without fever”. My 72hrs haven’t come. Not even 48, or 24, or 12, or 6. I want to be done with all of this. I want to go to the store with a mask and gloves and pick out my own food and take care of my own self instead of being catered to like a diseased child. I’ve lost so much of my autonomy because of this virus. This stupid virus. I was reasonably competent before this. I’m ready to be done with it. Anytime now.</t>
        </is>
      </c>
      <c r="D1156" t="n">
        <v>14</v>
      </c>
      <c r="E1156" t="n">
        <v>34</v>
      </c>
      <c r="F1156">
        <f>HYPERLINK("https://www.reddit.com/r/COVID19positive/comments/gl82ai/i_dont_know_what_number_day_it_is/")</f>
        <v/>
      </c>
      <c r="G1156" t="inlineStr">
        <is>
          <t>2020-05-16 20:05:33</t>
        </is>
      </c>
      <c r="H1156" t="inlineStr">
        <is>
          <t>Tested Positive - Me</t>
        </is>
      </c>
    </row>
    <row r="1157">
      <c r="A1157" t="inlineStr">
        <is>
          <t>gl8ib2</t>
        </is>
      </c>
      <c r="B1157" t="inlineStr">
        <is>
          <t>My 2 year old tested positive for Covid antibodies</t>
        </is>
      </c>
      <c r="C1157" t="inlineStr">
        <is>
          <t>So my son went to the hospital at the end of Feb. for respiratory distress. I thought he picked up a cold for daycare and didn’t think much of it. In less than 8 hours he went from mild cough to gasping for air. I called an ambulance and they diagnosed him with croup brought on by a respiratory virus. They never even mentioned Covid-19. A week later I got sick and had a cough headache fatigue shortness of breath. I only took 2 days off of work. My son recovered a week. I sent him back to daycare. I tested him on a whim for antibodies since I’ve been curious ever since. His results came back positive. The doctor said that the test was most reliable and that a false positive is unlikely and we can assume my husband and older son had it as well since we took no precautions. I’m just still processing this information. I almost lost my son. If I would’ve put him to bed in his own room I don’t know what would’ve happened. It happened so fast. I wonder how many people we infected. It was before quarantine and we carried on with our lives. Sorry if I’m rambling I’m still in shock. Hug your loved ones close and never take a day for granted</t>
        </is>
      </c>
      <c r="D1157" t="n">
        <v>13</v>
      </c>
      <c r="E1157" t="n">
        <v>131</v>
      </c>
      <c r="F1157">
        <f>HYPERLINK("https://www.reddit.com/r/COVID19positive/comments/gl8ib2/my_2_year_old_tested_positive_for_covid_antibodies/")</f>
        <v/>
      </c>
      <c r="G1157" t="inlineStr">
        <is>
          <t>2020-05-16 20:37:07</t>
        </is>
      </c>
      <c r="H1157" t="inlineStr">
        <is>
          <t>Tested Positive</t>
        </is>
      </c>
    </row>
    <row r="1158">
      <c r="A1158" t="inlineStr">
        <is>
          <t>gl8pgi</t>
        </is>
      </c>
      <c r="B1158" t="inlineStr">
        <is>
          <t>Heart pain?</t>
        </is>
      </c>
      <c r="C1158" t="inlineStr">
        <is>
          <t>32F/healthy prior/Day 45 of symptoms 
I’ve noticed a lot of people here (including me) are experiencing fast resting heart rates but besides that, anyone feel like their heart is going to jump outta their chest? This is my worst/scariest symptom that I’ve been having for 2+ weeks now. When I wake up in the morning I can feel that my heart is sore (kinda like overworked muscles). I feel like I’m in constant heart failure and/or on the verge of a heart attack all day long. I had an EKG and my reading came back fine except for the elevated heart rate. I go to bed every night thinking I won’t wake up in the morning. Is anyone else experiencing CONSTANT heart pain as well?</t>
        </is>
      </c>
      <c r="D1158" t="n">
        <v>3</v>
      </c>
      <c r="E1158" t="n">
        <v>47</v>
      </c>
      <c r="F1158">
        <f>HYPERLINK("https://www.reddit.com/r/COVID19positive/comments/gl8pgi/heart_pain/")</f>
        <v/>
      </c>
      <c r="G1158" t="inlineStr">
        <is>
          <t>2020-05-16 20:51:42</t>
        </is>
      </c>
      <c r="H1158" t="inlineStr">
        <is>
          <t>Presumed Positive - From Doctor</t>
        </is>
      </c>
    </row>
    <row r="1159">
      <c r="A1159" t="inlineStr">
        <is>
          <t>glald5</t>
        </is>
      </c>
      <c r="B1159" t="inlineStr">
        <is>
          <t>Anyone else have hemorrhoids after coved?</t>
        </is>
      </c>
      <c r="C1159" t="inlineStr">
        <is>
          <t>I am wondering if hemorrhoids could be due to blood clots I’m reading about lately. Thrombosis is the term I’m reading about but usually they talk about in the legs. I tested positive April 14th with first symptoms April 1st . Started with sever fatigue, cough and diarrhea. Followed by loss of taste and smell. My wife stated getting symptoms about 10 days after me but tested negative. About May 1st I got hemorrhoids that were severe. I’m talking about hardly being able to walk. I laid in a bath or on a bag of ice for 5 days. 
They are much better but not gone. But my wife got some also this week. I am not hearing anything about hemorrhoids being caused by covid. But I hear gastrointestinal issues, thrombosis, and blood clots being mentioned. Thrombosis and blood clots are a cause of hemorrhoids.
I never had them before. Maybe they came from the 3 weeks of diarrhea or laying around for 3 weeks. Just wondering if it’s covid related or just  a coincidence.</t>
        </is>
      </c>
      <c r="D1159" t="n">
        <v>1</v>
      </c>
      <c r="E1159" t="n">
        <v>2</v>
      </c>
      <c r="F1159">
        <f>HYPERLINK("https://www.reddit.com/r/COVID19positive/comments/glald5/anyone_else_have_hemorrhoids_after_coved/")</f>
        <v/>
      </c>
      <c r="G1159" t="inlineStr">
        <is>
          <t>2020-05-16 23:24:16</t>
        </is>
      </c>
      <c r="H1159" t="inlineStr">
        <is>
          <t>Tested Positive - Me</t>
        </is>
      </c>
    </row>
    <row r="1160">
      <c r="A1160" t="inlineStr">
        <is>
          <t>glam9o</t>
        </is>
      </c>
      <c r="B1160" t="inlineStr">
        <is>
          <t>Hemorrhoids from covid?</t>
        </is>
      </c>
      <c r="C1160" t="inlineStr">
        <is>
          <t>Anyone else have hemorrhoids after coved?
I am wondering if hemorrhoids could be due to blood clots I’m reading about lately. Thrombosis is the term I’m reading about but usually they talk about in the legs. I tested positive April 14th with first symptoms April 1st . Started with sever fatigue, cough and diarrhea. Followed by loss of taste and smell. My wife stated getting symptoms about 10 days after me but tested negative. About May 1st I got hemorrhoids that were severe. I’m talking about hardly being able to walk. I laid in a bath or on a bag of ice for 5 days. 
They are much better but not gone. But my wife got some also this week. I am not hearing anything about hemorrhoids being caused by covid. But I hear gastrointestinal issues, thrombosis, and blood clots being mentioned. Thrombosis and blood clots are a cause of hemorrhoids.
I never had them before. Maybe they came from the 3 weeks of diarrhea or laying around for 3 weeks. Just wondering if it’s covid related or just  a coincidence.</t>
        </is>
      </c>
      <c r="D1160" t="n">
        <v>1</v>
      </c>
      <c r="E1160" t="n">
        <v>6</v>
      </c>
      <c r="F1160">
        <f>HYPERLINK("https://www.reddit.com/r/COVID19positive/comments/glam9o/hemorrhoids_from_covid/")</f>
        <v/>
      </c>
      <c r="G1160" t="inlineStr">
        <is>
          <t>2020-05-16 23:26:35</t>
        </is>
      </c>
      <c r="H1160" t="inlineStr">
        <is>
          <t>Tested Positive - Me</t>
        </is>
      </c>
    </row>
    <row r="1161">
      <c r="A1161" t="inlineStr">
        <is>
          <t>glb4kn</t>
        </is>
      </c>
      <c r="B1161" t="inlineStr">
        <is>
          <t>Has anyone used pepcid/famotidine?</t>
        </is>
      </c>
      <c r="C1161" t="inlineStr">
        <is>
          <t>If yes, did it help? What dosage? Thanks!</t>
        </is>
      </c>
      <c r="D1161" t="n">
        <v>1</v>
      </c>
      <c r="E1161" t="n">
        <v>5</v>
      </c>
      <c r="F1161">
        <f>HYPERLINK("https://www.reddit.com/r/COVID19positive/comments/glb4kn/has_anyone_used_pepcidfamotidine/")</f>
        <v/>
      </c>
      <c r="G1161" t="inlineStr">
        <is>
          <t>2020-05-17 00:11:45</t>
        </is>
      </c>
      <c r="H1161" t="inlineStr">
        <is>
          <t>Presumed Positive - From Doctor</t>
        </is>
      </c>
    </row>
    <row r="1162">
      <c r="A1162" t="inlineStr">
        <is>
          <t>glbtea</t>
        </is>
      </c>
      <c r="B1162" t="inlineStr">
        <is>
          <t>Covid no fever or cough</t>
        </is>
      </c>
      <c r="C1162" t="inlineStr">
        <is>
          <t>Hi 
Just wondering if anyone else has had my symptoms 
No coughing 
No fever under temp 37.0 98.9
Shortness of breath with heavy feeling
Pain in chest when fully inhale
Slight burning in chest from time to time
fatigue
Sinus leakage 
eye discharge sticky
I had a sore throat about 4 weeks ago for two days but then went
I’m just a wanting to know if anyone else has the above with out the cough or fever and would like to
Know your story 
I should get my test results back with in 48 hours</t>
        </is>
      </c>
      <c r="D1162" t="n">
        <v>1</v>
      </c>
      <c r="E1162" t="n">
        <v>0</v>
      </c>
      <c r="F1162">
        <f>HYPERLINK("https://www.reddit.com/r/COVID19positive/comments/glbtea/covid_no_fever_or_cough/")</f>
        <v/>
      </c>
      <c r="G1162" t="inlineStr">
        <is>
          <t>2020-05-17 01:16:42</t>
        </is>
      </c>
      <c r="H1162" t="inlineStr">
        <is>
          <t>Presumed Positive - From Test</t>
        </is>
      </c>
    </row>
    <row r="1163">
      <c r="A1163" t="inlineStr">
        <is>
          <t>glclsq</t>
        </is>
      </c>
      <c r="B1163" t="inlineStr">
        <is>
          <t>Urgent flair</t>
        </is>
      </c>
      <c r="C1163" t="inlineStr">
        <is>
          <t>I feel terrible asking but My rent is due in 2 days it’s 700$ I lost my job 
Cause of the corona virus we have no diapers or food 
Food banks are empty half the time anything helps 
I’m a apprentice welder I got laid off 
So once I get back to work I’ll pay you back and I’ll pay it forward to whoever else needs it thanks godbless -Jace</t>
        </is>
      </c>
      <c r="D1163" t="n">
        <v>1</v>
      </c>
      <c r="E1163" t="n">
        <v>2</v>
      </c>
      <c r="F1163">
        <f>HYPERLINK("https://www.reddit.com/r/COVID19positive/comments/glclsq/urgent_flair/")</f>
        <v/>
      </c>
      <c r="G1163" t="inlineStr">
        <is>
          <t>2020-05-17 02:31:18</t>
        </is>
      </c>
      <c r="H1163" t="inlineStr">
        <is>
          <t>Tested Positive</t>
        </is>
      </c>
    </row>
    <row r="1164">
      <c r="A1164" t="inlineStr">
        <is>
          <t>gldego</t>
        </is>
      </c>
      <c r="B1164" t="inlineStr">
        <is>
          <t>Honey bee therapy?</t>
        </is>
      </c>
      <c r="C1164" t="inlineStr">
        <is>
          <t>(28F) Ok hear me out, I’ve been suffering from symptoms since the beginning of March, I’m in the waxing and waning phase. My most peculiar symptom has been these horrible sweaty hands and feet, wet hands are gross and not fun. 
2 days ago walking barefoot in the yard I stepped on a honey bee, she gave her life valiantly and I was stung on the sole of my foot. 
The next day I noticed my sweating was improving, today I am again seeing improvement. My other symptoms are still here, alas, but finding relief for one has been a morale booster. 
I thought it was curious, so I figured I’d share. 
PSA: I am a new beekeeper, I know know this bee and her family, I am not encouraging people to go get stung, honestly who knows if the bee sting is even related to symptom improvement.</t>
        </is>
      </c>
      <c r="D1164" t="n">
        <v>1</v>
      </c>
      <c r="E1164" t="n">
        <v>8</v>
      </c>
      <c r="F1164">
        <f>HYPERLINK("https://www.reddit.com/r/COVID19positive/comments/gldego/honey_bee_therapy/")</f>
        <v/>
      </c>
      <c r="G1164" t="inlineStr">
        <is>
          <t>2020-05-17 03:46:53</t>
        </is>
      </c>
      <c r="H1164" t="inlineStr">
        <is>
          <t>Presumed Positive - From Doctor</t>
        </is>
      </c>
    </row>
    <row r="1165">
      <c r="A1165" t="inlineStr">
        <is>
          <t>glfe1t</t>
        </is>
      </c>
      <c r="B1165" t="inlineStr">
        <is>
          <t>Positive antibody test, but husband negative. Is that possible?</t>
        </is>
      </c>
      <c r="C1165" t="inlineStr">
        <is>
          <t>Early March our family had contact with a confirmed COVID+ individual through my husbands work (only my husband was exposed). 5 days later our son got really rick. Intense sore throat, high fever, horrible headache, lethargic. We actually thought he had strep throat and did a video appt. The doctor wanted to swab him so we took him in where he tested negative for flu A, flu B, and strep. They said it was obviously viral but they weren’t testing for COVID at that time.  He recovered fine like he had the flu or a bad cold. 
I had had a very light cough for awhile, but two days after he got sick I felt tired, feverish (99.5), and like I was on the edge of getting sick. That happened for 2-3 weeks where I would think I was getting sick. But then feel better. Then think I was getting sick...then feel better.  My husband was also sick with similar waves of illness at the same time.
Fast forward and it’s been two months. I had an antibody test done since we know there is a cluster at my husbands work.  I didn’t want to put my son through a blood draw and figure if that’s what he had I was obviously exposed as well. It came back positive. Afterward, (just for peace of mind) my husband gets a tests too. His results were negative. How is this possible? We were sent to a lab that uses the Abbott antibody test which is supposed to be one of the two most accurate ones? (Note the Abbott antibody test is not the same as the abbot covid test which does not have high accuracy - they are different tests). 
Has anyone else had a split household? We took no precautions in isolating within our household since we were caring for a small child so this seems like the results would be wrong? Is my positive result wrong or his negative result wrong?</t>
        </is>
      </c>
      <c r="D1165" t="n">
        <v>1</v>
      </c>
      <c r="E1165" t="n">
        <v>13</v>
      </c>
      <c r="F1165">
        <f>HYPERLINK("https://www.reddit.com/r/COVID19positive/comments/glfe1t/positive_antibody_test_but_husband_negative_is/")</f>
        <v/>
      </c>
      <c r="G1165" t="inlineStr">
        <is>
          <t>2020-05-17 06:26:59</t>
        </is>
      </c>
      <c r="H1165" t="inlineStr">
        <is>
          <t>Tested Positive - Me</t>
        </is>
      </c>
    </row>
    <row r="1166">
      <c r="A1166" t="inlineStr">
        <is>
          <t>glfhif</t>
        </is>
      </c>
      <c r="B1166" t="inlineStr">
        <is>
          <t>Long Time Recovery &amp;amp; Distancing</t>
        </is>
      </c>
      <c r="C1166" t="inlineStr">
        <is>
          <t>32(f), healthy, suspected but never tested 
For those nearing the end of symptoms, what is the consensus on making trips to the grocery store, seeing friends, etc.? I live alone and have been isolating for close to 6 weeks now. I only have mild headaches and some swollen tonsils at this point. I’m trying to gauge how and when to see friends again. Everyone has been extremely supportive, but its clear that the decision is 100% on me. And just thinking about it feels overwhelming. It was an easy decision when I was very sick, but now I just feel torn. I’m lonely and just want a hug. Any thoughts or guidance?</t>
        </is>
      </c>
      <c r="D1166" t="n">
        <v>1</v>
      </c>
      <c r="E1166" t="n">
        <v>8</v>
      </c>
      <c r="F1166">
        <f>HYPERLINK("https://www.reddit.com/r/COVID19positive/comments/glfhif/long_time_recovery_distancing/")</f>
        <v/>
      </c>
      <c r="G1166" t="inlineStr">
        <is>
          <t>2020-05-17 06:33:50</t>
        </is>
      </c>
      <c r="H1166" t="inlineStr">
        <is>
          <t>Presumed Positive - From Doctor</t>
        </is>
      </c>
    </row>
    <row r="1167">
      <c r="A1167" t="inlineStr">
        <is>
          <t>glfhzg</t>
        </is>
      </c>
      <c r="B1167" t="inlineStr">
        <is>
          <t>Presumed Positive - Lasting symptoms... Family of 6 - 4 of us with Antibodies and donating plasma!</t>
        </is>
      </c>
      <c r="C1167" t="inlineStr">
        <is>
          <t>First of all, thank you to all who have been sharing. I have been reading others posts and have found comfort that I am not alone.  I wanted to share my story in hopes that others may feel the same.  I am 46F healthy, athletic, non-smoker in Illinois - I am 9+ weeks in... my husband tested positive 3/15 and was the first official case in our community.  I never had fever or cough, but had shortness of breath, chest pain and loss of smell.  Was good after first two weeks and then relapsed at week 4.  Seems to go in two week cycles for me.  Mostly in the chest and heart area.  I’ve had 2 EKG’s, 2 lung xrays, blood clot test and other bloodwork due to tightness in chest, burning and cold tingling sensations in my arms, up my neck and left side of chest.  All tests say a I am a healthy human being.  I’ve had two negative Covid tests at week 4 &amp;amp; 5.  Based on that my doctor diagnosed me as post viral syndrome and anxiety.  Which I don’t doubt that I have some anxiety.  At week 7, when symptoms continued, she finally started treating me for each symptom to start ruling things out - Flonase- to stop the post nasal drip, Fatimodine - for heart burn and to regulate gut health, Claritin - in case allergies are hindering recovery AND a low dose anxiety medication.  The tingling sensations and post nasal drip stopped almost immediately.  The others have dulled.  After two days of the anxiety medication, I cut my dose in half and now only take it as needed.  At 9 weeks, I still have some burning and aching sensations in the heart area, but it’s nowhere near the intensity I was having week 4.  Which I will follow up again with my doctor this week.  My husband had the typical Covid case - fever, cough, sob, etc...  and is 90% better - just fatigue if he does to much.   My 17 &amp;amp; 18yo who both had a 100 fever for 1 day and coughed for 2 days tested positive to the antibodies the other day.  I found out on Friday that I tested positive as well.  I was given my levels of IgG - 5.86.  My understanding is under 1.4 is negative.  Has anyone heard what the range is?  Just curious if my 9 weeks of suffering got me a high level 😉.  I have a 14 &amp;amp; 10yo who are being tested on Monday - finger crossed.  I will ask my pediatrician what my older two’s levels were.  my husband is donating plasma on Thursday and we are hoping my 18 &amp;amp; 17 year old (maybe with parental consent) can donate too.  While I don’t feel 100% yet, there are more good days than bad days.  Keep in touch with your doctors and pediatricians - they learn more and more each day and our stories will help others.  The first time I spoke to my doctor she told me chicken soup and fresh air! 🙄 after 7 weeks she’s finally willing to order more tests and work on each symptom. Stay positive and hang in there, the road may be long but each day, week, month that goes by we are closer to beating this invisible beast!  ❤️🙏🏻❤️</t>
        </is>
      </c>
      <c r="D1167" t="n">
        <v>1</v>
      </c>
      <c r="E1167" t="n">
        <v>31</v>
      </c>
      <c r="F1167">
        <f>HYPERLINK("https://www.reddit.com/r/COVID19positive/comments/glfhzg/presumed_positive_lasting_symptoms_family_of_6_4/")</f>
        <v/>
      </c>
      <c r="G1167" t="inlineStr">
        <is>
          <t>2020-05-17 06:34:51</t>
        </is>
      </c>
      <c r="H1167" t="inlineStr">
        <is>
          <t>Tested Positive - Family</t>
        </is>
      </c>
    </row>
    <row r="1168">
      <c r="A1168" t="inlineStr">
        <is>
          <t>glfppv</t>
        </is>
      </c>
      <c r="B1168" t="inlineStr">
        <is>
          <t>My daughter tested positive. My son has a rare condition . When can they ever be near each other ?</t>
        </is>
      </c>
      <c r="C1168" t="inlineStr">
        <is>
          <t>My 19 year old daughter tested positive a week ago tomorrow. She has no symptoms at all but works in a care home . My son has a rare spinal cord disease called syringomyelia which causes a lot of symptoms. He had lumbar puncture 29/04/20 to release pressure of the fluid on his spine . On Tuesday  my son was rushed into hospital as he was very ill . They said he had sepsis , kept him in on 2 lots of antibiotics, drips , heart Moniters ect until last night . He tested negative for covid 19 on 15/05/20 . My son is now in his room , my daughter has been isolating in living room and the rest of us upstairs ,I continue to wipe stuff down with dettol  and flash wipes use antibacterial spray and wash everything and anything . I’m very worried , how long should I keep the family apart ? Do you think it would be more then the 7/14 days with my son being ill . My daughter has to only isolate until tomorrow and Tuesday she can go back to work . We have another daughter who’s 16 too so there is 5 of us living in the house .</t>
        </is>
      </c>
      <c r="D1168" t="n">
        <v>1</v>
      </c>
      <c r="E1168" t="n">
        <v>6</v>
      </c>
      <c r="F1168">
        <f>HYPERLINK("https://www.reddit.com/r/COVID19positive/comments/glfppv/my_daughter_tested_positive_my_son_has_a_rare/")</f>
        <v/>
      </c>
      <c r="G1168" t="inlineStr">
        <is>
          <t>2020-05-17 06:50:47</t>
        </is>
      </c>
      <c r="H1168" t="inlineStr">
        <is>
          <t>Tested Positive - Family</t>
        </is>
      </c>
    </row>
    <row r="1169">
      <c r="A1169" t="inlineStr">
        <is>
          <t>glj4w3</t>
        </is>
      </c>
      <c r="B1169" t="inlineStr">
        <is>
          <t>29F positive and 32 weeks pregnant</t>
        </is>
      </c>
      <c r="C1169" t="inlineStr">
        <is>
          <t>Thursday afternoon I was notified I came in contact with someone who has tested positive. I felt fine, I didn’t think much into it. I was at the time, walking my dog and enjoying a nice day outside. I went home continued with my evening routine and fell asleep around 8pm. 
I woke up a few hours later shivering from the chills, but also sweating. I got up and used the restroom and took my temperature just to be safe. It read 100.5. My husband was just getting home from work about this time too. We talked about what to do, and decided I would call the phone nurse line &amp;amp; see what they advised. 
I was told to come in for a test. At about midnight Thursday evening going into Friday I was given my swab at the ER  &amp;amp; sent home. At the time in the ER my fever had increased to 102.0. 
As I tried to get some sleep, I continued to have night sweats and chills. Friday morning I woke up, my throat was scratchy. I had a very small cough— that felt more like irritation from the sore throat. I had terrible pains in my legs. It felt like I had shin splints and Charlie horses at the same time. Over all muscle pain and weakness. My temperature went down to 100.6. 
Saturday morning my fever broke. My symptoms remained the same as what I was feeling on Friday. My leg pain subsided. I rested most of the day, feeling pretty exhausted and weak. In the evening It felt as if my fever was back again. I took my temperature and it was back up to 100.9
This morning I woke up feeling increasingly congested. My shortness of breath has also increased. I’m winded by doing simple tasks or standing too long. My body is sore, muscle weakness &amp;amp; tired. I received my phone call confirming I have tested positive. The doctor advised I quarantine for 14 days (which I have been since Friday) and to call if my shortness of breath increases. 
So now I rest and I wait. 
I would have came into contact with the positive case exactly one week ago last Sunday. Monday through Thursday (prior to late night) I had no symptoms and felt well.
I am very worried for baby, but I continue to feel her movements. I have little appetite, but do my best to eat regularly and stay hydrated for her. I’m worried about my shortness of breath and what will happen if it escalates. I was honestly shocked my test came back positive. There have been so few positive cases in my county. I figured my symptoms were a coincidence, but I was motivated to be tested just for the sake of baby. 
The ER doctor told me that at this point in my pregnancy baby is developed and just gaining weight. There should be no harm. That helps ease some concern but doesn’t eliminate it.</t>
        </is>
      </c>
      <c r="D1169" t="n">
        <v>1</v>
      </c>
      <c r="E1169" t="n">
        <v>96</v>
      </c>
      <c r="F1169">
        <f>HYPERLINK("https://www.reddit.com/r/COVID19positive/comments/glj4w3/29f_positive_and_32_weeks_pregnant/")</f>
        <v/>
      </c>
      <c r="G1169" t="inlineStr">
        <is>
          <t>2020-05-17 10:12:40</t>
        </is>
      </c>
      <c r="H1169" t="inlineStr">
        <is>
          <t>Tested Positive - Me</t>
        </is>
      </c>
    </row>
    <row r="1170">
      <c r="A1170" t="inlineStr">
        <is>
          <t>gljy97</t>
        </is>
      </c>
      <c r="B1170" t="inlineStr">
        <is>
          <t>Steadily improving and feeling hopeful</t>
        </is>
      </c>
      <c r="C1170" t="inlineStr">
        <is>
          <t>Hey I just want to say im doing a lot better and finally my sleeping is starting to become normal again. I have a lot less pain and my heart rate is not as high as before for sure. Chest pain almost nonexistent. Yesterday, I managed to do a long walk and some exercise. No relapse today and feel the same as I did before. A few weeks ago I would have relapsed but I did not. I got an echo but the tech did not really notice anything during the procedure. Its possible I need something for the heart rate my doctor will confirm that to me but otherwise I seem ok. I have no decline in lung function and I am doing some autoimmune testing because they found something in my ANA but that could just because I have a family history of it. My other autoimmune panels did not show anything but there just doing more to double check. Anyway I am doing well overall and I hope you guys will too. At first, I was thinking I was going to die (especially in the first few weeks). It was really scary at first because the hospital was nuts and they made us stand around for hours and I was depressed because my whole world was crashing around me. I was going through a break up, thought I was going to die and stopped doing things I like to do. My roommate was also really sick and we were discussing the possibilities of ventilators. Here in queens it was really fucked up and there were alot of ambulances every night. I am happy to report today I am less depressed and I want to start doing things again that I like to do again. I hope you all do the same. Things are defiantly better in Queens I noticed and people seem a lot better mentally. This was the hardest thing I probably have gone through mentally and I hope you all come on the other side okay too. I think I am not going to be on here as much and I have made so much progress lately. Good luck to you all.</t>
        </is>
      </c>
      <c r="D1170" t="n">
        <v>1</v>
      </c>
      <c r="E1170" t="n">
        <v>22</v>
      </c>
      <c r="F1170">
        <f>HYPERLINK("https://www.reddit.com/r/COVID19positive/comments/gljy97/steadily_improving_and_feeling_hopeful/")</f>
        <v/>
      </c>
      <c r="G1170" t="inlineStr">
        <is>
          <t>2020-05-17 10:57:15</t>
        </is>
      </c>
      <c r="H1170" t="inlineStr">
        <is>
          <t>Presumed Positive - From Doctor</t>
        </is>
      </c>
    </row>
    <row r="1171">
      <c r="A1171" t="inlineStr">
        <is>
          <t>glmtyg</t>
        </is>
      </c>
      <c r="B1171" t="inlineStr">
        <is>
          <t>Rash, bloodshot eyes and dry skin, day 53.</t>
        </is>
      </c>
      <c r="C1171" t="inlineStr">
        <is>
          <t>Hey sorry I promise this will be my last post about symptoms. If you wanna see my journey so far please click on original post on my profile.
25, healthy (before this) , male 
I just wanted to know if anyone had been suffering from a face rash particularly on the cheeks. I have very sensitive skin and have always flushed easily, but it seems to be a rash that hasnt budged in two weeks. Almost like a malar rash. I have tested negative ANA for Lupus and all my other bloods are completely normal. My neutrophils were a couple weeks back but are now within normal range again. 
Also at the moment having constantly bloodshot eyes, and overall just incredibly itchy and scalp is itchy to. 
Still having those intermittent low grade fevers at 4pm every day. The last till 7 usually. And have two canker sores in my lip. Still some abdominal pain to and back pain. Does anyone also ever feel like theyre burning. Especially on their thighs or shoulders? 
It is starting to wane somewhat now. I do feel as if im slowly recovering. The rash sometimes reminds me that im not though. Does anyone have any tips on this or share any of these symptoms? 
Again thank you for your time :)</t>
        </is>
      </c>
      <c r="D1171" t="n">
        <v>1</v>
      </c>
      <c r="E1171" t="n">
        <v>20</v>
      </c>
      <c r="F1171">
        <f>HYPERLINK("https://www.reddit.com/r/COVID19positive/comments/glmtyg/rash_bloodshot_eyes_and_dry_skin_day_53/")</f>
        <v/>
      </c>
      <c r="G1171" t="inlineStr">
        <is>
          <t>2020-05-17 13:35:50</t>
        </is>
      </c>
      <c r="H1171" t="inlineStr">
        <is>
          <t>Presumed Positive - From Doctor</t>
        </is>
      </c>
    </row>
    <row r="1172">
      <c r="A1172" t="inlineStr">
        <is>
          <t>gln100</t>
        </is>
      </c>
      <c r="B1172" t="inlineStr">
        <is>
          <t>Confusing results from Roche antibody test</t>
        </is>
      </c>
      <c r="C1172" t="inlineStr">
        <is>
          <t>I had all the commonly mentioned symptoms of covid 19 around two months ago but I didn't get the PCR test and just waited it out at home. It took two weeks for everything to clear up.
Today I had the Roche Elecsys Antibody test done. It's the most accurate one so far. My report just came in online which said 'cutoff rate' is 1.0 and 'patient rate' (mine) is 0.11. Anything below 1.0 is considered negative so they classified me as negative.
No units for these rates were mentioned. Didn't even have information on what these rates represent, just these two numbers.
Does anyone know how these 'rates' are calculated? I know I should ask the lab for these details but it seems like they're doing a lot of these so I could only get in touch with the phone attendant who didn't really have any idea. 
If the test gave me a negative, why do I have any antibodies at all (the 0.11 figure)? Since this is a novel coronavirus, why do I have any antibodies?</t>
        </is>
      </c>
      <c r="D1172" t="n">
        <v>1</v>
      </c>
      <c r="E1172" t="n">
        <v>11</v>
      </c>
      <c r="F1172">
        <f>HYPERLINK("https://www.reddit.com/r/COVID19positive/comments/gln100/confusing_results_from_roche_antibody_test/")</f>
        <v/>
      </c>
      <c r="G1172" t="inlineStr">
        <is>
          <t>2020-05-17 13:46:53</t>
        </is>
      </c>
      <c r="H1172" t="inlineStr">
        <is>
          <t>Presumed Positive - From Doctor</t>
        </is>
      </c>
    </row>
    <row r="1173">
      <c r="A1173" t="inlineStr">
        <is>
          <t>gln5ak</t>
        </is>
      </c>
      <c r="B1173" t="inlineStr">
        <is>
          <t>Anyone have experience with your partner testing positive for coronavirus but you tested negative? It just happened to us.</t>
        </is>
      </c>
      <c r="C1173" t="inlineStr">
        <is>
          <t>Reposted from r/coronavirusUS as a commenter recommended this sub. Title says it all really. We live in Boston and have been quarantined since March 15th. He has a car and I do not, so sometimes he would go to the store without me or go skate with his friend. Sometimes it would be the opposite and I would go see a friend without him. Around May 3rd he started complaining that he couldn’t smell or taste anything very abruptly. We thought it was allergies because he was runny and stuffy also. No fever, a very very mild cough, nothing else out of the ordinary. I have seasonal allergies so I’m pretty much always coughing/stuffy/runny so it was not unusual that I was feeling this way. Well, we just went to get tested, I came back negative but he is positive. We haven’t even distanced from each other since his symptoms started so I do not know how I don’t have it. Did I give it to him? I swabbed myself so I’m not sure if I did it incorrectly, but the nurse watched us the whole time (for info: across certain states they are doing pop-up minute clinic tests where people drive to big parking lots and wait in their cars while the nurses hand out swabs, they watch you through your closed window and are not allowed to swab you)
So they are saying we must keep apart but we live in a studio apartment. I’m washing everything and taking our futon for the next few weeks. Anyone else experienced something so bizarre?</t>
        </is>
      </c>
      <c r="D1173" t="n">
        <v>1</v>
      </c>
      <c r="E1173" t="n">
        <v>16</v>
      </c>
      <c r="F1173">
        <f>HYPERLINK("https://www.reddit.com/r/COVID19positive/comments/gln5ak/anyone_have_experience_with_your_partner_testing/")</f>
        <v/>
      </c>
      <c r="G1173" t="inlineStr">
        <is>
          <t>2020-05-17 13:53:19</t>
        </is>
      </c>
      <c r="H1173" t="inlineStr">
        <is>
          <t>Tested Positive</t>
        </is>
      </c>
    </row>
    <row r="1174">
      <c r="A1174" t="inlineStr">
        <is>
          <t>gln9xv</t>
        </is>
      </c>
      <c r="B1174" t="inlineStr">
        <is>
          <t>Has anybody here with persistent symptoms tried steroids?</t>
        </is>
      </c>
      <c r="C1174" t="inlineStr">
        <is>
          <t>Hello,
I'm 33 and I've been sick for 2 months exactly. I noticed some improvement in some areas (sore throat is gone, pain in the lungs is not as sharp, I feel less tired) but some symptoms are still there. My heart beat has been very fast for the last 2-3 days so much so that it's hard to sleep.
&amp;amp;#x200B;
I noticed some people on this board and elsewhere have tried oral steroids and said this has worked wonders.  I was wondering if someone could give us a little feedback.
&amp;amp;#x200B;
Cheers !</t>
        </is>
      </c>
      <c r="D1174" t="n">
        <v>1</v>
      </c>
      <c r="E1174" t="n">
        <v>21</v>
      </c>
      <c r="F1174">
        <f>HYPERLINK("https://www.reddit.com/r/COVID19positive/comments/gln9xv/has_anybody_here_with_persistent_symptoms_tried/")</f>
        <v/>
      </c>
      <c r="G1174" t="inlineStr">
        <is>
          <t>2020-05-17 14:00:22</t>
        </is>
      </c>
      <c r="H1174" t="inlineStr">
        <is>
          <t>Presumed Positive - From Doctor</t>
        </is>
      </c>
    </row>
    <row r="1175">
      <c r="A1175" t="inlineStr">
        <is>
          <t>glnh1s</t>
        </is>
      </c>
      <c r="B1175" t="inlineStr">
        <is>
          <t>Bubbling feeling in the back of my throat and right nostril</t>
        </is>
      </c>
      <c r="C1175" t="inlineStr">
        <is>
          <t>Has anyone else experienced this? I'm kinda worried it's turning into something nastier.. I already find it hard to breathe these past few days..</t>
        </is>
      </c>
      <c r="D1175" t="n">
        <v>1</v>
      </c>
      <c r="E1175" t="n">
        <v>3</v>
      </c>
      <c r="F1175">
        <f>HYPERLINK("https://www.reddit.com/r/COVID19positive/comments/glnh1s/bubbling_feeling_in_the_back_of_my_throat_and/")</f>
        <v/>
      </c>
      <c r="G1175" t="inlineStr">
        <is>
          <t>2020-05-17 14:10:40</t>
        </is>
      </c>
      <c r="H1175" t="inlineStr">
        <is>
          <t>Tested Positive - Me</t>
        </is>
      </c>
    </row>
    <row r="1176">
      <c r="A1176" t="inlineStr">
        <is>
          <t>glnphk</t>
        </is>
      </c>
      <c r="B1176" t="inlineStr">
        <is>
          <t>My parents tested positive again. Barely any symptoms ( my father hasn’t had any); more than 3 weeks now. Is there anything they can do? Do they still need be quarantined? Do I still have to be quarantined (tested negative)?</t>
        </is>
      </c>
      <c r="C1176" t="inlineStr">
        <is>
          <t>Any thing will help!</t>
        </is>
      </c>
      <c r="D1176" t="n">
        <v>1</v>
      </c>
      <c r="E1176" t="n">
        <v>14</v>
      </c>
      <c r="F1176">
        <f>HYPERLINK("https://www.reddit.com/r/COVID19positive/comments/glnphk/my_parents_tested_positive_again_barely_any/")</f>
        <v/>
      </c>
      <c r="G1176" t="inlineStr">
        <is>
          <t>2020-05-17 14:23:04</t>
        </is>
      </c>
      <c r="H1176" t="inlineStr">
        <is>
          <t>Tested Positive - Family</t>
        </is>
      </c>
    </row>
    <row r="1177">
      <c r="A1177" t="inlineStr">
        <is>
          <t>glock0</t>
        </is>
      </c>
      <c r="B1177" t="inlineStr">
        <is>
          <t>Possible testicle damage? Semen analysis?</t>
        </is>
      </c>
      <c r="C1177" t="inlineStr">
        <is>
          <t>I've been sick with COVID-19 for over a week now, and the most surprising symptom has been excessive pain in my testicles that has lasted for several days. Apparently this may be a common symptom because of the ACE2 receptors, and the virus has been found in the semen of men infected, but I haven't found anything yet that speaks about the effect on sperm quality.
Has anyone here had a semen analysis done post-infection, or plans to?</t>
        </is>
      </c>
      <c r="D1177" t="n">
        <v>1</v>
      </c>
      <c r="E1177" t="n">
        <v>33</v>
      </c>
      <c r="F1177">
        <f>HYPERLINK("https://www.reddit.com/r/COVID19positive/comments/glock0/possible_testicle_damage_semen_analysis/")</f>
        <v/>
      </c>
      <c r="G1177" t="inlineStr">
        <is>
          <t>2020-05-17 14:58:24</t>
        </is>
      </c>
      <c r="H1177" t="inlineStr">
        <is>
          <t>Tested Positive</t>
        </is>
      </c>
    </row>
    <row r="1178">
      <c r="A1178" t="inlineStr">
        <is>
          <t>glpmqj</t>
        </is>
      </c>
      <c r="B1178" t="inlineStr">
        <is>
          <t>65 yr old Aunt tested positive in nursing home</t>
        </is>
      </c>
      <c r="C1178" t="inlineStr">
        <is>
          <t>This is hard to write because I’m trying to process how quickly our situation went to hell, and I know there are others out there who are in the same boat. Please forgive any errors because this is difficult...
Backstory: My mother’s twin sister has been sick for a loooong time. She’s been in and out of hospitals and nursing homes for the last 10 years with COPD, cirrhosis, heart disease, dementia, and recently- HIV, which was contracted in a shady care-home. Her conditions are the results of a lifetime of smoking and alcoholism, which is why this story has a history that precedes a Covid19 diagnosis. I jokingly refer to her as the Keith Richards of the family, as she has taken so many drugs and drank so much that she seems to have pickled herself. For contrast, my mother has never smoked and drinks a half a glass of Chardonnay a year. 
How it Happened: We live in Georgia, and fuck Kemp. My mother has been obsessively tracking cases in nursing homes in our state since the first cases started popping up in other places. She figured out how the 1st case happened in the facility (a nurse that worked in 3 different homes in the same small town) by contacting the nursing home about a case in a nearby town. So the director tests all of the staff and finds 1 asymptotic employee. The following week, 58 residents test positive. At first my aunt tested negative. Oddly, she got sick 2 days after the test came back and the doctors in the home put her on her normal COPD treatment. That was on May 12. Today, May 17, she is confirmed positive. Her condition seems stable enough, but everyone on this sub knows there is a sharp turn on day 10. I don’t think anyone expects her to survive, and now we are preparing for that to happen. 
Dark humor: if she survives, Keith Richards status confirmed.
Thanks for reading.</t>
        </is>
      </c>
      <c r="D1178" t="n">
        <v>1</v>
      </c>
      <c r="E1178" t="n">
        <v>17</v>
      </c>
      <c r="F1178">
        <f>HYPERLINK("https://www.reddit.com/r/COVID19positive/comments/glpmqj/65_yr_old_aunt_tested_positive_in_nursing_home/")</f>
        <v/>
      </c>
      <c r="G1178" t="inlineStr">
        <is>
          <t>2020-05-17 16:10:50</t>
        </is>
      </c>
      <c r="H1178" t="inlineStr">
        <is>
          <t>Tested Positive - Family</t>
        </is>
      </c>
    </row>
    <row r="1179">
      <c r="A1179" t="inlineStr">
        <is>
          <t>glsrvn</t>
        </is>
      </c>
      <c r="B1179" t="inlineStr">
        <is>
          <t>Tested positive for IgM antibodies today after 2 negative nasal swab tests</t>
        </is>
      </c>
      <c r="C1179" t="inlineStr">
        <is>
          <t>Wow, I finally have some tentative proof that what I have been going through for the past 3 months was not all in my head! But I still have so many questions... If you test positive for IgM and not IgG does that mean you are still experiencing an active infection? Would you still be contagious? Has anyone tested positive for only IgM after months of being of being sick?
I thought I’d share my story since reading everyone’s experiences has helped me so much, especially since, at least in my case, my doctor has been less than helpful and my family have been skeptical that I could be sick this long from covid.
Here is a timeline of my symptoms, sorry it’s a long read:
27F, 5ft 105 pounds, A blood type, and no known health issues besides a history of anemia. Baseline temp of 97.9.
End of Feb - Major brain fog, migraine like headaches, fatigue, and one brutal night of headache induced vomiting. I could barely make it through a day of work, and almost got into a couple car accidents while driving during this time. It was weird, I was even having trouble keeping up conversations and remembering words, but I brushed it all off as stress and lack of sleep (I have a toddler who still wakes up at night ಥ﹏ಥ)
Beginning of March - Post nasal drip feeling begins with oddly no nasal congestion and I start to have a very infrequent dry cough. I also lost my sense of smell around this time for about a week. 
Mid March to March 26th - Sore throat begins which is much worse on my left side and feels like tonsillitis. I also start feeling feverish and have a few days of crazy nasal congestion where the post nasal drip feels like I’m drowning. I start to experience a slight chest pressure and weird body aches like a mixture of growing pains and working out to much. I thought I had the flu at this point and was just going to ride it out at home.
March 26th - March 29th- This is when the scary shit starts happening. The cough gets worse. The chest pressure gets worse and my temperature gets to 101 and won’t come down with Tylenol. My heart rate skyrockets at the weirdest times, even when I am sitting or laying down. I have a few nights of bad fever where I wake up every 30 minutes or so sweating with my heart pounding, feeling like I have to focus on breathing. At this point I’m pretty sure I have covid and I’m able to get an appointment through my GP to get tested on March 30th.
March 30th - The peak. After a bad night of fever and now diarrhea, I wake up so weak and dizzy that I can’t walk. I have a really weird episode where my body feels like it is shaking internally, or vibrating - sorry it’s hard to describe, all over. During this, my heart rate reached almost 200bmp and the slight chest pressure now feels like someone is sitting on my chest. I thought I was going to die at this point, but it calmed down after about 40 minutes and I was able to go to my doctor’s office for the nasal swab. The nurse recommended I go to the emergency room if I started to feel worse, so when a second episode similar to the first one started a few hours later my husband took me to the ER. My EKG and chest X-ray came back normal at the ER, and the viral panel they ran on me came back negative for everything, so they sent me home with a diagnosis of ‘viral respiratory infection’, a prescription for Amox Clav, and pretty much no guidance.
March 30th - Mid April - Symptoms come in waves. Some days I feel like I might be getting better only to get worse later in the day. Bad earache and pressure begins. The only constants are the low grade fever, infrequent dry cough, and slight shortness of breath. I’ve never felt so unwell in my life, and when I get the negative result from my first nasal swab I don’t know what to think. My doctor’s only response was “You’re definitely negative for covid but what you have sounds viral, so I hope you feel better soon.” I start the antibiotic from the ER on the off chance that what is causing my symptoms is bacterial.
Mid April - Late April - After starting the antibiotic I have 6 days without a fever, I feel like I might be getting better besides the earache, which is still around, and I have another bout of extreme nasal congestion/runny nose. Nope. My body was just trolling me. I have about a week of the worst stomach pain, diarrhea, and vomiting of my life. I have fever and night chills again at this time. I can barely move and keep anything down. I call my doctor again because I don’t seem to be getting better and these new symptoms are severe. I go back in for blood work, a c diff test, and another chest x ray all of which come back normal. My doctor orders another covid test. 
Early May - 2nd nasal swab comes back negative. Earache subsides and I can eat food again without extreme pain. I finally start to feel like I’m actually getting better this time. I have two weeks fever free and the toxic unwell feeling I’ve only ever felt with this strange illness and alcohol poisoning goes away for the first time in over a month.
I went last week, May 11th, to get an antibody test done at a local walk-in clinic that was offering the full blood draw for free. In all honesty the possibility that I’ve had covid this whole time has never really left my mind, so I just wanted to make sure. I tested positive for IgM. 
This week I have a bit of sore throat and am starting to feel unwell again, like the cycle might repeat. I’m so scared this might never go away and exhausted from being sick this long. 
Any advice on how to kick this thing for good?</t>
        </is>
      </c>
      <c r="D1179" t="n">
        <v>1</v>
      </c>
      <c r="E1179" t="n">
        <v>22</v>
      </c>
      <c r="F1179">
        <f>HYPERLINK("https://www.reddit.com/r/COVID19positive/comments/glsrvn/tested_positive_for_igm_antibodies_today_after_2/")</f>
        <v/>
      </c>
      <c r="G1179" t="inlineStr">
        <is>
          <t>2020-05-17 19:26:09</t>
        </is>
      </c>
      <c r="H1179" t="inlineStr">
        <is>
          <t>Tested Positive - Me</t>
        </is>
      </c>
    </row>
    <row r="1180">
      <c r="A1180" t="inlineStr">
        <is>
          <t>glsznv</t>
        </is>
      </c>
      <c r="B1180" t="inlineStr">
        <is>
          <t>Symptoms flare up during the evening</t>
        </is>
      </c>
      <c r="C1180" t="inlineStr">
        <is>
          <t>Any reason why symptoms flare up during the evening? My symptoms right now are some minor chest tightness and burning feeling when I inhale. Just finished eating before I felt this way. Could be the reason, but I've seen others mention this symptom flare ups during the evening.</t>
        </is>
      </c>
      <c r="D1180" t="n">
        <v>1</v>
      </c>
      <c r="E1180" t="n">
        <v>16</v>
      </c>
      <c r="F1180">
        <f>HYPERLINK("https://www.reddit.com/r/COVID19positive/comments/glsznv/symptoms_flare_up_during_the_evening/")</f>
        <v/>
      </c>
      <c r="G1180" t="inlineStr">
        <is>
          <t>2020-05-17 19:40:39</t>
        </is>
      </c>
      <c r="H1180" t="inlineStr">
        <is>
          <t>Tested Positive - Me</t>
        </is>
      </c>
    </row>
    <row r="1181">
      <c r="A1181" t="inlineStr">
        <is>
          <t>gltre0</t>
        </is>
      </c>
      <c r="B1181" t="inlineStr">
        <is>
          <t>Has anyone here gotten “reinfected” after testing negative at least twice?</t>
        </is>
      </c>
      <c r="C1181" t="inlineStr">
        <is>
          <t>I’m asking since many of us seem to relapse, but no one has said if they’ve only gotten one test THEN relapsed (which wouldn’t be reinfection I’m guessing). If I’m correct, wouldn’t “reinfection” mean literally getting rid of the virus all together and then testing positive for it again?
Curious because, I have just tested negative twice now in one week. I haven’t had symptoms for 3 weeks or so, and had a mild case. However I’m still very self conscious about returning back to real life, if I caught it again at a gas station or grocery store and if I’ll be able to infect people. I’m seeing my girlfriend after my 2 negative tests this past week, and my entire family has tested negative as well. 
Went to the gas station today (with PPE), still getting scared I can catch something at the gas station and give it to her tomorrow since we’re not sure if survivors have immunity...I’m sad to be this self conscious about being a spreader after I’ve had it, even with negative tests. Anyone have experience on true re infection? If you relapsed, did you ever get negative tests after a positive one before the second wave?</t>
        </is>
      </c>
      <c r="D1181" t="n">
        <v>1</v>
      </c>
      <c r="E1181" t="n">
        <v>6</v>
      </c>
      <c r="F1181">
        <f>HYPERLINK("https://www.reddit.com/r/COVID19positive/comments/gltre0/has_anyone_here_gotten_reinfected_after_testing/")</f>
        <v/>
      </c>
      <c r="G1181" t="inlineStr">
        <is>
          <t>2020-05-17 20:31:57</t>
        </is>
      </c>
      <c r="H1181" t="inlineStr">
        <is>
          <t>Tested Positive - Me</t>
        </is>
      </c>
    </row>
    <row r="1182">
      <c r="A1182" t="inlineStr">
        <is>
          <t>gluh77</t>
        </is>
      </c>
      <c r="B1182" t="inlineStr">
        <is>
          <t>Update on my dad. Almost 2 months on ventilator</t>
        </is>
      </c>
      <c r="C1182" t="inlineStr">
        <is>
          <t>My dad a covid patient has been on the ventilator for almost 2 months now. He got the tracheostomy about a month ago now and he still has not managed to get off the ventilator. He keeps having setbacks. Last night his lung partially collapsed and they had to stick a tube in. He will have that tube in him for at least 5 days I think. He is also over breathing the ventilator now, which I hear is very dangerous and can lead to more lung complications. He is negative for covid now, but it has done so much damage to him. The doctors don’t sound very concerned now, but to me it doesn’t look good. I just see him having more and more complications from here, but of course anything can happen and there is always some hope. I will keep praying. If he dies I know he had lived a good life, and he would want me to be strong.</t>
        </is>
      </c>
      <c r="D1182" t="n">
        <v>1</v>
      </c>
      <c r="E1182" t="n">
        <v>37</v>
      </c>
      <c r="F1182">
        <f>HYPERLINK("https://www.reddit.com/r/COVID19positive/comments/gluh77/update_on_my_dad_almost_2_months_on_ventilator/")</f>
        <v/>
      </c>
      <c r="G1182" t="inlineStr">
        <is>
          <t>2020-05-17 21:22:49</t>
        </is>
      </c>
      <c r="H1182" t="inlineStr">
        <is>
          <t>Tested Positive - Family</t>
        </is>
      </c>
    </row>
    <row r="1183">
      <c r="A1183" t="inlineStr">
        <is>
          <t>glve3a</t>
        </is>
      </c>
      <c r="B1183" t="inlineStr">
        <is>
          <t>Day 31 - Night Sweats &amp;amp; SOB</t>
        </is>
      </c>
      <c r="C1183" t="inlineStr">
        <is>
          <t>So, a pretty terrible on set of new symptoms just came on and I’m having anxiety. I did not have the night sweating even with the first wave of symptoms. Even with feeling totally well. I wondered if my doctors were wrong, even, and if this is my true day one and / or I got reinfected. 
Around last night, I began to have some minor sweating. But, it felt like having the heat on and went away quickly. As the night progressed, I had bad SOB, but kept myself propped up so I can sleep. A couple of hours pass, and I wake up sweating with a mildly stuffed nose and loss of taste.
No fever, but what in the hell is going on? Am I reinfected? Why does it feel worse than wave one? Did the docs on the phone and I get it wrong? I’m trying to relax, but being an overweight obese woman, I’m freaking out a bit. Especially since things were not this bad during initial onset.</t>
        </is>
      </c>
      <c r="D1183" t="n">
        <v>1</v>
      </c>
      <c r="E1183" t="n">
        <v>20</v>
      </c>
      <c r="F1183">
        <f>HYPERLINK("https://www.reddit.com/r/COVID19positive/comments/glve3a/day_31_night_sweats_sob/")</f>
        <v/>
      </c>
      <c r="G1183" t="inlineStr">
        <is>
          <t>2020-05-17 22:30:58</t>
        </is>
      </c>
      <c r="H1183" t="inlineStr">
        <is>
          <t>Presumed Positive - From Doctor</t>
        </is>
      </c>
    </row>
    <row r="1184">
      <c r="A1184" t="inlineStr">
        <is>
          <t>glvi2n</t>
        </is>
      </c>
      <c r="B1184" t="inlineStr">
        <is>
          <t>Tested negative for both swab and antibody tests, but others in quarantine with me were sick and tested positive for antibodies</t>
        </is>
      </c>
      <c r="C1184" t="inlineStr">
        <is>
          <t>So just to give some background, I first had symptoms on March 16th and was sick for 18 days.  I had all the classic symptoms:   dry cough, low fever, severe sharp pain in lungs, shortness of breath, lost my voice, etc.   After a LOT of work and a recommendation to get a chest x ray (which of course I could not get) I got approved to get the swab test on about my 9th day of being sick, which came back negative.  I was on the upswing around that time, but of course testing was really a mess then so it took days to get one.  With that said, they lab tech did say based on symptoms it sounded very much like COVID and the tests do produce false negatives.
I have been in quarantine with 5 family members since mid March.  I had it ***first*** in my house and got it the worst, and had it the longest, but eventually everyone in my house got sick as well.  I was the only one in my house even able to get a swab test because I was of enough concern medically.  EVERYONE in my house got sick, to varying degrees and varying symptoms, including loss of smell.    Regardless of my negative swab test, my family all believed we had it based on the varying symptoms throughout the house and the severity of my course.  
Fast forward to last week (60 days post infection)  I went to get an antibody test and I came back negative.  Needless to say, I was shocked and weirdly disappointed as all symptoms appeared as though I had it, I just wanted confirmation.
Now here is where it gets weird.  Two members of my household that were sick *after* me, have come back positive for antibodies.   One of which used the exact same lab as me, Quest, and still came back positive for antibodies. 
I am CERTAIN it is what I had, and given the fact that that others in my household who were sick after me, and less sick than I was, are coming back positive is an anomaly to me.   I know the tests are a bit of a mess in terms of reliability, but considering I used the same lab as a family member who came back positive is very strange.
Has this happened to anyone else?  Or any thoughts on how or why the hell that is possible?  I have a compromised immune system somewhat, as I have Hashimoto's...so the only thing I could imagine is perhaps my body hasn't developed antibodies yet?  My doctor said she would retest me again in another month or so, so we'll see then if anything changes.  
But yeah, this virus is one hell of a weird one, and with testing a mess it is all pretty confusing.
Any thoughts, input, or experiences that are similar are greatly appreciated!</t>
        </is>
      </c>
      <c r="D1184" t="n">
        <v>1</v>
      </c>
      <c r="E1184" t="n">
        <v>10</v>
      </c>
      <c r="F1184">
        <f>HYPERLINK("https://www.reddit.com/r/COVID19positive/comments/glvi2n/tested_negative_for_both_swab_and_antibody_tests/")</f>
        <v/>
      </c>
      <c r="G1184" t="inlineStr">
        <is>
          <t>2020-05-17 22:39:57</t>
        </is>
      </c>
      <c r="H1184" t="inlineStr">
        <is>
          <t>Presumed Positive - From Doctor</t>
        </is>
      </c>
    </row>
    <row r="1185">
      <c r="A1185" t="inlineStr">
        <is>
          <t>glw8nt</t>
        </is>
      </c>
      <c r="B1185" t="inlineStr">
        <is>
          <t>Tested positive for COVID-19 back in March, got tested for antibodies on 5/16 and showing negative IGG antibodies.</t>
        </is>
      </c>
      <c r="C1185" t="inlineStr">
        <is>
          <t>I got tested on March 23 at work since I am a healthcare worker and at the time they were offering it to employees who had symptoms. At the time I had mild symptoms, headache, stomach pain, and fatigue. Got the results back and said I was positive and was told to stay home and quarantine. At home my symptoms were mostly mild. Headache, loss of appetite and smell, fatigue, low fever, and muscle pain. I didn't have any coughing.
My fiancee was the one who took care of me and unfortunately she got sick which I am assuming is because of me. She got sick around April 5 and around the end of April was when she has mostly recovered minus her on and off coughing. She had it worse with a high fever, coughing, extreme fatigue, loss of appetite and smell, the works. Thankfully no shortness of breath.
Fast forward we decided to take the antibody test this past weekend and just got results. I assumed we would both have antibodies but only she did. She had a positive IGG while I was negative. Any idea why that could be? I was thinking maybe I just have a low count?</t>
        </is>
      </c>
      <c r="D1185" t="n">
        <v>1</v>
      </c>
      <c r="E1185" t="n">
        <v>13</v>
      </c>
      <c r="F1185">
        <f>HYPERLINK("https://www.reddit.com/r/COVID19positive/comments/glw8nt/tested_positive_for_covid19_back_in_march_got/")</f>
        <v/>
      </c>
      <c r="G1185" t="inlineStr">
        <is>
          <t>2020-05-17 23:37:06</t>
        </is>
      </c>
      <c r="H1185" t="inlineStr">
        <is>
          <t>Tested Positive - Me</t>
        </is>
      </c>
    </row>
    <row r="1186">
      <c r="A1186" t="inlineStr">
        <is>
          <t>glxvkh</t>
        </is>
      </c>
      <c r="B1186" t="inlineStr">
        <is>
          <t>Check the latest covid19 updates</t>
        </is>
      </c>
      <c r="C1186" t="inlineStr">
        <is>
          <t>[covid19 live updates](https://covid19express.herokuapp.com/)</t>
        </is>
      </c>
      <c r="D1186" t="n">
        <v>1</v>
      </c>
      <c r="E1186" t="n">
        <v>1</v>
      </c>
      <c r="F1186">
        <f>HYPERLINK("https://www.reddit.com/r/COVID19positive/comments/glxvkh/check_the_latest_covid19_updates/")</f>
        <v/>
      </c>
      <c r="G1186" t="inlineStr">
        <is>
          <t>2020-05-18 01:53:01</t>
        </is>
      </c>
      <c r="H1186" t="inlineStr">
        <is>
          <t>Tested Positive - Friends</t>
        </is>
      </c>
    </row>
    <row r="1187">
      <c r="A1187" t="inlineStr">
        <is>
          <t>glyhzw</t>
        </is>
      </c>
      <c r="B1187" t="inlineStr">
        <is>
          <t>Fast heart rate - tachycardia - cases where it’s resolved?</t>
        </is>
      </c>
      <c r="C1187" t="inlineStr">
        <is>
          <t>This sub has kept me sane during uncertain and worrying times! Thanks to all contributors. 
47m, Type 1 diabetes - good control. Prior to this worked out/cardio 5-6 times per week (lifetime habit). 
Won’t give a full breakdown of my timeline here but in summary: essentially mild, no cough, lots of GI esp week 2, aching and exhaustion, fever now gone for a couple of weeks. 
For 2 days in week 2 my HR slowed down noticeably. 
Now on Day 33. Palpitations started a few days ago. Noticed HR goes up to 130 eg even if I’m just wiping down a surface with a bit of effort and I get out of breath. I get totally wiped out. It all seems never ending. 
I’ve noticed many similar anecdotes here but am very interested to hear where anyone has experienced similar but symptoms have eased or resolved. I could ask my doctor but, frankly, this sub is weeks ahead of most medical professionals in highlighting symptoms. 
Thanks in advance!</t>
        </is>
      </c>
      <c r="D1187" t="n">
        <v>1</v>
      </c>
      <c r="E1187" t="n">
        <v>59</v>
      </c>
      <c r="F1187">
        <f>HYPERLINK("https://www.reddit.com/r/COVID19positive/comments/glyhzw/fast_heart_rate_tachycardia_cases_where_its/")</f>
        <v/>
      </c>
      <c r="G1187" t="inlineStr">
        <is>
          <t>2020-05-18 02:46:34</t>
        </is>
      </c>
      <c r="H1187" t="inlineStr">
        <is>
          <t>Tested Positive</t>
        </is>
      </c>
    </row>
    <row r="1188">
      <c r="A1188" t="inlineStr">
        <is>
          <t>glzd38</t>
        </is>
      </c>
      <c r="B1188" t="inlineStr">
        <is>
          <t>An Asymptomatic Positive</t>
        </is>
      </c>
      <c r="C1188" t="inlineStr">
        <is>
          <t>Still coming to terms with my positive result. It came in Thursday, May 14th, about a week after I was tested. No symptoms, no known exposure. I tested because my work asked those of us who had been out and about helping other departments to do so before we reopened to the public in any capacity (I work for one of the library systems).
Now, I'm in quarantine with the other 3 members of my household under quarantine within the rest of the house. Our veterinarian is well aware of our situation and advised us shortly after the positive came through. My work is, thankfully, understanding. I know there are others not as fortunate with their situations and I truly hope the virus passes through as quickly as possible with as little impact as possible.
It's Day 4 and I'm still coming to terms with our situation. Any advice?</t>
        </is>
      </c>
      <c r="D1188" t="n">
        <v>1</v>
      </c>
      <c r="E1188" t="n">
        <v>15</v>
      </c>
      <c r="F1188">
        <f>HYPERLINK("https://www.reddit.com/r/COVID19positive/comments/glzd38/an_asymptomatic_positive/")</f>
        <v/>
      </c>
      <c r="G1188" t="inlineStr">
        <is>
          <t>2020-05-18 04:00:19</t>
        </is>
      </c>
      <c r="H1188" t="inlineStr">
        <is>
          <t>Tested Positive - Me</t>
        </is>
      </c>
    </row>
    <row r="1189">
      <c r="A1189" t="inlineStr">
        <is>
          <t>glzpfw</t>
        </is>
      </c>
      <c r="B1189" t="inlineStr">
        <is>
          <t>29F day 49 of symptoms - return to work?</t>
        </is>
      </c>
      <c r="C1189" t="inlineStr">
        <is>
          <t>I work in a hospital and caught COVID19 during the period where staff were not wearing masks.
My symptoms week of week were as follows:
Week 1: started with low fever (37.8) and very light sensitive headache. Day 2 fever was 38.9 - no fever after this. Then very sore throat and lost voice. Then coughing started on day 5. 
Week 2: very short of breath. Only felt normal when laid down still for 10 mins. Tested 'weak' positive on day 10 ( in the UK so was tested because I work for the NHS)
Week 3: sudden deterioration on day 15 - sudden short of breath, sweating, palpitations, shaking. Attended A&amp;amp;E for tests. I was able to maintain oxygen levels so not admitted and told it was the course of the virus and to rest. Feel very flu-like with fatigue and aching muscles.
Week 4: shortness of breath continues at rest. Called GP as not getting better - told it's post viral fatigue. 
Week 5: only short of breath on exertion and extreme fatigue - trying very slow short walks on advice of doctor. Feel very unwell in evening - headache, muscle aches, hot and cold sweats. 
Week 6: able to do slightly longer walks without getting short of breath. Still very fatigued.
Week 7: tight chest but not getting short of breath when walking short distances - more fatigue stopping me now. Got short of breath after a long phone call. Able to do small tasks with rests after.
It's been a difficult time as there is so much still unknown and not sure my work understands there are people with these sorts of symptoms. 
I'm thinking about how is best to return to work, has anyone found a way that's been successful?
I have been advise a phased return and my GP will support me with this, but I struggle to see how I will be able to return to normal working in the near future. I work full time and spend at least 5 hours on my feet, walking between wards. Also I have a 40 min drive to and from work.</t>
        </is>
      </c>
      <c r="D1189" t="n">
        <v>1</v>
      </c>
      <c r="E1189" t="n">
        <v>1</v>
      </c>
      <c r="F1189">
        <f>HYPERLINK("https://www.reddit.com/r/COVID19positive/comments/glzpfw/29f_day_49_of_symptoms_return_to_work/")</f>
        <v/>
      </c>
      <c r="G1189" t="inlineStr">
        <is>
          <t>2020-05-18 04:28:14</t>
        </is>
      </c>
      <c r="H1189" t="inlineStr">
        <is>
          <t>Tested Positive - Me</t>
        </is>
      </c>
    </row>
    <row r="1190">
      <c r="A1190" t="inlineStr">
        <is>
          <t>gm1jqu</t>
        </is>
      </c>
      <c r="B1190" t="inlineStr">
        <is>
          <t>My job won't close, people are getting sicker, what do I do??</t>
        </is>
      </c>
      <c r="C1190" t="inlineStr">
        <is>
          <t>So the dealership I work at has had several positive cases of COVID, myself included, and still hasn't closed. I'm trying to figure out if this is legal, but I haven't been able to find anything. Does anyone know how I can go about reporting a business that isn't following CDC guidelines and stays open despite multiple positive cases?</t>
        </is>
      </c>
      <c r="D1190" t="n">
        <v>1</v>
      </c>
      <c r="E1190" t="n">
        <v>15</v>
      </c>
      <c r="F1190">
        <f>HYPERLINK("https://www.reddit.com/r/COVID19positive/comments/gm1jqu/my_job_wont_close_people_are_getting_sicker_what/")</f>
        <v/>
      </c>
      <c r="G1190" t="inlineStr">
        <is>
          <t>2020-05-18 06:34:21</t>
        </is>
      </c>
      <c r="H1190" t="inlineStr">
        <is>
          <t>Tested Positive - Me</t>
        </is>
      </c>
    </row>
    <row r="1191">
      <c r="A1191" t="inlineStr">
        <is>
          <t>gm1ree</t>
        </is>
      </c>
      <c r="B1191" t="inlineStr">
        <is>
          <t>NAC and quercetin: opinions?</t>
        </is>
      </c>
      <c r="C1191" t="inlineStr">
        <is>
          <t>I’m on day 50+, most symptoms are gone now, but occasional SOB is killing me! Has any of such long-termers as me noticed any improvement from using NAC and quercetin? Would you recommend any other supplements?</t>
        </is>
      </c>
      <c r="D1191" t="n">
        <v>1</v>
      </c>
      <c r="E1191" t="n">
        <v>12</v>
      </c>
      <c r="F1191">
        <f>HYPERLINK("https://www.reddit.com/r/COVID19positive/comments/gm1ree/nac_and_quercetin_opinions/")</f>
        <v/>
      </c>
      <c r="G1191" t="inlineStr">
        <is>
          <t>2020-05-18 06:47:24</t>
        </is>
      </c>
      <c r="H1191" t="inlineStr">
        <is>
          <t>Presumed Positive - From Doctor</t>
        </is>
      </c>
    </row>
    <row r="1192">
      <c r="A1192" t="inlineStr">
        <is>
          <t>gm22nw</t>
        </is>
      </c>
      <c r="B1192" t="inlineStr">
        <is>
          <t>My husband and I took COVID-19 antibody tests on Friday and got different results</t>
        </is>
      </c>
      <c r="C1192" t="inlineStr">
        <is>
          <t>My husband tested positive for antibodies and I tested negative. 
While I was never tested for COVID, (because I was sick in mid-February in NYC, no doctor thought I could have it yet because I hadn't left the country recently...) I'm very convinced that I had it. I couldn't breathe without wheezing, I lost my voice for 4 days from deep coughing, I had fevers, and was sick for way longer than normal... The sickest I'd ever been, really. We were so sure I had it.
Thing is, my husband started feeling "off" a few days before me but never got sick so we think he may have infected me.
Racking my brain trying to figure out how two people in such close proximity got different results.</t>
        </is>
      </c>
      <c r="D1192" t="n">
        <v>1</v>
      </c>
      <c r="E1192" t="n">
        <v>7</v>
      </c>
      <c r="F1192">
        <f>HYPERLINK("https://www.reddit.com/r/COVID19positive/comments/gm22nw/my_husband_and_i_took_covid19_antibody_tests_on/")</f>
        <v/>
      </c>
      <c r="G1192" t="inlineStr">
        <is>
          <t>2020-05-18 07:06:04</t>
        </is>
      </c>
      <c r="H1192" t="inlineStr">
        <is>
          <t>Presumed Positive - From Test</t>
        </is>
      </c>
    </row>
    <row r="1193">
      <c r="A1193" t="inlineStr">
        <is>
          <t>gm2g39</t>
        </is>
      </c>
      <c r="B1193" t="inlineStr">
        <is>
          <t>When to start working out again?</t>
        </is>
      </c>
      <c r="C1193" t="inlineStr">
        <is>
          <t>Hello, its been 4 weeks since I tested positive for covid and I am still experiencing some shortness of breath, dry cough and sore throat however it is bearable and improving, I have been pretty much been stuck in my house for 4 weeks and have been very sedentary, and I can feel this taking a toll on my body. 
I have heard stories of people relapsing once they have started exercising again, I was thinking of starting with very light and easy exercises such as walking then slowly ramping it up after to include weightlifting/running depending how I feel. Or should I just completely avoid this until I am 100% better, would love to hear your thoughts/experiences. We're all going to make it.</t>
        </is>
      </c>
      <c r="D1193" t="n">
        <v>1</v>
      </c>
      <c r="E1193" t="n">
        <v>40</v>
      </c>
      <c r="F1193">
        <f>HYPERLINK("https://www.reddit.com/r/COVID19positive/comments/gm2g39/when_to_start_working_out_again/")</f>
        <v/>
      </c>
      <c r="G1193" t="inlineStr">
        <is>
          <t>2020-05-18 07:27:58</t>
        </is>
      </c>
      <c r="H1193" t="inlineStr">
        <is>
          <t>Tested Positive - Me</t>
        </is>
      </c>
    </row>
    <row r="1194">
      <c r="A1194" t="inlineStr">
        <is>
          <t>gm2ixu</t>
        </is>
      </c>
      <c r="B1194" t="inlineStr">
        <is>
          <t>Sleep troubles???</t>
        </is>
      </c>
      <c r="C1194" t="inlineStr">
        <is>
          <t>Anyone having sleep disturbances? Unable to sleep more than 5-6 hours at a stretch.
[View Poll](https://www.reddit.com/poll/gm2ixu)</t>
        </is>
      </c>
      <c r="D1194" t="n">
        <v>1</v>
      </c>
      <c r="E1194" t="n">
        <v>3</v>
      </c>
      <c r="F1194">
        <f>HYPERLINK("https://www.reddit.com/r/COVID19positive/comments/gm2ixu/sleep_troubles/")</f>
        <v/>
      </c>
      <c r="G1194" t="inlineStr">
        <is>
          <t>2020-05-18 07:32:36</t>
        </is>
      </c>
      <c r="H1194" t="inlineStr">
        <is>
          <t>Tested Positive - Me</t>
        </is>
      </c>
    </row>
    <row r="1195">
      <c r="A1195" t="inlineStr">
        <is>
          <t>gm2ojt</t>
        </is>
      </c>
      <c r="B1195" t="inlineStr">
        <is>
          <t>Help about inhaler plase</t>
        </is>
      </c>
      <c r="C1195" t="inlineStr">
        <is>
          <t>Can Bexitrol inhaler be used for covid 19 patient?  
Not an asthmatic.</t>
        </is>
      </c>
      <c r="D1195" t="n">
        <v>1</v>
      </c>
      <c r="E1195" t="n">
        <v>3</v>
      </c>
      <c r="F1195">
        <f>HYPERLINK("https://www.reddit.com/r/COVID19positive/comments/gm2ojt/help_about_inhaler_plase/")</f>
        <v/>
      </c>
      <c r="G1195" t="inlineStr">
        <is>
          <t>2020-05-18 07:41:37</t>
        </is>
      </c>
      <c r="H1195" t="inlineStr">
        <is>
          <t>Tested Positive - Family</t>
        </is>
      </c>
    </row>
    <row r="1196">
      <c r="A1196" t="inlineStr">
        <is>
          <t>gm3441</t>
        </is>
      </c>
      <c r="B1196" t="inlineStr">
        <is>
          <t>Any other survivors out there struggling with new onset BP issues??</t>
        </is>
      </c>
      <c r="C1196" t="inlineStr">
        <is>
          <t>I'm 26F in USA, never had BP issues before, but got COVID and COVID pneumonia (from which I'm still recovering, just building my lung capacity back up again). I had a severe case, but not critical. Since I have been considered recovered, I've still been having occasional headaches, dizziness, shortness of breath on exertion, loss of appetite, and get this guys, NOSEBLEEDS! totally random nosebleeds where I'm just sitting there and boom, my nose starts pouring blood. I donated plasma with my antibodies last week and my bp was 160/90, and I just took it now and its 160/100.. Hypertension does run in the family and I am overweight but I've never in my life had a problem with hypertension.
I heard of COVID patients having high bp, but what about after "recovery"?? 
Recovery looks very different for everybody, guys. I work at a hospital, and my coworkers who got it are back at work already, and I am just barely getting my breath back. 
PMHx includes asthma.</t>
        </is>
      </c>
      <c r="D1196" t="n">
        <v>1</v>
      </c>
      <c r="E1196" t="n">
        <v>35</v>
      </c>
      <c r="F1196">
        <f>HYPERLINK("https://www.reddit.com/r/COVID19positive/comments/gm3441/any_other_survivors_out_there_struggling_with_new/")</f>
        <v/>
      </c>
      <c r="G1196" t="inlineStr">
        <is>
          <t>2020-05-18 08:05:36</t>
        </is>
      </c>
      <c r="H1196" t="inlineStr">
        <is>
          <t>Tested Positive - Me</t>
        </is>
      </c>
    </row>
    <row r="1197">
      <c r="A1197" t="inlineStr">
        <is>
          <t>gm37jv</t>
        </is>
      </c>
      <c r="B1197" t="inlineStr">
        <is>
          <t>2months in the covid19 journey, Anyone feel the SOb is worse on the day when reflux symptom is bad?</t>
        </is>
      </c>
      <c r="C1197" t="inlineStr">
        <is>
          <t>Hi all survivors, I am two months in.. feel much stronger than 2 weeks ago, even though not 100% myself yet but I am grateful to be able to get on with my daily tasks ( and home working). I still have many symptoms as many of you have : heart rate issues, pins and needles/numbness in the feet / fingers ( they got red and burning).. think my blood circulation is not as good as before. I remain positive and I noticed I smile more and more.
One of the things really remind me every day that I have covid is my breathing-SOB.. I have tight chest some days, but most day I have this mild SOB, the feeling of needs to take deep breath ( like I forgot how to breath), when trying to take in deep satisfying breath I just cannot , lit’s like I cannot complete the action, and not get enough air in my lung yet I cannot expand my lungs anymore.. it often helps if I yawn in order to get the air in.. ( I hope you get what I mean)
I also noticed on the days I have bad reflux, the breathing seems to get worse..
Do you have similar experience? Can you share hope you cope with it? Or any dr advice from your Experience. 
Ps . My x ray was clear, blood oxygen level perfect ..</t>
        </is>
      </c>
      <c r="D1197" t="n">
        <v>1</v>
      </c>
      <c r="E1197" t="n">
        <v>82</v>
      </c>
      <c r="F1197">
        <f>HYPERLINK("https://www.reddit.com/r/COVID19positive/comments/gm37jv/2months_in_the_covid19_journey_anyone_feel_the/")</f>
        <v/>
      </c>
      <c r="G1197" t="inlineStr">
        <is>
          <t>2020-05-18 08:10:30</t>
        </is>
      </c>
      <c r="H1197" t="inlineStr">
        <is>
          <t>Presumed Positive - From Doctor</t>
        </is>
      </c>
    </row>
    <row r="1198">
      <c r="A1198" t="inlineStr">
        <is>
          <t>gm44b8</t>
        </is>
      </c>
      <c r="B1198" t="inlineStr">
        <is>
          <t>I think my best friend's husband isn't going to make it, age 57.</t>
        </is>
      </c>
      <c r="C1198" t="inlineStr">
        <is>
          <t>My good friend's husband came down with it in early April. I believe after about three weeks of being sick, starting to get better, getting sick again he finally went to the hospital because his fever was high again. ( I think) . initially he was on some sort of oxygen mask but they couldn't keep his O2 high enough so he went on a ventilator and a week later they put him on ECMO. Before the ECMO he did receive the new drug resp (??) And he did receive plasma.. he has been on the ECMO for about 5 days and initially he was doing well. Last night she posted that the doctors didn't think he would make it through the night. He did make it through the night and his daughter, who is a nurse in the same hospital, said that he was a roller-coaster all night and  that they had trouble keeping him stable. She said once they fix one thing another thing happens. important to know is that he is also on dialysis because right around the time he was about to go on ECMO his kidney numbers tripled. he also has rheumatoid arthritis but I don't believe he was on any medications when he caught the virus, except for possibly steroids. 
initially I thought his chances were about 50-50 once he went on ECMO, but now I'm starting to fear that they may be much lower than that. Her son came down from New York and her daughter is here. I just don't know what I can do for her. They were high school sweethearts. everybody wants to help, but there's nothing anybody can do. She can't go see him and she certainly is not up to entertaining. I'm just glad her family is there.
She also had it during the time that he did but I think she got better after about 2 weeks. She did test positive 2 weeks ago even after her symptoms were gone for at least a week, but I think she also had antibodies. I'm thinking it's probably safe to be around her now??! 
I hope they let her in to be with him if he isn't going to make it.</t>
        </is>
      </c>
      <c r="D1198" t="n">
        <v>1</v>
      </c>
      <c r="E1198" t="n">
        <v>15</v>
      </c>
      <c r="F1198">
        <f>HYPERLINK("https://www.reddit.com/r/COVID19positive/comments/gm44b8/i_think_my_best_friends_husband_isnt_going_to/")</f>
        <v/>
      </c>
      <c r="G1198" t="inlineStr">
        <is>
          <t>2020-05-18 08:58:06</t>
        </is>
      </c>
      <c r="H1198" t="inlineStr">
        <is>
          <t>Tested Positive - Friends</t>
        </is>
      </c>
    </row>
    <row r="1199">
      <c r="A1199" t="inlineStr">
        <is>
          <t>gm59c6</t>
        </is>
      </c>
      <c r="B1199" t="inlineStr">
        <is>
          <t>Does anyone have this lingering muscle pain and headache?</t>
        </is>
      </c>
      <c r="C1199" t="inlineStr">
        <is>
          <t>Been ill with covid from the 11th of March. The symptoms only started improving over the past week but I have been left with this muscle pain and headache  which wont go away. I have pretty bad brain fog too. I didn't have a headache this bad during the time of the main illness when I had lots of breathing difficulties its something recent. Did anyone experience anything similar?</t>
        </is>
      </c>
      <c r="D1199" t="n">
        <v>1</v>
      </c>
      <c r="E1199" t="n">
        <v>15</v>
      </c>
      <c r="F1199">
        <f>HYPERLINK("https://www.reddit.com/r/COVID19positive/comments/gm59c6/does_anyone_have_this_lingering_muscle_pain_and/")</f>
        <v/>
      </c>
      <c r="G1199" t="inlineStr">
        <is>
          <t>2020-05-18 09:55:58</t>
        </is>
      </c>
      <c r="H1199" t="inlineStr">
        <is>
          <t>Presumed Positive - From Doctor</t>
        </is>
      </c>
    </row>
    <row r="1200">
      <c r="A1200" t="inlineStr">
        <is>
          <t>gm5rx4</t>
        </is>
      </c>
      <c r="B1200" t="inlineStr">
        <is>
          <t>Discussion</t>
        </is>
      </c>
      <c r="C1200" t="inlineStr">
        <is>
          <t>what are realistically the chances of surviving covid 19 if your in your 70s and smoke</t>
        </is>
      </c>
      <c r="D1200" t="n">
        <v>1</v>
      </c>
      <c r="E1200" t="n">
        <v>4</v>
      </c>
      <c r="F1200">
        <f>HYPERLINK("https://www.reddit.com/r/COVID19positive/comments/gm5rx4/discussion/")</f>
        <v/>
      </c>
      <c r="G1200" t="inlineStr">
        <is>
          <t>2020-05-18 10:21:47</t>
        </is>
      </c>
      <c r="H1200" t="inlineStr">
        <is>
          <t>Tested Positive - Family</t>
        </is>
      </c>
    </row>
    <row r="1201">
      <c r="A1201" t="inlineStr">
        <is>
          <t>gm677z</t>
        </is>
      </c>
      <c r="B1201" t="inlineStr">
        <is>
          <t>Feel like my partial loss of smell/taste may be permanent. Giving me anxiety</t>
        </is>
      </c>
      <c r="C1201" t="inlineStr">
        <is>
          <t>As the title says, I lost it 6 weeks ago completely about 5 days after getting sick. Came back after about a week and has since slowly improved, but I feel like I've plateud recently. I can smell most things up close, but still have trouble distinguishing smells in the air. Taste for the most part is back but some foods still taste a bit on the dull side. I know I need to chill out and give it time but sometimes it drives me insane lol. Anyone else? At this point I've tested negative twice and I'm back to working. Only symptom is a light cough from time to time and partial loss of smell/taste. Otherwise I am back to normal</t>
        </is>
      </c>
      <c r="D1201" t="n">
        <v>1</v>
      </c>
      <c r="E1201" t="n">
        <v>26</v>
      </c>
      <c r="F1201">
        <f>HYPERLINK("https://www.reddit.com/r/COVID19positive/comments/gm677z/feel_like_my_partial_loss_of_smelltaste_may_be/")</f>
        <v/>
      </c>
      <c r="G1201" t="inlineStr">
        <is>
          <t>2020-05-18 10:43:02</t>
        </is>
      </c>
      <c r="H1201" t="inlineStr">
        <is>
          <t>Tested Positive</t>
        </is>
      </c>
    </row>
    <row r="1202">
      <c r="A1202" t="inlineStr">
        <is>
          <t>gm6byq</t>
        </is>
      </c>
      <c r="B1202" t="inlineStr">
        <is>
          <t>Possibly got infected with Rona. :c any tips for management at home?</t>
        </is>
      </c>
      <c r="C1202" t="inlineStr">
        <is>
          <t>28/m - mild asthma 
Ive slowly started feeling shitty over the past 3 days. It started with just a sore nostral. I assumed it was a sinus infection because it was just one nostral super irritated at the time. The second day i felt both of my nostrals stock up and now day 3, im pushing a 100.4 fever. Chest feels okay for the most part. No immense difficulty breathing. Keeping my inhaler close by. Slight cough, usually only happens if im trying to cough stuff up or while trying to rest. Body aches a bit from fever. No loss of appetite or massive fatigue. Been taking tylenol past 2 days for fever symps. Doc says its probably Rona but wont kno for sure since i havent gone to get tested just yet. Kinda scared. :c doc said to quarantine at home.  can i expect to get worse or do you think Doc is wrong and its possibly sinus infection and itll blow over. Either way, i just want to recover. :/ i have health anxiety and already feel like im gonna die. I have my first baby otw and I dont wanna drop dead from this before shes here. 😭</t>
        </is>
      </c>
      <c r="D1202" t="n">
        <v>1</v>
      </c>
      <c r="E1202" t="n">
        <v>6</v>
      </c>
      <c r="F1202">
        <f>HYPERLINK("https://www.reddit.com/r/COVID19positive/comments/gm6byq/possibly_got_infected_with_rona_c_any_tips_for/")</f>
        <v/>
      </c>
      <c r="G1202" t="inlineStr">
        <is>
          <t>2020-05-18 10:49:44</t>
        </is>
      </c>
      <c r="H1202" t="inlineStr">
        <is>
          <t>Presumed Positive - From Doctor</t>
        </is>
      </c>
    </row>
    <row r="1203">
      <c r="A1203" t="inlineStr">
        <is>
          <t>gm7vcq</t>
        </is>
      </c>
      <c r="B1203" t="inlineStr">
        <is>
          <t>Remedies for GI issues?</t>
        </is>
      </c>
      <c r="C1203" t="inlineStr">
        <is>
          <t>I’ve been struggling with GI issues since March 27th which I now believe is due to C19. (I tested positive about week and a half ago) 
Does anyone have any suggested remedies to improve the GI symptoms? I never thought a firm stool would be on my list of “wants” but after near two months of discomfort I’m ready for a normal bowel movement.
I feel like I’m at the tail-end if my battle with C19 so any suggestions to ease my discomfort while I head towards a potential finish line would be great!
Thanks, heal up, stay safe!</t>
        </is>
      </c>
      <c r="D1203" t="n">
        <v>1</v>
      </c>
      <c r="E1203" t="n">
        <v>12</v>
      </c>
      <c r="F1203">
        <f>HYPERLINK("https://www.reddit.com/r/COVID19positive/comments/gm7vcq/remedies_for_gi_issues/")</f>
        <v/>
      </c>
      <c r="G1203" t="inlineStr">
        <is>
          <t>2020-05-18 12:07:08</t>
        </is>
      </c>
      <c r="H1203" t="inlineStr">
        <is>
          <t>Tested Positive</t>
        </is>
      </c>
    </row>
    <row r="1204">
      <c r="A1204" t="inlineStr">
        <is>
          <t>gm8xec</t>
        </is>
      </c>
      <c r="B1204" t="inlineStr">
        <is>
          <t>Hemoglobin and Covid connection?</t>
        </is>
      </c>
      <c r="C1204" t="inlineStr">
        <is>
          <t>My husband tested positive 7 weeks ago and again 4 weeks ago.  He'll go for another retest tomorrow.  He sometimes has a week of low grade fevers which then stop.  He has horrible headaches, tinnitus, bad appetite,  extreme fatigue and weakness almost all the time.  The cough has gotten very bad again.  The last few weeks have shown that his hemoglobin keepsb decreasing which the doc feels accounts for his extreme weakness.  More tests being done this week. They are trying to narrow down the cause of the hemoglobin issue.  It never stops with this virus.   Has anyone else experienced this?</t>
        </is>
      </c>
      <c r="D1204" t="n">
        <v>1</v>
      </c>
      <c r="E1204" t="n">
        <v>15</v>
      </c>
      <c r="F1204">
        <f>HYPERLINK("https://www.reddit.com/r/COVID19positive/comments/gm8xec/hemoglobin_and_covid_connection/")</f>
        <v/>
      </c>
      <c r="G1204" t="inlineStr">
        <is>
          <t>2020-05-18 13:01:08</t>
        </is>
      </c>
      <c r="H1204" t="inlineStr">
        <is>
          <t>Tested Positive - Family</t>
        </is>
      </c>
    </row>
    <row r="1205">
      <c r="A1205" t="inlineStr">
        <is>
          <t>gm924f</t>
        </is>
      </c>
      <c r="B1205" t="inlineStr">
        <is>
          <t>Asymptomatic positive. Im scared.</t>
        </is>
      </c>
      <c r="C1205" t="inlineStr">
        <is>
          <t>Hi
I come to tell my story. I am from Spain. I have 25. On 07/05 at work they sent me to do the blood tests for COVID19. Apparently I have antibodies, so I have overcome the disease. Here come my problems.
I have been asymptomatic. I had the flu in February. Mild, it was 2 days without going to work, no respiratory problems, no pneumonia. The doctors have told me that surely I have been infected in April.
my parents are between 50 and 60. no symptoms. 
I have not left home in 2 months. I live with my parents and I blame that they have infected me, they have not taken the pandemic seriously.
I am a hypochondriac. I have been going to the psychologist for 2 years. Now I am afraid of having sequels from the disease
My doctor tells me that he is unlikely to develop sequelae, being asymptomatic. My body has reacted well and I have not had an excessive inflammatory response, but I live in fear. anxiety, literally, is killing me.
Right now I am fine but I live with the fear that in a couple of months or years they will say that the covid19 has greater mortality for whatever reason.</t>
        </is>
      </c>
      <c r="D1205" t="n">
        <v>1</v>
      </c>
      <c r="E1205" t="n">
        <v>10</v>
      </c>
      <c r="F1205">
        <f>HYPERLINK("https://www.reddit.com/r/COVID19positive/comments/gm924f/asymptomatic_positive_im_scared/")</f>
        <v/>
      </c>
      <c r="G1205" t="inlineStr">
        <is>
          <t>2020-05-18 13:07:33</t>
        </is>
      </c>
      <c r="H1205" t="inlineStr">
        <is>
          <t>Tested Positive - Me</t>
        </is>
      </c>
    </row>
    <row r="1206">
      <c r="A1206" t="inlineStr">
        <is>
          <t>gmadax</t>
        </is>
      </c>
      <c r="B1206" t="inlineStr">
        <is>
          <t>Cuomo lied about the test</t>
        </is>
      </c>
      <c r="C1206" t="inlineStr">
        <is>
          <t>I tested positive, yesterday I took the test. But for some fucking reason unlike Gov. Cuomo said, it hurt like hell. It felt like the thing touched my damn brain. Now why the hell would he lie in the first place though? What political gain does he get from lying about this?</t>
        </is>
      </c>
      <c r="D1206" t="n">
        <v>1</v>
      </c>
      <c r="E1206" t="n">
        <v>4</v>
      </c>
      <c r="F1206">
        <f>HYPERLINK("https://www.reddit.com/r/COVID19positive/comments/gmadax/cuomo_lied_about_the_test/")</f>
        <v/>
      </c>
      <c r="G1206" t="inlineStr">
        <is>
          <t>2020-05-18 14:13:04</t>
        </is>
      </c>
      <c r="H1206" t="inlineStr">
        <is>
          <t>Tested Positive</t>
        </is>
      </c>
    </row>
    <row r="1207">
      <c r="A1207" t="inlineStr">
        <is>
          <t>gmd838</t>
        </is>
      </c>
      <c r="B1207" t="inlineStr">
        <is>
          <t>Change of pace for you guys. Day 7 and I’m GOOD.</t>
        </is>
      </c>
      <c r="C1207" t="inlineStr">
        <is>
          <t>got some symptoms (which i didn’t know were  Covid) on the 10th. I was positive the 13th and had a LONG week. 
I’m happy to say I feel completely normal today! I’m a bit tired, which I expected. 
My body needs to heal, but not everyone is sick for months. I went from full force symptoms to none in a week. It’s possible. I say this for new people to this sub expecting the worst. It’s not always bad.</t>
        </is>
      </c>
      <c r="D1207" t="n">
        <v>1</v>
      </c>
      <c r="E1207" t="n">
        <v>48</v>
      </c>
      <c r="F1207">
        <f>HYPERLINK("https://www.reddit.com/r/COVID19positive/comments/gmd838/change_of_pace_for_you_guys_day_7_and_im_good/")</f>
        <v/>
      </c>
      <c r="G1207" t="inlineStr">
        <is>
          <t>2020-05-18 16:46:38</t>
        </is>
      </c>
      <c r="H1207" t="inlineStr">
        <is>
          <t>Tested Positive - Me</t>
        </is>
      </c>
    </row>
    <row r="1208">
      <c r="A1208" t="inlineStr">
        <is>
          <t>gmdmyb</t>
        </is>
      </c>
      <c r="B1208" t="inlineStr">
        <is>
          <t>Question for long term sufferers who have periods - do your symptoms worsen around the time of your PMS?</t>
        </is>
      </c>
      <c r="C1208" t="inlineStr">
        <is>
          <t>Probably TMI but I just realised this - the past 4 or 5 days my symptoms worsened quite a lot after a few weeks of being pretty mild and making me think I'm finally recovered. Then I got my period. Bingo - I can take a full breath again! I've kept a symptom diary so I have a brief symptom description for every day in the past two months or so and I just went back and cross-checked with my period log. Exactly the same happened last month, the symptoms drastically worsened in the lead up to period, and eased as soon as I got it.  It may be a coincidence but it happened literally minutes away from each other, also last month period was a bit late, and this month a bit early, and it usually is regular to the exact day every single time, so definitely there are some deviations from the norm. I normally don't suffer from any other PMS symptoms at all 99% of the time so it makes it even weirder. Anyone has a similar experience?</t>
        </is>
      </c>
      <c r="D1208" t="n">
        <v>1</v>
      </c>
      <c r="E1208" t="n">
        <v>34</v>
      </c>
      <c r="F1208">
        <f>HYPERLINK("https://www.reddit.com/r/COVID19positive/comments/gmdmyb/question_for_long_term_sufferers_who_have_periods/")</f>
        <v/>
      </c>
      <c r="G1208" t="inlineStr">
        <is>
          <t>2020-05-18 17:10:12</t>
        </is>
      </c>
      <c r="H1208" t="inlineStr">
        <is>
          <t>Presumed Positive - From Doctor</t>
        </is>
      </c>
    </row>
    <row r="1209">
      <c r="A1209" t="inlineStr">
        <is>
          <t>gmdv2p</t>
        </is>
      </c>
      <c r="B1209" t="inlineStr">
        <is>
          <t>Anyone taking Unicom or Doxylamine Succinate for Insomnia or Sleeping</t>
        </is>
      </c>
      <c r="C1209" t="inlineStr">
        <is>
          <t>Tried melatonin but not much luck. Unisom helped some but want to see if anyone’s taking that or any reason not to</t>
        </is>
      </c>
      <c r="D1209" t="n">
        <v>1</v>
      </c>
      <c r="E1209" t="n">
        <v>5</v>
      </c>
      <c r="F1209">
        <f>HYPERLINK("https://www.reddit.com/r/COVID19positive/comments/gmdv2p/anyone_taking_unicom_or_doxylamine_succinate_for/")</f>
        <v/>
      </c>
      <c r="G1209" t="inlineStr">
        <is>
          <t>2020-05-18 17:23:14</t>
        </is>
      </c>
      <c r="H1209" t="inlineStr">
        <is>
          <t>Presumed Positive - From Doctor</t>
        </is>
      </c>
    </row>
    <row r="1210">
      <c r="A1210" t="inlineStr">
        <is>
          <t>gmebn8</t>
        </is>
      </c>
      <c r="B1210" t="inlineStr">
        <is>
          <t>Still experiencing recurring lung rattling</t>
        </is>
      </c>
      <c r="C1210" t="inlineStr">
        <is>
          <t>First a brief timeline, if you don't care about this just skip to the 2nd paragraph. I'm a M, 33. I remember getting really sick March 30th with a 100 degree fever, but 1-2 weeks prior around March 20th  I also had a very slight fever and sore throat, and had started experiencing lung rattling and occasional discomfort as well.  I was a regular smoker and vaper and it made me promptly quit everything almost immediately. Now back to March 30th, it was way worse I got a fever in the middle of the night and a headache that felt like somebody had split an axe down the middle of my forehead. Fever persisted for about 3-4 days, getting progressively lighter as the days went by, also worth mentioning I would get sicker at night. Anyway shortly thereafter I started getting the lung rattling again, way worse this time with raspy breathing, it just felt like I had a big clump of crap in my airways that I couldn't clear no matter how much I coughed. Speaking of which I never developed much of a cough except for when I would try to unsuccessfully clear my respiratory passage out by coughing, otherwise I didn't have much of an urge to cough at all. My voice would crack regularly, along with the lung rattling I also had various more more minor (you could say) symptoms like elevated heartbeat, cold/hot sweats, and just general unease/fatigue. 
I wasn't able to take a test until last week since here in NYC they only gave tests for people who were having life threatening symptoms, I finally got the test last week and like many other folks who were sick and then took a test on a later date I came back negative. I did take an antibody test though and that came back "detected" for the antibodies. Didn't tell me what type of antibodies or whatever, just says detected. You need to have &amp;gt;15.0 AU/ml to be detected, my results read 63.1
&amp;amp;#x200B;
Now about this damn lung rattling, it's been the single most obnoxious symptom and it just won't go away. It might fade away for a while, but if I take a deep breath I can feel it at the tail end of the deep breath, lurking in wait, that familiar gurgle. It also get it in various degrees of severity, sometimes it feels light and sometimes it feels heavier, sometimes it's accompanied by some wheezing and light coughing and sometimes it isn't.
&amp;amp;#x200B;
I really haven't read anything about this and was hoping some people could share similar experiences or share ways that they discovered to reduce or get rid of it. I really don't know what's going on with this virus, I seem to read a lot of misinformation out there and everybody has a different story. I never get sick and I'm used to working outside in the cold for extended periods of time, but now at the slightest provocation of cold air my lungs act up right away. It does seem to be getting ever so slightly better but whenever I think that it goes back to the way it was before.
&amp;amp;#x200B;
&amp;amp;#x200B;
tl;dr, got the virus roughly 2 months ago I believe, recently got tested for both antibodies and swab test. Swab came back negative, antibodies were detected. Was sick for a few days but have had lung rattling for almost 2 months now with not much sign of going away but maybe there is some slight improvement.</t>
        </is>
      </c>
      <c r="D1210" t="n">
        <v>1</v>
      </c>
      <c r="E1210" t="n">
        <v>15</v>
      </c>
      <c r="F1210">
        <f>HYPERLINK("https://www.reddit.com/r/COVID19positive/comments/gmebn8/still_experiencing_recurring_lung_rattling/")</f>
        <v/>
      </c>
      <c r="G1210" t="inlineStr">
        <is>
          <t>2020-05-18 17:51:15</t>
        </is>
      </c>
      <c r="H1210" t="inlineStr">
        <is>
          <t>Tested Positive - Me</t>
        </is>
      </c>
    </row>
    <row r="1211">
      <c r="A1211" t="inlineStr">
        <is>
          <t>gmfo64</t>
        </is>
      </c>
      <c r="B1211" t="inlineStr">
        <is>
          <t>Week 9 and fever returned!!</t>
        </is>
      </c>
      <c r="C1211" t="inlineStr">
        <is>
          <t>I’ve been mostly recovered for several weeks with a residual daily headache and horrible fatigue....but relatively better.  The daily fever left me week 5.  Now...out of nowhere I get a 100.2 fever along with today’s headache.  I’m sooooo discouraged.  Fever!?!  I was doing so well.    Anyone else get a fever this late in the game?</t>
        </is>
      </c>
      <c r="D1211" t="n">
        <v>1</v>
      </c>
      <c r="E1211" t="n">
        <v>40</v>
      </c>
      <c r="F1211">
        <f>HYPERLINK("https://www.reddit.com/r/COVID19positive/comments/gmfo64/week_9_and_fever_returned/")</f>
        <v/>
      </c>
      <c r="G1211" t="inlineStr">
        <is>
          <t>2020-05-18 19:16:16</t>
        </is>
      </c>
      <c r="H1211" t="inlineStr">
        <is>
          <t>Tested Positive - Family</t>
        </is>
      </c>
    </row>
    <row r="1212">
      <c r="A1212" t="inlineStr">
        <is>
          <t>gmhq9s</t>
        </is>
      </c>
      <c r="B1212" t="inlineStr">
        <is>
          <t>Is COVID-19 recovery with antibodies functionally the same as being vaccinated?</t>
        </is>
      </c>
      <c r="C1212" t="inlineStr">
        <is>
          <t>My understanding of vaccines is they imitate the virus to cause the production of antibodies without the corresponding illness. If I have the antibodies for the current form of the virus (2 positive tests for IgG) and a vaccine came out tomorrow, would there be any reason to take it? I ask because it seems like a simple way to rationalize recovery; if you trust a vaccine, you can trust recovery.</t>
        </is>
      </c>
      <c r="D1212" t="n">
        <v>1</v>
      </c>
      <c r="E1212" t="n">
        <v>7</v>
      </c>
      <c r="F1212">
        <f>HYPERLINK("https://www.reddit.com/r/COVID19positive/comments/gmhq9s/is_covid19_recovery_with_antibodies_functionally/")</f>
        <v/>
      </c>
      <c r="G1212" t="inlineStr">
        <is>
          <t>2020-05-18 21:33:10</t>
        </is>
      </c>
      <c r="H1212" t="inlineStr">
        <is>
          <t>Tested Positive - Me</t>
        </is>
      </c>
    </row>
    <row r="1213">
      <c r="A1213" t="inlineStr">
        <is>
          <t>gmhwih</t>
        </is>
      </c>
      <c r="B1213" t="inlineStr">
        <is>
          <t>Does anyone else feel like the little things physically require a lot more effort now?</t>
        </is>
      </c>
      <c r="C1213" t="inlineStr">
        <is>
          <t>I've been clear of COVID for a month now (and tested), but one thing persists from the "twilight" phase of my symptoms, as it were.
Since I've been cleared, things like moving groceries, sometimes getting out of chairs, transferring to and from the car, getting in and out of the bathtub, lifting mildly heavy objects and even bending down/righting myself to load the washer/dryer now feel like they're twice as hard than they usually were.
Especially the groceries part, moving my weekly shop inside leaves me drained and needing 10 minutes plus some water. 
Anyone else feel like this? Did you have any improvement or an end in sight?
Oh, and I would gladly take H1N1 and the ensuing 6 weeks of 100% liquified poop/pissing out my backside again over this. At least swine flu let me skip time by sleeping a lot.</t>
        </is>
      </c>
      <c r="D1213" t="n">
        <v>1</v>
      </c>
      <c r="E1213" t="n">
        <v>2</v>
      </c>
      <c r="F1213">
        <f>HYPERLINK("https://www.reddit.com/r/COVID19positive/comments/gmhwih/does_anyone_else_feel_like_the_little_things/")</f>
        <v/>
      </c>
      <c r="G1213" t="inlineStr">
        <is>
          <t>2020-05-18 21:46:01</t>
        </is>
      </c>
      <c r="H1213" t="inlineStr">
        <is>
          <t>Tested Positive - Me</t>
        </is>
      </c>
    </row>
    <row r="1214">
      <c r="A1214" t="inlineStr">
        <is>
          <t>gmhycu</t>
        </is>
      </c>
      <c r="B1214" t="inlineStr">
        <is>
          <t>Does anyone else feel like the little things require a lot more effort post-C19?</t>
        </is>
      </c>
      <c r="C1214" t="inlineStr">
        <is>
          <t>I've been clear of COVID for a month now (and tested), but one thing persists from the "twilight" phase of my symptoms, as it were.
Since I've been cleared, things like moving groceries, sometimes getting out of chairs, transferring to and from the car, getting in and out of the bathtub, lifting mildly heavy objects and even bending down/righting myself to load the washer/dryer now feel like they're twice as hard than they usually were.
Especially the groceries part, moving my weekly shop inside leaves me drained and needing 10 minutes plus some water.
Anyone else feel like this? Did you have any improvement or an end in sight?
Oh, and I would gladly take H1N1 and the ensuing 6 weeks of 100% liquified poop/pissing out my backside again over another COVID case. At least swine flu let me skip time by sleeping a lot.</t>
        </is>
      </c>
      <c r="D1214" t="n">
        <v>1</v>
      </c>
      <c r="E1214" t="n">
        <v>9</v>
      </c>
      <c r="F1214">
        <f>HYPERLINK("https://www.reddit.com/r/COVID19positive/comments/gmhycu/does_anyone_else_feel_like_the_little_things/")</f>
        <v/>
      </c>
      <c r="G1214" t="inlineStr">
        <is>
          <t>2020-05-18 21:49:48</t>
        </is>
      </c>
      <c r="H1214" t="inlineStr">
        <is>
          <t>Tested Positive - Me</t>
        </is>
      </c>
    </row>
    <row r="1215">
      <c r="A1215" t="inlineStr">
        <is>
          <t>gmke8o</t>
        </is>
      </c>
      <c r="B1215" t="inlineStr">
        <is>
          <t>ADVICE TO THOSE WITH COVID!! (I recovered)</t>
        </is>
      </c>
      <c r="C1215" t="inlineStr">
        <is>
          <t>The first list is a quick list of advice I want to give. Further down, I have the written a second most with an explanation of my experience, and why I gave each piece of advice listed. The numbers between the two lists correspond, so it is easy to navigate and see my reasoning for each item:
Quick about me:
I had covid, and did not leave my bedroom for 39 days (March 25-May 3). My dad, brother, and sister also had Covid. Here is what I noticed helped me get better, and what made me feel worse. A lot of my experiences are consistent with the experiences of my dad and siblings, and other friends/classmates of mine that have been sick. 
Quick words of encouragement:
The first week after leaving my room I was still feeling tired from being sick for so long. I am now back to normal, and I am even exercising again! I know having Covid can be terrifying, but focus on recovering, and try not to stress too much. I was very worried there would be permanent long term damage, and after 39 days of being sick, and a week of feeling a little tired post recovery, I am now back to normal! 
QUICK LIST:
1. DO NOT exercise until you have been symptom and fever free for at least 1 full week
2. Drink water
3. Get lots of sleep
4. Eat a healthy balanced diet! (Vegetables, fruit, protein, carbs, fiber)
5. Avoid caffeine
6. Drink hot (caffeine free) tea
7. Do not lie in bed in the same position all day. Switch between laying on your back, stomach, both sides, and sitting up if you can sit up. 
8. Zinc lozenges 
9. Do not push yourself - I.e. if standing to shower makes you tired, skip showers, and take short ones when you do take them. 
10. Do not neglect oral hygiene - keep floss and a mirror by your bed if you can’t walk all the way to the bathroom or stand up long enough to do it
11. Under the guidance of your doctor, consider taking certain over the counter vitamins - around week 3 of being sick I started taking: vitamin D, omega 3, elderberry immune supplement, and vitamin c
12. Stay in tune with your body, and mention any significant changes in your symptoms to your doctor. Maybe occasionally check your heart rate, and your oxygen levels, if you have a pulse oximeter at home. Also take your temperature daily. Stay in close communication with your doctor, and if you want a second opinion on something, do telemedicine/zoom doctor appoints, or an urgent care appointment, with another doctor aside from yours.
13. Do not get stressed over Covid, and panic reading this thread or watching the news. Your body will recover better, and faster, if you stay calm. I tried to read about covid advice and new treatments only once every 3 days. That is frequent enough to keep you informed on new advice, and research developments, but it gives you enough of a break between Covid reading days to just try and not think or panic too much about it. 
LIST WITH FURTHER EXPLANATIONS:
1. Every time I tried to “exercise” when I started to feel better, I ended up making myself much worse and getting sicker again. DO NOT exercise until you are symptom and fever free for over a week! I did some reading on this, and many other people have had similar experiencing (including my dad and two siblings who also had covid).
2. Drink lots of water! I know it can be hard when you’re constantly tired and have no appetite whatsoever, and suddenly drinking water feels like an unappetizing, and energetically draining, task, but please please please work past that and drink lots of water any way!!! The fever is very dehydrating, and I was sweating and shivering a lot, which probably made the dehydration worse. Whenever I made a concerted effort to drink water on a consistent basis, I noticed some minor improvements. This will help speed up your recovery, and minimize damage to your body. 
3. Get as much sleep as possible!! When you’re sick, your body needs rest. And covid was particularly exhausting. Rest up!
4. Eat healthy! I found eating very exhausting, and didn’t really have the energy to do all the chewing required to eat vegetables, so my mom just threw a bunch of vegetables in a blender with coconut water, and I drank a vegetable smoothie every day. In addition to vegetables, I tried to incorporate lots of protein, fiber, and carbs into my diet. 
5. Avoid Caffeine! I was trying to keep up with my school work while I was sick, so I drank some coffee to see if that would give me the energy I needed, and kick my headache. The coffee made me feel so much worse, and my fever spiked around 2 hours after drinking it.
6. drink lots of (caffeine free) tea.  My lungs were pretty clogged up, and apparently this stops the mucus from hardening/settling in your lungs. I don’t know how accurate that is, but tea can’t hurt, so I drank it just Incase it helped.
7. When you’re in bed all day, change positions so the mucus doesn’t settle and harden in one spot in your lungs. Switch between laying on your back, laying on each side, laying on your stomach, and even sitting or propping yourself up if you can tolerate not laying down. 
8. I had a really bad cough, so I got zinc cold ease (zinc sucking candy). I don’t know how much of a different that makes, but my parents read zinc was good for covid so I had some of those. 
9. When you shower, if you’re really sick, make it brief!! I noticed when I stood for too long in the shower, my fever would spike again later that day and I would feel much worse. I think I was too sick to handle that level of exertion - so basically - do not push your body to do things when it’s tired!
10. Remember oral hygiene!! I was so exhausted and walking to the bathroom, and standing up, made me so out of breath, that I neglected brushing my teeth. I ended up getting two cavities so to prevent it from getting worse I started to keep floss, and a portable mirror, by my bed. This way I could floss to avoid cavities from bed, without having to get up, walk all the way to the bathroom, and stand the entire time I’m flossing. I tried to floss every 2 days at least, and brush at least every other day. Obviously brushing 2x everyday, and flossing 2x everyday, is ideal if you can physically tolerate walking to the bathroom and standing up for that long. 
11. I’m not sure if this made a difference or not, but I started taking the following gummy vitamins in my last week or two of being sick - and I honestly think one or more of them may have helped vitamin D, omega 3, elderberry immune supplement, and vitamin c. Consult with your doctor regarding how much you should take. I didn’t take the full dose of any of these gummies. Most bottles say to take 2 or 3 gummies and I always took just 1. If you’re eating a balanced diet, you should be getting a lot of these nutrients through your food - and you don’t want to end up getting too much of any of these. 
12. Be in tune with your body, and talk to your doctor often. Monitor your temperature, and heart rate (with an oximeter, or just find your pulse, and count how many pulses you get in 60 seconds), and monitor your oxygen levels if you have an oximeter. Covid effected my heart, so it is good to monitor your heart rate so if it spikes to crazy numbers, your doctor is aware. It is good to track your temperature so you can monitor your recovery. My oxygen levels also got a little low. It was important to monitor this, and keep my doctor informed on my oxygen levels. 
13. I understand the struggle of wanting to balance remaining informed, but not knowing every scary detail. You want to read about it so you can take care of yourself if new research suggesting certain things arises, but you do not want to read all of these scary posts that come up and make you worry. It is a tricky balancing act. I tried not to come on here (reddit) more than once every three days when I had it. I initially spent a lot of time on here, but it was making me scared, and anxiety is not good for recovery. So I found a nice balance between staying informed, while not allowing this to make me panic and worry every day, was to check and look for advice and new research every 3 days.</t>
        </is>
      </c>
      <c r="D1215" t="n">
        <v>1</v>
      </c>
      <c r="E1215" t="n">
        <v>40</v>
      </c>
      <c r="F1215">
        <f>HYPERLINK("https://www.reddit.com/r/COVID19positive/comments/gmke8o/advice_to_those_with_covid_i_recovered/")</f>
        <v/>
      </c>
      <c r="G1215" t="inlineStr">
        <is>
          <t>2020-05-19 01:09:23</t>
        </is>
      </c>
      <c r="H1215" t="inlineStr">
        <is>
          <t>Tested Positive - Me</t>
        </is>
      </c>
    </row>
    <row r="1216">
      <c r="A1216" t="inlineStr">
        <is>
          <t>gmkyx7</t>
        </is>
      </c>
      <c r="B1216" t="inlineStr">
        <is>
          <t>meaning of asymptomatic</t>
        </is>
      </c>
      <c r="C1216" t="inlineStr">
        <is>
          <t>apparently I'm asymptomatic
&amp;amp;#x200B;
Asymptomatic means that you have symptoms such as pneumonia but do not manifest problems such as shortness of breath. Or asymptomatic means the ABSENCE of symptoms, neither inflammation nor pneumonia? Just a little cough and little more ...
&amp;amp;#x200B;
I'm looking for information online but can't find anything.</t>
        </is>
      </c>
      <c r="D1216" t="n">
        <v>1</v>
      </c>
      <c r="E1216" t="n">
        <v>10</v>
      </c>
      <c r="F1216">
        <f>HYPERLINK("https://www.reddit.com/r/COVID19positive/comments/gmkyx7/meaning_of_asymptomatic/")</f>
        <v/>
      </c>
      <c r="G1216" t="inlineStr">
        <is>
          <t>2020-05-19 01:59:58</t>
        </is>
      </c>
      <c r="H1216" t="inlineStr">
        <is>
          <t>Tested Positive - Me</t>
        </is>
      </c>
    </row>
    <row r="1217">
      <c r="A1217" t="inlineStr">
        <is>
          <t>gmnhmk</t>
        </is>
      </c>
      <c r="B1217" t="inlineStr">
        <is>
          <t>Negative Antibody Results, but Symptomatic</t>
        </is>
      </c>
      <c r="C1217" t="inlineStr">
        <is>
          <t>I’m on Day 51 of symptoms (shortness of breath, daily low grade fever, nausea, fatigue, chest pain / pressure, you name it). Im 32, NYC, otherwise healthy.
Was tested on weeks 4, 5 and 7 for covid and all came back negative. Got chest x rays, ekg, d-dimer, urinalysis twice and everything looked good.
Yet symptoms persist into week 8. And I just got negative antibody test results — making my doctor think it’s something else.
I know there’s other viral infections out there, but this seems highly unlikely to me given how similar my symptoms are to what’s being reported (especially consistent low grade fever).
Anyone else in the same boat? Curious what medical tests you’ve done and what advice you’ve been given?</t>
        </is>
      </c>
      <c r="D1217" t="n">
        <v>1</v>
      </c>
      <c r="E1217" t="n">
        <v>29</v>
      </c>
      <c r="F1217">
        <f>HYPERLINK("https://www.reddit.com/r/COVID19positive/comments/gmnhmk/negative_antibody_results_but_symptomatic/")</f>
        <v/>
      </c>
      <c r="G1217" t="inlineStr">
        <is>
          <t>2020-05-19 05:21:35</t>
        </is>
      </c>
      <c r="H1217" t="inlineStr">
        <is>
          <t>Presumed Positive - From Doctor</t>
        </is>
      </c>
    </row>
    <row r="1218">
      <c r="A1218" t="inlineStr">
        <is>
          <t>gmo794</t>
        </is>
      </c>
      <c r="B1218" t="inlineStr">
        <is>
          <t>Worried about my mother who is in the hospital. She tested false negative twice but I have my doubts because a doctor thinks I may have had COVID-19</t>
        </is>
      </c>
      <c r="C1218" t="inlineStr">
        <is>
          <t>Before I discuss my mother, I'd like to write about myself. About a month ago, I came down with a really bad stomach ache and headache. I though it was strange and felt like my heart was beating a little too hard at times with some occasional chest pain. Eventually, I had body aches through out my body, had diarrhea but no fever or cough. My tongue's taste begins to feel enhanced as if I can taste things I shouldn't taste. Eventually, most of the body aches have gone away. My heart issues begin to subside. I do feel warm at times along with occasional stomach rumbling and I wanted to go to a doctor but I had no insurance to figure out what was wrong at the moment. A few days, I found a good place to go to without insurance. I talked to a doctor through Telemed and told her my symptoms. She said I probably had COVID-19 from the symptoms she was listening to from me. She wants me to go get an antibody test and I've been trying to get a test from a hospital but they want more information from my doctor for some reason after having a doctor's order. I feel pretty much okay now but my mother is in the hospital now.
A few days ago, my mother came down with a really sharp stomach pain, a fever and nausea. I took care of her for a day and ended up taking her to the hospital. It ended up being an appendicitis. She took COVID 19 tests (a rapid test that takes 45 minutes and the regular nasal test) and she tested negative. They proceeded with the surgery and they were able to remove the appendix. She had a lot of stomach pain after the surgery because her appendix has ruptured but I suppose that's normal when it bursts. A few days later she started developing a cough. This is worrisome because about two months ago, she developed pneumonia and she is coughing up mucus now. I'm worried that she has two false negatives tests. I mean, what's the likely hood of her catching COVID-19 after being in the same house as me for 3-4 weeks right?  I just don't know if this is it. Looking at the symptoms I found in this subreddit, I'm really scared.....</t>
        </is>
      </c>
      <c r="D1218" t="n">
        <v>1</v>
      </c>
      <c r="E1218" t="n">
        <v>4</v>
      </c>
      <c r="F1218">
        <f>HYPERLINK("https://www.reddit.com/r/COVID19positive/comments/gmo794/worried_about_my_mother_who_is_in_the_hospital/")</f>
        <v/>
      </c>
      <c r="G1218" t="inlineStr">
        <is>
          <t>2020-05-19 06:06:33</t>
        </is>
      </c>
      <c r="H1218" t="inlineStr">
        <is>
          <t>Presumed Positive - From Doctor</t>
        </is>
      </c>
    </row>
    <row r="1219">
      <c r="A1219" t="inlineStr">
        <is>
          <t>gmotg4</t>
        </is>
      </c>
      <c r="B1219" t="inlineStr">
        <is>
          <t>Who quit nicotine use when symptoms started? What was your progression?</t>
        </is>
      </c>
      <c r="C1219" t="inlineStr">
        <is>
          <t>Presumed positive here with 3 weeks of SOB. Dealing with fatigue now at 8 weeks. I quit using nicotine when I got sick and I'm wondering if this is exacerbating my fatigue. This feels like when I quit smoking the first time but worse.</t>
        </is>
      </c>
      <c r="D1219" t="n">
        <v>1</v>
      </c>
      <c r="E1219" t="n">
        <v>9</v>
      </c>
      <c r="F1219">
        <f>HYPERLINK("https://www.reddit.com/r/COVID19positive/comments/gmotg4/who_quit_nicotine_use_when_symptoms_started_what/")</f>
        <v/>
      </c>
      <c r="G1219" t="inlineStr">
        <is>
          <t>2020-05-19 06:43:56</t>
        </is>
      </c>
      <c r="H1219" t="inlineStr">
        <is>
          <t>Presumed Positive - From Doctor</t>
        </is>
      </c>
    </row>
    <row r="1220">
      <c r="A1220" t="inlineStr">
        <is>
          <t>gmpvbe</t>
        </is>
      </c>
      <c r="B1220" t="inlineStr">
        <is>
          <t>Anyone still getting GI issues / Diarrhea in the 63 day mark?</t>
        </is>
      </c>
      <c r="C1220" t="inlineStr">
        <is>
          <t>Day 63 for me still getting stomach cramps, nausea / diarrhea and headaches. Was wondering if anyone is getting the same?</t>
        </is>
      </c>
      <c r="D1220" t="n">
        <v>2</v>
      </c>
      <c r="E1220" t="n">
        <v>7</v>
      </c>
      <c r="F1220">
        <f>HYPERLINK("https://www.reddit.com/r/COVID19positive/comments/gmpvbe/anyone_still_getting_gi_issues_diarrhea_in_the_63/")</f>
        <v/>
      </c>
      <c r="G1220" t="inlineStr">
        <is>
          <t>2020-05-19 07:42:54</t>
        </is>
      </c>
      <c r="H1220" t="inlineStr">
        <is>
          <t>Presumed Positive - From Doctor</t>
        </is>
      </c>
    </row>
    <row r="1221">
      <c r="A1221" t="inlineStr">
        <is>
          <t>gmrwhx</t>
        </is>
      </c>
      <c r="B1221" t="inlineStr">
        <is>
          <t>Day 7 Question</t>
        </is>
      </c>
      <c r="C1221" t="inlineStr">
        <is>
          <t>My husband and I are on day 6 or 7 of this virus. 
So far, our main symptoms have been fatigue, low grade fever, muscle and back pain, and very mild cough/burning sensation in the chest. My lungs feel better now than they did the first few days. Some GI symptoms as well, but nothing too severe. 
Although I do feel like I snorted chlorinated pool water up my nose... this is annoying. 
Is this the worst it’s going to get or are we kidding ourselves? And aside from waves of exhaustion and slight periods of worsening symptoms, we are thinking we are generally on the mend because we are both feeling better than we have since this started. 
Are we still doomed?</t>
        </is>
      </c>
      <c r="D1221" t="n">
        <v>3</v>
      </c>
      <c r="E1221" t="n">
        <v>22</v>
      </c>
      <c r="F1221">
        <f>HYPERLINK("https://www.reddit.com/r/COVID19positive/comments/gmrwhx/day_7_question/")</f>
        <v/>
      </c>
      <c r="G1221" t="inlineStr">
        <is>
          <t>2020-05-19 09:29:21</t>
        </is>
      </c>
      <c r="H1221" t="inlineStr">
        <is>
          <t>Tested Positive - Family</t>
        </is>
      </c>
    </row>
    <row r="1222">
      <c r="A1222" t="inlineStr">
        <is>
          <t>gmt3ma</t>
        </is>
      </c>
      <c r="B1222" t="inlineStr">
        <is>
          <t>Positive antibody later on?</t>
        </is>
      </c>
      <c r="C1222" t="inlineStr">
        <is>
          <t>Hi there, just wondering how many people out there with a positive Covid test tested negative for IgG antibodies 30+ days in, only to test positive again at a later date(maybe day 50?).
Mine came back neg around day 36, and I’m wondering if I should go get another one since it’s around day 50+ right now since my first symptom.
The antibody test that I did was the Abott antibody test done in CityMD that apparently is pretty accurate compared to the others in the market right now.</t>
        </is>
      </c>
      <c r="D1222" t="n">
        <v>1</v>
      </c>
      <c r="E1222" t="n">
        <v>12</v>
      </c>
      <c r="F1222">
        <f>HYPERLINK("https://www.reddit.com/r/COVID19positive/comments/gmt3ma/positive_antibody_later_on/")</f>
        <v/>
      </c>
      <c r="G1222" t="inlineStr">
        <is>
          <t>2020-05-19 10:30:33</t>
        </is>
      </c>
      <c r="H1222" t="inlineStr">
        <is>
          <t>Tested Positive - Me</t>
        </is>
      </c>
    </row>
    <row r="1223">
      <c r="A1223" t="inlineStr">
        <is>
          <t>gmtkxz</t>
        </is>
      </c>
      <c r="B1223" t="inlineStr">
        <is>
          <t>Finally Have an Answer (25m Antibody Positive)</t>
        </is>
      </c>
      <c r="C1223" t="inlineStr">
        <is>
          <t>Welp it seems that after 8 weeks I finally got some sort of affirmation. For context, I am week 8 with lingering minor SoB and Tachycardia. 
&amp;amp;#x200B;
I have been to my GP I think 5 times in 2 weeks now, have received blood test, urine, chest xray, CT scan, and EKG, all of which said my heart and lungs were in great shape. Also had a holter monitor put on, which is how the tachycardia was discovered, which led my doc to refer me to a cardiologist. Cardiologist was an awesome, very candid man, listened to my worries, looked at all my tests and really took his time. Ended up running a sit stand test for POTS and bingo, we have a diagnosis.
&amp;amp;#x200B;
He told me why he was diagnosing me with POTS (HR jumped 30 upon standing, similarly when walking while BP remained stagnant), what to expect going forward (may get better tomorrow, weeks, months, years, may not get better) and things to do that may help moving forward (hydrate like a mf, don't push myself too hard, but STAY ACTIVE). I'm not pretending like this is the most fantastic news in the world, but he candidly said to me it is not your heart, it is not your lungs, you are not dying. Whether right, partially right, temporarily right, or  wrong, I felt the weight of not knowing fly off my shoulders. I know an uphill battle is ahead of me, but at this point I'm attacking it with confidence not (too much) fear. I hope to wake up in a few days/weeks with everything back to normal, and though that may not be the case I have a strong support system of people who love me and will see me through the ups and downs. I hope you all get some sort of closure with this, though all of this is not based in anxiety, my goodness does it feel a world different now that the anxiety of not knowing is gone. Feel better friends :)</t>
        </is>
      </c>
      <c r="D1223" t="n">
        <v>3</v>
      </c>
      <c r="E1223" t="n">
        <v>17</v>
      </c>
      <c r="F1223">
        <f>HYPERLINK("https://www.reddit.com/r/COVID19positive/comments/gmtkxz/finally_have_an_answer_25m_antibody_positive/")</f>
        <v/>
      </c>
      <c r="G1223" t="inlineStr">
        <is>
          <t>2020-05-19 10:55:21</t>
        </is>
      </c>
      <c r="H1223" t="inlineStr">
        <is>
          <t>Presumed Positive - From Test</t>
        </is>
      </c>
    </row>
    <row r="1224">
      <c r="A1224" t="inlineStr">
        <is>
          <t>gmttid</t>
        </is>
      </c>
      <c r="B1224" t="inlineStr">
        <is>
          <t>Day 19, feeling ok, few remaining weird symptoms...</t>
        </is>
      </c>
      <c r="C1224" t="inlineStr">
        <is>
          <t>Spent 3 hours cleaning today and it made me sweat like a workout! Felt tired after but once I sat down I was good. Anyone else sweat doing everyday tasks?  I wonder how much of this is the virus and how much is literally from doing nothing the last 18 days?
Also, acid and acid reflux anyone? GI symptoms were my worst ones, food still seems like it gets “stuck” on its way down, and I can feel the acid. 
Tachycardia, resting heart rate in the morning is like 65 when I open my eyes. Goes up to 75-80 after a little while being awake, but not yet out of bed. Once im up and around its usually 100-115.</t>
        </is>
      </c>
      <c r="D1224" t="n">
        <v>2</v>
      </c>
      <c r="E1224" t="n">
        <v>21</v>
      </c>
      <c r="F1224">
        <f>HYPERLINK("https://www.reddit.com/r/COVID19positive/comments/gmttid/day_19_feeling_ok_few_remaining_weird_symptoms/")</f>
        <v/>
      </c>
      <c r="G1224" t="inlineStr">
        <is>
          <t>2020-05-19 11:07:38</t>
        </is>
      </c>
      <c r="H1224" t="inlineStr">
        <is>
          <t>Tested Positive - Me</t>
        </is>
      </c>
    </row>
    <row r="1225">
      <c r="A1225" t="inlineStr">
        <is>
          <t>gmu5m0</t>
        </is>
      </c>
      <c r="B1225" t="inlineStr">
        <is>
          <t>Oddly enough, I think COVID enhanced my sense of taste and smell?</t>
        </is>
      </c>
      <c r="C1225" t="inlineStr">
        <is>
          <t>I was someone who pretty much always had a sinus infection or some kind of congestion before COVID. When my symptoms began, I lost nearly all sense of taste and smell and, now that I’m on the mend, it has come back and I can taste and smell way better than I could even before I had COVID :D food is a whole new kind of pleasure now! And my boyfriends breath is suddenly awful now in the mornings since I can smell it 😂 pros and cons, I guess. 
Hang in there everyone, you got this!</t>
        </is>
      </c>
      <c r="D1225" t="n">
        <v>0</v>
      </c>
      <c r="E1225" t="n">
        <v>9</v>
      </c>
      <c r="F1225">
        <f>HYPERLINK("https://www.reddit.com/r/COVID19positive/comments/gmu5m0/oddly_enough_i_think_covid_enhanced_my_sense_of/")</f>
        <v/>
      </c>
      <c r="G1225" t="inlineStr">
        <is>
          <t>2020-05-19 11:24:29</t>
        </is>
      </c>
      <c r="H1225" t="inlineStr">
        <is>
          <t>Presumed Positive - From Doctor</t>
        </is>
      </c>
    </row>
    <row r="1226">
      <c r="A1226" t="inlineStr">
        <is>
          <t>gmuzz9</t>
        </is>
      </c>
      <c r="B1226" t="inlineStr">
        <is>
          <t>Tested positive for antibodies today (21M)</t>
        </is>
      </c>
      <c r="C1226" t="inlineStr">
        <is>
          <t>Hi! I got results from my antibody test today and I'm positive for the Ig-G antibodies. It actually feels a bit relieving after quite some time with weird symptoms and makes me thing it wasn't all just of psychosomatic origin. I'm feeling (mostly) fine now but just sharing how it went for me.
Age: 21
Conditions: Hashimoto's (taking levothyroxine), aortic regurgitation because of congenital valve defect and health anxiety (coming in waves, I was fine for more than a year before this started)
February 1-20 - I was visiting Bangladesh and visited Istanbul and Prague on the way back to London (a lot of airports but I wasn't too worried because at that time it felt like no one was really thinking much about being exposed outside of China and Iran)
Late February - I start getting a bit sick with congested nose but with no cough and though it's from the AC in the plane (this was probably just cold but who knows now?)
March 9 - I'm visiting a big university event in London and around this time it starts feeling a bit weird as the number of cases in Italy is rising quickly and first time I was getting hesitant about going somewhere - still it felt like no one is actually scared. During the evening there's a rumour there are confirmed cases in our school too.
March 10 - We get an email from school saying there are several cases but we shouldn't worry because the specific people who were in class with them were contacted to self-isolate (not me). Still, I bought some masks before all the mass buying started and was wearing it on public transport and on crowded streets.
March 12 - I fly home (Eastern EU). At the airport (not a good time!!) I started noticing first symptoms and felt really hot/cold and started coughing. I thought it's maybe just the dry air at the airport but when I came home in the afternoon I had a slight fever (37.5C/99.5F) and was coughing all the time. It didn't feel painful, just a regular and mild cough – maybe every minute. The symptoms persisted for about 3 days. My joints were hurting and I was nauseous but it wasn't overwhelming and I could still move around the house (felt more like a hangover than a cold). Around this time a lot of my friends who are in the same social circles mention getting sick too.
March 15 - all of the flu-like/hangover symptoms resolve completely and I'm feeling fine. New symptom I realise is that as my appetite returned after the nausea resolved – my sense of taste/smell is diminished. I get this when my nose is very congested but at this time it was already empty which was weird (this was before it started getting talked about in media as one of the symptoms)
Approx. March 28 - I notice a new onset shortness of breath/jump in heart rate which is present when starting an activity suddenly (standing up from a chair, running up the stairs..). It is hard to describe in detail – I wasn't hyperventilating or didn't get tired, it felt like my body didn't get the memo that I started moving and suddenly lacked oxygen for a couple of seconds until it caught up and when I continued the acitvity it went back to normal. I'm thinking maybe I'm deconditioned after going from walking 12-15k steps a day to zero for 2+ weeks.
April 7 - After dinner I suddenly start getting really nervous and fidgety and my face feels really hot. I measure my BP and it's around 140/80 and HR 100. This was surprising because I always had bradycardia (40-55) and low-ish blood pressure and this was the first time I got a high reading. It made me panic (I also have a history of health anxiety and psychosomatic symptoms which doesn't help) and couldn't fall asleep for hours because I had palpitations all the time and was so tensed up. Also around this time I notice my vision feels weird - bit blurry and all artificial lights feel too bright).
April 10 - I measured my BP 2-3 times over the last 2 days and it was still high and I was extremely agitated, sweating, peeing all the time etc. – basically panic attack symptoms but lasting for 3 days. Other symptoms were pain in temples, numb sinuses, red eyes...I measure it again and it's 160/90 so I decided to go to the ER. They run tons of tests, ECG, X-ray but don't find anything particular. The doctor gave me a beta-blocker to take for a week. She thinks it's psychosomatic or of endocrine origin. I get sent to see my endocrinologist to see if my Hashimoto's didn't get into hyperthyroid.
April 12 - I get COVID swab test - NegativeApril 13 - Thyroid tests normal
April 15 - I took the beta-blocker for 5  days and it went back down to normal numbers. I stopped taking it and my BP and HR was mostly fine since then (I measure it twice a day). The panic symptoms are gone but vision is still a bit weird and I have red eyes all the time.
April 20 - complex ophthalmologist exam  – new astigmatism and -0.5 in one eye which wasn't there last year but otherwise he doesn't see any reason for my tired/red/itchy eyes (suggested to see allergologist)
May 10 - seeing ENT for the persisting numbness/pain in sinuses/temples/ears - she could see the nose walls are inflamed - also suggested allergy
May 19 (today) – Got my antibody test results from last week and I'm positive. I'm feeling 95% fine physically, I bike a lot every day and function normally. Lingering symptoms: mild temple/sinus pain/numbness, mild shortness of breath (much better than a month ago), my eyes still feel 'tired'. No idea if this could all be pollen allergy because I haven't seen that doctor yet or if it could still be lingering symptoms from COVID!</t>
        </is>
      </c>
      <c r="D1226" t="n">
        <v>1</v>
      </c>
      <c r="E1226" t="n">
        <v>6</v>
      </c>
      <c r="F1226">
        <f>HYPERLINK("https://www.reddit.com/r/COVID19positive/comments/gmuzz9/tested_positive_for_antibodies_today_21m/")</f>
        <v/>
      </c>
      <c r="G1226" t="inlineStr">
        <is>
          <t>2020-05-19 12:07:27</t>
        </is>
      </c>
      <c r="H1226" t="inlineStr">
        <is>
          <t>Tested Positive - Me</t>
        </is>
      </c>
    </row>
    <row r="1227">
      <c r="A1227" t="inlineStr">
        <is>
          <t>gmvbdj</t>
        </is>
      </c>
      <c r="B1227" t="inlineStr">
        <is>
          <t>31F, day four in the hospital</t>
        </is>
      </c>
      <c r="C1227" t="inlineStr">
        <is>
          <t>I got in the ambulance Saturday afternoon. I'm doing everything I can but I'm not improving much. I'm getting the help I need and am grateful. But I'm scared. I'm trying to put on a brave face for my husband and my daughters but I'm scared. I just pray to the Lord that I don't need the ventilator at some point. My cough is bad enough that I feel like I've done an ab workout.
I just want to see my family again. Give my daughters a hug and give my husband the fattest, wettest kiss. But I'm having a harder time keeping my spirits up.</t>
        </is>
      </c>
      <c r="D1227" t="n">
        <v>1</v>
      </c>
      <c r="E1227" t="n">
        <v>48</v>
      </c>
      <c r="F1227">
        <f>HYPERLINK("https://www.reddit.com/r/COVID19positive/comments/gmvbdj/31f_day_four_in_the_hospital/")</f>
        <v/>
      </c>
      <c r="G1227" t="inlineStr">
        <is>
          <t>2020-05-19 12:23:33</t>
        </is>
      </c>
      <c r="H1227" t="inlineStr">
        <is>
          <t>Tested Positive - Me</t>
        </is>
      </c>
    </row>
    <row r="1228">
      <c r="A1228" t="inlineStr">
        <is>
          <t>gmvjo3</t>
        </is>
      </c>
      <c r="B1228" t="inlineStr">
        <is>
          <t>I (16M) Just Got Tested Positive</t>
        </is>
      </c>
      <c r="C1228" t="inlineStr">
        <is>
          <t>I really thought I didnt have the corona. Started 5 days ago with a headache and fever. After 2 days it was just nothing but a throat itch. We went to get me checked up yesterday and today when the result came i felt like i got hit with a truck. What do I do?</t>
        </is>
      </c>
      <c r="D1228" t="n">
        <v>1</v>
      </c>
      <c r="E1228" t="n">
        <v>5</v>
      </c>
      <c r="F1228">
        <f>HYPERLINK("https://www.reddit.com/r/COVID19positive/comments/gmvjo3/i_16m_just_got_tested_positive/")</f>
        <v/>
      </c>
      <c r="G1228" t="inlineStr">
        <is>
          <t>2020-05-19 12:35:06</t>
        </is>
      </c>
      <c r="H1228" t="inlineStr">
        <is>
          <t>Presumed Positive - From Test</t>
        </is>
      </c>
    </row>
    <row r="1229">
      <c r="A1229" t="inlineStr">
        <is>
          <t>gmvkx2</t>
        </is>
      </c>
      <c r="B1229" t="inlineStr">
        <is>
          <t>Has anyone had their neurological symptoms improve or resolve?</t>
        </is>
      </c>
      <c r="C1229" t="inlineStr">
        <is>
          <t>Day 67 currently. I have had several neurological things going on. Some have improved and others seem to be just popping up. 
Resolved:
The first week, memory was bad (don’t know if this was just a cause of fatigue and fogginess)
Some numbness
Slight hand mobility 
Current: 
Tinnitus 
Vision sensitivity
Sentences seem to not flow as well
Wondering what’s improved or resolved for you and in your recovery?</t>
        </is>
      </c>
      <c r="D1229" t="n">
        <v>1</v>
      </c>
      <c r="E1229" t="n">
        <v>26</v>
      </c>
      <c r="F1229">
        <f>HYPERLINK("https://www.reddit.com/r/COVID19positive/comments/gmvkx2/has_anyone_had_their_neurological_symptoms/")</f>
        <v/>
      </c>
      <c r="G1229" t="inlineStr">
        <is>
          <t>2020-05-19 12:36:51</t>
        </is>
      </c>
      <c r="H1229" t="inlineStr">
        <is>
          <t>Presumed Positive - From Doctor</t>
        </is>
      </c>
    </row>
    <row r="1230">
      <c r="A1230" t="inlineStr">
        <is>
          <t>gmw4m4</t>
        </is>
      </c>
      <c r="B1230" t="inlineStr">
        <is>
          <t>Potassium and phosphate deficiency due to Covid-19?</t>
        </is>
      </c>
      <c r="C1230" t="inlineStr">
        <is>
          <t>Hey there, was sick with Covid-19 mid March. Acute symptoms lasted for about two weeks. Since then I have been feeling very tired. My symptoms mid March were entirely neurological. One of them: the most painful muscle spasms. Today I had a circulatory collapse and needed to go to the hospital. They checked my vitals: expected hypotension, expected tachykardia but breathing rate and oxygen saturation normal. They also did a complete blood count which was fine except: low level of potassium, very low level of phosphate. Could this be due to Covid-19? Is there any connection?</t>
        </is>
      </c>
      <c r="D1230" t="n">
        <v>2</v>
      </c>
      <c r="E1230" t="n">
        <v>16</v>
      </c>
      <c r="F1230">
        <f>HYPERLINK("https://www.reddit.com/r/COVID19positive/comments/gmw4m4/potassium_and_phosphate_deficiency_due_to_covid19/")</f>
        <v/>
      </c>
      <c r="G1230" t="inlineStr">
        <is>
          <t>2020-05-19 13:05:09</t>
        </is>
      </c>
      <c r="H1230" t="inlineStr">
        <is>
          <t>Tested Positive - Me</t>
        </is>
      </c>
    </row>
    <row r="1231">
      <c r="A1231" t="inlineStr">
        <is>
          <t>gmxwmu</t>
        </is>
      </c>
      <c r="B1231" t="inlineStr">
        <is>
          <t>Late stage loss of appetite</t>
        </is>
      </c>
      <c r="C1231" t="inlineStr">
        <is>
          <t>This whole thing started with diarrhea, after which I was in bed with a fever so I didn't eat for a few days, but it's not accurate to say I experienced loss of appetite at that stage - as soon as I was a bit better I started eating and drinking and working on regaining my strength, and I definitely felt hunger after those first feverish days.
Fast forward to around day 43 - I had diarrhea again and have since lost my appetite, it's been a couple of days. I cook food for my family but have no interest in eating it myself. I had an ice pop for dinner. 
My smell and taste have partially returned so it's not that.
Has anyone else experienced this?</t>
        </is>
      </c>
      <c r="D1231" t="n">
        <v>1</v>
      </c>
      <c r="E1231" t="n">
        <v>16</v>
      </c>
      <c r="F1231">
        <f>HYPERLINK("https://www.reddit.com/r/COVID19positive/comments/gmxwmu/late_stage_loss_of_appetite/")</f>
        <v/>
      </c>
      <c r="G1231" t="inlineStr">
        <is>
          <t>2020-05-19 14:38:51</t>
        </is>
      </c>
      <c r="H1231" t="inlineStr">
        <is>
          <t>Tested Positive - Me</t>
        </is>
      </c>
    </row>
    <row r="1232">
      <c r="A1232" t="inlineStr">
        <is>
          <t>gmya08</t>
        </is>
      </c>
      <c r="B1232" t="inlineStr">
        <is>
          <t>Mild symptoms for two months. Doctor suspects Covid-19.</t>
        </is>
      </c>
      <c r="C1232" t="inlineStr">
        <is>
          <t>I started getting bronchial chest pains a few days after attending a big event in London in early March. The very first thing I noticed was that my tinnitus got much worse and I lost most of the hearing in one ear. I had a dry cough I could easily suppress but no fever. I had pains around my kidneys and shoulders.
I was very dehydrated, drinking 2-3 times the amount of water I normally would. Appetite was mildly suppressed and I had some chills with only one incidence of awakening drenched in sweat. I was very tired for about a week, with occasional headaches.
But the bronchial chest pain didn't subside easily. It went away for a couple of days and then came back for another week but without the various other symptoms. This cycle lasted two months before I finally called the doctor for advice.
My kids (14, 12) had headaches and mild fevers for 24 hours and nothing more. 
She said it sounds like it could have been Covid-19 but an antibody test will be required to confirm it.
I'm fit and healthy, male late 40s.
Has anyone else had anything similar that was confirmed as Covid-19?</t>
        </is>
      </c>
      <c r="D1232" t="n">
        <v>1</v>
      </c>
      <c r="E1232" t="n">
        <v>3</v>
      </c>
      <c r="F1232">
        <f>HYPERLINK("https://www.reddit.com/r/COVID19positive/comments/gmya08/mild_symptoms_for_two_months_doctor_suspects/")</f>
        <v/>
      </c>
      <c r="G1232" t="inlineStr">
        <is>
          <t>2020-05-19 14:58:55</t>
        </is>
      </c>
      <c r="H1232" t="inlineStr">
        <is>
          <t>Presumed Positive - From Doctor</t>
        </is>
      </c>
    </row>
    <row r="1233">
      <c r="A1233" t="inlineStr">
        <is>
          <t>gmybrh</t>
        </is>
      </c>
      <c r="B1233" t="inlineStr">
        <is>
          <t>Free self administered COVID test tomorrow at Rite Aid, antibody trstvnext week.</t>
        </is>
      </c>
      <c r="C1233" t="inlineStr">
        <is>
          <t>I’ve (F, 50)  been honestly too tired to pursue treatment. (Also trying to quarantine)  I had  two tele-visits with my GP but he said they are “trying to keep sick people out of the office”. 
Its been around 2 months now though and I’m going to start pursuing treAtment  more aggressively. Going to ask for bloodwork and a chest X-ray. 
I start to feel a little better, then try to do something like walk my dog a block or two, and then feel worse. I’m so tired of laying around my house. I used to go to the gym 3 times a week, hike on the weekend and do yoga and qigong. 
Fatigue and body aches are back, cough is worse. Racing heart is not as bad. 
I notice that not hydrating and also any physical exertion makes me worse right away. I think vitamin C and zinc help. I’m tired of this. I know it could be worse, but I’m tired. I’ll update tomorrow, tell you what the text is like if anyone is interested.</t>
        </is>
      </c>
      <c r="D1233" t="n">
        <v>1</v>
      </c>
      <c r="E1233" t="n">
        <v>9</v>
      </c>
      <c r="F1233">
        <f>HYPERLINK("https://www.reddit.com/r/COVID19positive/comments/gmybrh/free_self_administered_covid_test_tomorrow_at/")</f>
        <v/>
      </c>
      <c r="G1233" t="inlineStr">
        <is>
          <t>2020-05-19 15:01:29</t>
        </is>
      </c>
      <c r="H1233" t="inlineStr">
        <is>
          <t>Presumed Positive - From Doctor</t>
        </is>
      </c>
    </row>
    <row r="1234">
      <c r="A1234" t="inlineStr">
        <is>
          <t>gmyn83</t>
        </is>
      </c>
      <c r="B1234" t="inlineStr">
        <is>
          <t>What does pneumonia feel like?</t>
        </is>
      </c>
      <c r="C1234" t="inlineStr">
        <is>
          <t>Just wondering what pneumonia actually feels like?  Can you have it without a cough?  Does it always affect your oxygen levels?</t>
        </is>
      </c>
      <c r="D1234" t="n">
        <v>1</v>
      </c>
      <c r="E1234" t="n">
        <v>11</v>
      </c>
      <c r="F1234">
        <f>HYPERLINK("https://www.reddit.com/r/COVID19positive/comments/gmyn83/what_does_pneumonia_feel_like/")</f>
        <v/>
      </c>
      <c r="G1234" t="inlineStr">
        <is>
          <t>2020-05-19 15:18:24</t>
        </is>
      </c>
      <c r="H1234" t="inlineStr">
        <is>
          <t>Presumed Positive - From Doctor</t>
        </is>
      </c>
    </row>
    <row r="1235">
      <c r="A1235" t="inlineStr">
        <is>
          <t>gmzokb</t>
        </is>
      </c>
      <c r="B1235" t="inlineStr">
        <is>
          <t>How accurate are the Quest Diagnostics Covid-19 antibody test?</t>
        </is>
      </c>
      <c r="C1235" t="inlineStr">
        <is>
          <t>Ages: M(44), F(35), F(5)
California
We're all healthy and thin.
In the beginning for March, I got really sick along with my daughter. We both had fevers for about 10 days. The fatigue was really intense. It was hard to even walk to the bathroom. We both had lots of chest pain and headaches. Lots of diarrhea. I'm not sure about shortness of breathe. I have anxiety. So I always thought I was short of breathe but it didn't seem severe. My daughter complained so much about chest pain. I was feeling so desperate. I called Kaiser (hospital) and they said that were not testing anyone at the moment unless you traveled abroad. That we should stay home and just take advil and tylenol. We should assume that  we have covid and stay home. Don't go out. Then about 5 days later, my wife got really sick. Again, same symptoms as us. She complained mostly about how much her chest hurt and the heavy fatigue. We are all better now. I'm the only one that is still getting headaches, weird chest pains, and tiredness. Like I said, I have anxiety so it could be that but it's never been this bad.
3 weeks ago I decided to get an antibody test from Quest. I paid out of pocket. Waited 2 days and it was negative. Not sure what to think. I guess we could have had some kind of Flu. I've had a Flu before. Didn't feel like this. Not sure if it's worth sending my wife to go get an antibody test just in case. How accurate are these tests?</t>
        </is>
      </c>
      <c r="D1235" t="n">
        <v>1</v>
      </c>
      <c r="E1235" t="n">
        <v>14</v>
      </c>
      <c r="F1235">
        <f>HYPERLINK("https://www.reddit.com/r/COVID19positive/comments/gmzokb/how_accurate_are_the_quest_diagnostics_covid19/")</f>
        <v/>
      </c>
      <c r="G1235" t="inlineStr">
        <is>
          <t>2020-05-19 16:15:45</t>
        </is>
      </c>
      <c r="H1235" t="inlineStr">
        <is>
          <t>Presumed Positive - From Doctor</t>
        </is>
      </c>
    </row>
    <row r="1236">
      <c r="A1236" t="inlineStr">
        <is>
          <t>gn0ktm</t>
        </is>
      </c>
      <c r="B1236" t="inlineStr">
        <is>
          <t>Skin rash / swelling in hands or toes</t>
        </is>
      </c>
      <c r="C1236" t="inlineStr">
        <is>
          <t>Did anyone experience either a skin rash or swelling of the hands or toes at the onset of your COVID ordeal?</t>
        </is>
      </c>
      <c r="D1236" t="n">
        <v>1</v>
      </c>
      <c r="E1236" t="n">
        <v>16</v>
      </c>
      <c r="F1236">
        <f>HYPERLINK("https://www.reddit.com/r/COVID19positive/comments/gn0ktm/skin_rash_swelling_in_hands_or_toes/")</f>
        <v/>
      </c>
      <c r="G1236" t="inlineStr">
        <is>
          <t>2020-05-19 17:07:02</t>
        </is>
      </c>
      <c r="H1236" t="inlineStr">
        <is>
          <t>Tested Positive - Family</t>
        </is>
      </c>
    </row>
    <row r="1237">
      <c r="A1237" t="inlineStr">
        <is>
          <t>gn2bev</t>
        </is>
      </c>
      <c r="B1237" t="inlineStr">
        <is>
          <t>Third positive test</t>
        </is>
      </c>
      <c r="C1237" t="inlineStr">
        <is>
          <t>My husband's been sick for 7 weeks and today he tested positive again.  About 2 weeks ago his doctors told him he no longer had to self quarantine in the bedroom.  My daughter, her husband, and our 3 young grandchildren live with us.  I am beside myself!  The youngest is 4 months old, the oldest 5 years.  Now they've all been exposed!  My husband has become very weak due to a decrease in hemoglobin levels.  To me, his cough seems worse.  But o2 levels are consistently 95 or above.  We'll talk to the doctor tomorrow but if he's positive, he's contagious, right?  I'm reading all kinds of conflicting opinions and am very upset about my grandchildren.  And I'm very worried about my husband.  He has a compromised immune system and has had a tough year.  Thanks for listening.</t>
        </is>
      </c>
      <c r="D1237" t="n">
        <v>1</v>
      </c>
      <c r="E1237" t="n">
        <v>36</v>
      </c>
      <c r="F1237">
        <f>HYPERLINK("https://www.reddit.com/r/COVID19positive/comments/gn2bev/third_positive_test/")</f>
        <v/>
      </c>
      <c r="G1237" t="inlineStr">
        <is>
          <t>2020-05-19 18:51:17</t>
        </is>
      </c>
      <c r="H1237" t="inlineStr">
        <is>
          <t>Tested Positive - Family</t>
        </is>
      </c>
    </row>
    <row r="1238">
      <c r="A1238" t="inlineStr">
        <is>
          <t>gn2rfq</t>
        </is>
      </c>
      <c r="B1238" t="inlineStr">
        <is>
          <t>Those of you who recovered, have you experienced olfactory hallucinations?</t>
        </is>
      </c>
      <c r="C1238" t="inlineStr">
        <is>
          <t>My sense of smell been gone for couple of weeks. Its slowly coming back. I am day 45. Tested negative once and tested positive again a week later, today. My husband is a smoker and we have new neighbours who are smokers. I thought smoke is coming in to our apartment through our windows. I smelled smoke non stop, even when my husband and neighbours are asleep and realized that I have olfactory hallucinations. Did any of you had similar experience?!</t>
        </is>
      </c>
      <c r="D1238" t="n">
        <v>1</v>
      </c>
      <c r="E1238" t="n">
        <v>13</v>
      </c>
      <c r="F1238">
        <f>HYPERLINK("https://www.reddit.com/r/COVID19positive/comments/gn2rfq/those_of_you_who_recovered_have_you_experienced/")</f>
        <v/>
      </c>
      <c r="G1238" t="inlineStr">
        <is>
          <t>2020-05-19 19:18:58</t>
        </is>
      </c>
      <c r="H1238" t="inlineStr">
        <is>
          <t>Tested Positive - Me</t>
        </is>
      </c>
    </row>
    <row r="1239">
      <c r="A1239" t="inlineStr">
        <is>
          <t>gn3cj6</t>
        </is>
      </c>
      <c r="B1239" t="inlineStr">
        <is>
          <t>12 weeks after I got sick 14 and 16 year old - asymptotic kids have tachycardia</t>
        </is>
      </c>
      <c r="C1239" t="inlineStr">
        <is>
          <t>While my husband and I got sick about 12 weeks ago our 4 kids faired really well. Our oldest had a dry throat and headache the other three showed no signs and we were tracking a lot. This weekend they started getting very rapid heart rates. My husband and I also had this on and off so we have done all the tests and we know how to monitor, but damn this is scary when it’s the kids. I just don’t understand how these things keep cropping up especially when they never appeared to ever get an acute case of the virus.</t>
        </is>
      </c>
      <c r="D1239" t="n">
        <v>1</v>
      </c>
      <c r="E1239" t="n">
        <v>50</v>
      </c>
      <c r="F1239">
        <f>HYPERLINK("https://www.reddit.com/r/COVID19positive/comments/gn3cj6/12_weeks_after_i_got_sick_14_and_16_year_old/")</f>
        <v/>
      </c>
      <c r="G1239" t="inlineStr">
        <is>
          <t>2020-05-19 19:57:13</t>
        </is>
      </c>
      <c r="H1239" t="inlineStr">
        <is>
          <t>Tested Positive - Family</t>
        </is>
      </c>
    </row>
    <row r="1240">
      <c r="A1240" t="inlineStr">
        <is>
          <t>gn3v5j</t>
        </is>
      </c>
      <c r="B1240" t="inlineStr">
        <is>
          <t>“You need to assume you had it”</t>
        </is>
      </c>
      <c r="C1240" t="inlineStr">
        <is>
          <t>Hey y’all. I just really need to share my story.
It all started on the last week of January, on a Thursday. I started feeling REALLY fatigued. 
My body ached so horribly and It was difficult to rest. Then I couldn’t smell or taste anything and the headaches started. The fever was next, it would spike and go away, and spike, and go away, and then spike again. 
Then it was the cough, the massive coughing fits that sounded like I was a cement mixer. The shortness of breath was next. It was so hard to breath, it felt like a belt was strapped to my chest. This coupled with the cough was a nightmare.
There was one night, during the second week of February, that it was so difficult to breath that I couldn’t fall asleep. I just stayed up all night taking the deepest breaths so I could breath. I thought i was going to die that night. 
After that night, I thankfully turned a corner and I SLOWLY started getting better. The pneumonia had set in though and it was going to be long toad. I had to focus on my breathing and made sure I took deep breaths for the next week. The tightness in my chest wouldn’t go away until the first Friday in March. 
This virus held on for dear life and wouldn’t let go. I would say I wasn’t symptom free until the middle of March. 
Then I started to think “could I have had it?” “No! It was just a bad chest cold!” 
The tell tale sign that I needed to talk to my doctor about the possibility of having it was when the symptom of “losing smell and taste” became a CDC landmark symptom. 
My doctor and I went through my symptom and symptom progression and the words that came out of their mouth after we conversed were “you need to assume that you had it, monitor yourself for signs of stroke as they’re seeing young people come in stoke symptoms and they’re testing positive”
So now I’m taking low dose aspirin hoping to god I can get my hands on an antibody test as they are in short supply in my state. 
TL;DR: probably had it, now monitoring for stroke on doctors orders.</t>
        </is>
      </c>
      <c r="D1240" t="n">
        <v>1</v>
      </c>
      <c r="E1240" t="n">
        <v>15</v>
      </c>
      <c r="F1240">
        <f>HYPERLINK("https://www.reddit.com/r/COVID19positive/comments/gn3v5j/you_need_to_assume_you_had_it/")</f>
        <v/>
      </c>
      <c r="G1240" t="inlineStr">
        <is>
          <t>2020-05-19 20:32:24</t>
        </is>
      </c>
      <c r="H1240" t="inlineStr">
        <is>
          <t>Presumed Positive - From Doctor</t>
        </is>
      </c>
    </row>
    <row r="1241">
      <c r="A1241" t="inlineStr">
        <is>
          <t>gn5s53</t>
        </is>
      </c>
      <c r="B1241" t="inlineStr">
        <is>
          <t>Just want to share my story.</t>
        </is>
      </c>
      <c r="C1241" t="inlineStr">
        <is>
          <t>TLDR: COVID-19 is a cruel rollercoaster ride that doesn't seem to end. 
&amp;amp;#x200B;
Well, I've been fever free for over a month now and have been looking for an outlet to tell my story. So here it is... 
I'm 29 and moved back in with my parents last year after splitting with my girlfriend. I have no underlying health problems. My dad is 69 with vascular dementia and Alzheimer's. My mother is 64 with diabetes and some heart issues. 
I work in health insurance and have been following COVID since December. I figured that the best chances of it entering my house was through my mother who works with the elderly. My company had us starting to work from home on Tuesday March 24th and I was really looking forward to it.
Now, because of my father's dementia he slept in later than most people. However, on that Tuesday he slept about 15 hours. I checked on him every hour or so but when I got off work at 5 he was finally ready to get out of bed. The next day he woke up early, made himself breakfast, did the dishes, and told me he was going to hop in the shower. I was afraid he'd slip in so I asked him to hold off. He decided to lay back down for a bit. That was the last time he walked on his own. A few hours later he called for me and couldn't get out of bed. The only other time he was ever this weak was back in January when he had an UTI. I had no idea, but apparently UTI's in the elderly, and especially those with dementia, can really cause havoc. We called in a script for an antibiotic in hopes that it was just the UTI. At this point, my mom has developed a cough. 
I convinced my mom to go get tested the next day and even though she didn't have a fever they tested her due to her working with the elderly. We got the call the next night that she was positive. We knew we were in the shit but were hopeful we could ride it out. At this point I had some coughing and a headache but no real issues. I went in to get tested the next day, was denied due to not having an active fever, and told I was presumed positive due to my mother. 
The next week was a struggle. My dad went from needing walking assistance to  needing to basically be carried. He became tense, couldn't lift his head up, and had strong tremors. He had an on and off fever topping out at 102.6. COVID was like gas on a fire to his dementia. He struggled to use the toilet and started to become slightly delirious. 
At this point we had used the teledoc multiple times and FaceTimed with different doctors of his. Each one told us to continue to do what we were doing and only send him to the hospital if it was our last option. 
There was that Chris Cuomo interview where he said, "the beast comes at night". My god, was that the truth. Each day, each afternoon my dad seemed more himself. He was joking and happy the entire time. But at night things changed. Each night our hope changed to fear as he started to look more and more like a shell of a person. 
I don't remember any of the details leading up to this, but on April 2nd my mom and I got him into bed and asked how he was doing. He had a moment of..clarity? He had a look in his eyes like he was standing at deaths door and knew he was in trouble. We asked him what was on his mind and he just stared at us, appearing to hold back tears. If we asked him anything else he would answer. 
"How ya feelin' Pops? 
"Oh, I'm alright." 
"Dad, what's on your mind?"
"..."
I'll never forget that moment. His terrified defeated face will forever be burned into my brain. 
The next day. April 3rd, was his best day yet. We got him up, he wanted breakfast, used the bathroom, hollered at my aunt when she came to drop off groceries. He seemed like my dad again. Jesus, things looked like they were going to turn around. We might actually pull through this. 
Nope.
We had something for dinner and got my dad back into a comfy chair in the living room. He said he needed to use the bathroom so we got him on the commode, failed, and got him back in the chair. I was going to leave the room but decided to wait a bit and see how he's feeling. Now, both my parents have sleep apnea and have CPAP machines. We had been running my dad's CPAP nightly as the forced air seemed to keep him more alert. I noticed his breathing was a little faster than normal. I asked him how he was doing but he didn't respond. I asked again. No response. I called for my mom and kneeled down at my dad's side. I asked again, he said he was alright. He wasn't, and he was fading fast. We called for an ambulance and by the time they arrived I was slapping him to keep him awake. The paramedics come in the house in their full hazmat gear, we stand in the corner wearing our masks. My dad's oxygen is at 70% saturation and we don't have much time. They get him on a gurney, let us hug him, and there were gone. Our neighbors are all standing outside of their houses, afraid to get too close to us. My mother and I are standing alone on the front lawn watching my neighbors cry. Now we just wait.The hospital called us 3 times that night. 11pm, 3am, and 5am. They didn't expect him to make it through the night, but he did. 
Note: The entire time my father was sick at home he had no respiratory symptoms. He coughed maybe 5 times. When he arrived at the hospital he had bilateral pneumonia, was in respiratory failure, and kidney failure. He tested positive upon arriving at the hospital. 
At this point, I'm physically feeling pretty good. I have a little cough and some headaches but I'm feeling better. My mom hasn't really changed but she's coughing some more. Saturday came and my cough was basically gone. I sat in the front yard about 20 feet across from my buddy and visited when he dropped off groceries on Sunday. I started coughing a bit but figured it was from the cold. Monday I had a fever, diarrhea, started coughing a lot, and had a pounding headache. Tuesday I was weak, had a fever of 103, and couldn't stop coughing. Now I was in the shit. 
Meanwhile- each day, the update from the hospital is a positive one. My dad responding well to the oxygen and they're trying to ween him off the 100% BPAP. Again, we might actually pull through this. 
Again, nope. 
Wednesday, April 8th, we got the call that he wasn't responding to the oxygen anymore and things weren't looking good. Because my mom and I were both sick, they actually let us into the hospital to visit him. We had to suit up and could only go in the room one at a time, but we were able to go in. I know that 99% of people who have someone in the hospital have not been able to visit them. I know how lucky we were and my heart goes out to those who couldn't. Even in my mask, face-shield, and makeshift suit my dad was able to recognize me. He sang a little tune, was happy to see me, and went back to sleep. He was so tired. Being able to see him was beautiful and he seemed so peaceful. We got home at about 3:15. He died before 5:00. 
How do you mourn a dead parent while battling COVID? You don't. You pretend everything's fine and focus on yourself. The minute I started to get emotional I would go into a coughing fit, breathing would become more difficult, and my fever would rise. 
At this point I'm unable to take a deep breath, my lungs are gurgling when I exhale, I've had diarrhea for almost two weeks, head hurts, and I basically just feel like I was hit by a truck. I lost my taste and smell, had insane dreams two night and haven't eaten in 4 days. 
Saturday my uncle brings dinner over. I was excited to eat it as it was one of my favorite Italian places. I take two bites and start to feel nauseous. My fever is spiking, my entire body starts to feel fuzzy, and my breathing is getting short and fast. I feel like this is the start of things really going south. I left the dinner table and drove myself back to the hospital. I go through the line again, this time with an active fever, and again they refuse the test. They think I may have a collapsed lung and do a curbside chest X-ray. Thankfully it comes back clean. They tell me I definitely have COVID but they don't want to use a test since I'm definitely presumed positive. They coach me on breathing exercises and tell me to take vitamin C, D3, and Zinc twice daily. They tell me that I have to keep as active as I can and continuously work on getting healthy or I won't. I'm terrified, but it's nice to have a battle plan. 
Over the next week I slowly start to feel better. The only thing that helped my breathing was standing in the steam of a hot shower. I took about 3 showers a day and continued to work on my breathing. Currently, I still have a the very occasional cough, but nothing else.
Thankfully, my mother never got as sick as I did. She had some heart palpations that worried her, and she couldn't take a very deep breath, but she is back to work and has been symptom free longer than I have. One thing to note is that my mother never had a fever. Even at her sickest her temp never rose above 99.2ish. 
In total, I was sick for 3.5 weeks. My symptoms seemed to cycle every couple of days but there were a few that were constant. For those curious I had the following:
\-Headache
\-Soreness
\-Fatigue
\-Loss of taste and smell
\-Diarrhea for 3 weeks (yikes) and nausea  
\- Fever
\-The intense COVID dreams. I would wake up short of breath, almost having a panic attack, and covered in sweat. This may be from the fever and stress but who knows. 
\-Dry cough
\-Difficulty breathing and lung gurgle 
I think that's it. 
My father was a beautiful soul. He was the kindest person I have ever met and only knew how to love. I'll be lucky if I'm ever half the man he was. 
I don't know if anyone will actually read this, but if anyone has any questions please feel free to ask. I'm sure there's typos in all that mess, but it's late and I'm tired. 
&amp;amp;#x200B;
I love you, dad.</t>
        </is>
      </c>
      <c r="D1241" t="n">
        <v>1</v>
      </c>
      <c r="E1241" t="n">
        <v>136</v>
      </c>
      <c r="F1241">
        <f>HYPERLINK("https://www.reddit.com/r/COVID19positive/comments/gn5s53/just_want_to_share_my_story/")</f>
        <v/>
      </c>
      <c r="G1241" t="inlineStr">
        <is>
          <t>2020-05-19 22:57:38</t>
        </is>
      </c>
      <c r="H1241" t="inlineStr">
        <is>
          <t>Tested Positive - Family</t>
        </is>
      </c>
    </row>
    <row r="1242">
      <c r="A1242" t="inlineStr">
        <is>
          <t>gn5yew</t>
        </is>
      </c>
      <c r="B1242" t="inlineStr">
        <is>
          <t>Relapse after donating plasma?</t>
        </is>
      </c>
      <c r="C1242" t="inlineStr">
        <is>
          <t>I’m wondering if anyone else had a relapse in symptoms after donating plasma. Everyone around me is convinced my multiple plasma donations “took all my antibodies” and that it caused me to relapse, but I can’t find anything to support this idea online. I’m just curious if anyone else had suspicious timing with plasma donation and symptoms returning? 
Background info: I am a 29 year old female who tested positive March 13, mild to moderate case (history of asthma so lung symptoms were rough). My symptoms went from March 2-March 20. After March 20, I fully recovered and was completely healthy for a month and a half. My only remaining “symptom” was a lack of smell and taste. I was not able to get a second test to find out if I was ever truly negative. I have also not had an anti-body test.
I’ve been social distancing/WFH since March.
I started donating plasma in the beginning of May. Around the same time I also tried to exercise for the first time and had chest pain, shortness of breath, and coughing for 2 days. This went away though and I took it easy for a week—I actually found this subreddit while looking up exercise and COVID recovery. 
Unfortunately, my symptoms fully came back on May 10th, and I started feeling feverish a few hours after donating plasma. Since May 10th I’ve had a constant fever between 99 and 100.5, severe shortness of breath, on and off chest pain, fatigue, and a slight cough. My sense of smell, which was barely recovering, got worse again. I’m noticing a lot of things that are very similar to when I first had COVID, like my cheeks are flushed and a hot pack makes my chest pain go away almost entirely. 
I went to the doctor last Wednesday and they checked out my lungs and heart and said I was not dealing with a secondary infection or any lingering inflammation. My doctor’s best guess was that I never really beat COVID and it was hiding deep in my lungs this whole time and had flared up again. My doctor tried to test me but was told he couldn’t. 
Today (6 days later), my doctor called me to say he was putting in an order for a test even though he isn’t supposed to. I’m afraid that by the time I take the test (3 days from now) I’ll be negative since I’m already starting to feel better. I wish I could have been tested a few days ago—not really for myself, but because there’s so much unknown about if you can get reinfected (especially after over a month symptom free). 
Anyway - I’m trying to figure out what I might have done to make this come back. I don’t want to scare people off donating plasma but I also don’t really know what else it could be. 
Has anyone else been symptom-free for this long and had a relapse? If so, what do you think set it off?</t>
        </is>
      </c>
      <c r="D1242" t="n">
        <v>1</v>
      </c>
      <c r="E1242" t="n">
        <v>25</v>
      </c>
      <c r="F1242">
        <f>HYPERLINK("https://www.reddit.com/r/COVID19positive/comments/gn5yew/relapse_after_donating_plasma/")</f>
        <v/>
      </c>
      <c r="G1242" t="inlineStr">
        <is>
          <t>2020-05-19 23:11:56</t>
        </is>
      </c>
      <c r="H1242" t="inlineStr">
        <is>
          <t>Tested Positive - Me</t>
        </is>
      </c>
    </row>
    <row r="1243">
      <c r="A1243" t="inlineStr">
        <is>
          <t>gn6ihh</t>
        </is>
      </c>
      <c r="B1243" t="inlineStr">
        <is>
          <t>I am registered as highly vulnerable to covid-19 but I was somehow asymptotic</t>
        </is>
      </c>
      <c r="C1243" t="inlineStr">
        <is>
          <t>I have congenital heart disease plus other lung issues such as asthma. Late February I had a two week period where I lost my sense of taste/smell I put it down to allergies mostly. 
I also noticed that my toes were swollen and red but I also thought that was due to eczema. 
My mum developed a cough and fever around the same time I lost my sense of taste. She is a key worker so she was eligible for a test. She just did an antibody test and it came back as positive for having covid-19 antibodies. Which means I 1000% contracted the virus too. 
Are there any other cases where people register in the vulnerable category experience little
To no symptoms? I feel like this virus is very strange on how it effects people differently. I’m a 24 year old Male too, maybe that helped with my response? Not sure.</t>
        </is>
      </c>
      <c r="D1243" t="n">
        <v>1</v>
      </c>
      <c r="E1243" t="n">
        <v>8</v>
      </c>
      <c r="F1243">
        <f>HYPERLINK("https://www.reddit.com/r/COVID19positive/comments/gn6ihh/i_am_registered_as_highly_vulnerable_to_covid19/")</f>
        <v/>
      </c>
      <c r="G1243" t="inlineStr">
        <is>
          <t>2020-05-19 23:58:38</t>
        </is>
      </c>
      <c r="H1243" t="inlineStr">
        <is>
          <t>Presumed Positive - From Test</t>
        </is>
      </c>
    </row>
    <row r="1244">
      <c r="A1244" t="inlineStr">
        <is>
          <t>gn6ttj</t>
        </is>
      </c>
      <c r="B1244" t="inlineStr">
        <is>
          <t>I can’t sleep. My FIL tested positive earlier today and we spent Mother’s Day together</t>
        </is>
      </c>
      <c r="C1244" t="inlineStr">
        <is>
          <t>My FIL is not that old, he is in his 50s, but he is overweight and not in the best of health. I have a premature son who is 5 months old (3 months “adjusted”) and I am worried about him too, I am sitting next to him while he sleeps and watching him closely. Also, I am worried I may have exposed my Dad to COVID-19, he is in his mid 60s and recovering from a recent bout with melanoma :( 
So far, my father in law feels fine, he just has a high fever. I check my son’s temp every day and he thus far hasn’t developed a fever, I am calling my doctor first thing in the morning to see if they will test him as he was held by my FIL on Mother’s Day. 
My husband and I have been very tired lately, but that could just be from having a 5 month old. I’ve been tired since he has been born essentially, but it was starting to get a bit better until this week. My throat feels a little dry and scratchy but that happens often to me during allergy season. Neither me or my husband have had a fever or a cough. Not sure if they will test my husband and I as well or only my son...hopefully they at least will test him!
Not sure when I should tell my family about them being possibly exposed...? I think it would be better to wait until my son has been tested since results should come back within 24 hours (at least they did for my FIL) because I don’t want to worry them...but they have a right to know, don’t they? 
I feel so guilty. Since March I have been talking about the importance of social distancing every time my family and my husbands family asked to see my son, and they asked quite frequently, practically begging me most of the time. I held firm...until the state started announcing they were opening things back up. Then my family really hounded me...and I gave in. I don’t blame them because ultimately this was a decision my husband and I made together, I am furious at myself. Now my son may be sick and I may have exposed my family to this virus as well. I knew the risks, I knew they didn’t change just because the government in my state loosened the restrictions, I was uncomfortable going and seeing family again and I ignored my conscious and gave into my feelings and the desires of my loved ones. I was so happy to see them but if my son or anyone else in my family gets sick as a result...it wasn’t worth it. I could have waited longer...we all could have.</t>
        </is>
      </c>
      <c r="D1244" t="n">
        <v>1</v>
      </c>
      <c r="E1244" t="n">
        <v>6</v>
      </c>
      <c r="F1244">
        <f>HYPERLINK("https://www.reddit.com/r/COVID19positive/comments/gn6ttj/i_cant_sleep_my_fil_tested_positive_earlier_today/")</f>
        <v/>
      </c>
      <c r="G1244" t="inlineStr">
        <is>
          <t>2020-05-20 00:24:46</t>
        </is>
      </c>
      <c r="H1244" t="inlineStr">
        <is>
          <t>Tested Positive - Family</t>
        </is>
      </c>
    </row>
    <row r="1245">
      <c r="A1245" t="inlineStr">
        <is>
          <t>gnaf9i</t>
        </is>
      </c>
      <c r="B1245" t="inlineStr">
        <is>
          <t>Post inflammation issues</t>
        </is>
      </c>
      <c r="C1245" t="inlineStr">
        <is>
          <t>(37 m, no pre conditions, virginia, o+) I was presumed covid positive at the end of March.  I started having symptoms around March 18th and really struggled until the end of April. I developed a mild pneumonia and was first given azithromycin and on the last day of taking that I was given hydroxychloroquine.  I am not sure if either helped as I was prescribed these approximately 2 and 3 weeks into this hell hole.  
As of today I am about 65ish days in.  I still have the lingering effects of this bitch people refer to as covid. I developed covid hands.  Think of covid toes but on your hands.  Basically they feel like they have frost bite.  They are red at the tips, splotchy, burn, itch, swollen, and occassionally will wake you up in the middle of the night throbbing.  This seems to be subsiding a little after over two weeks.  Also I have a skin rash on my face.  This is red splotchy, itches, and is flakey.  It is almost like sever dandruff.  I have a short beard and occassionally I will get a minor form of this when healthy.  Last but not least my GI behavior has just not returned.  I have gas and am bloated.  I have pain in my back (feels like Mike Tyson is using my kidneys as punching bags).  My stools are loose but luckily no longer explosive.  
I have been taking a ton of supplements and have had a fairly high fiber diet.  I am thinking this isn't doing my GI issues any favors.  I may cut back to just taking fish oil, vitamin d, and zinc as I likely get enough vitamin c and other vitamins from eating healthy.
My gut tells me that I am having an inflammatory event.  I have watched my resting heart rate decrease over the past week from 72 to 62.  I believe my heart was inflamed and it is starting to return to normal.  The rash on my hands and face could be caused by inflamed blood vessels that are microclotting.  Also, I believe that my entire gut is inflamed. Kidneys, liver, and small intestines.  
It has come out recently that children are experiencing post inflammatory responses.  I believe that my symptoms are similar just less severe.  Perhaps, there is a parallel here.  Is this being looked at by scientists?  Something tells me that covid is more of a blood disease that you contact via respiratory, but is not necessarily a respiratory disease.  I am not a scientist or a doctor but I read a lot.
I would prefer to believe that this is some sort of post inflammatory response rather then a long term viral infection.</t>
        </is>
      </c>
      <c r="D1245" t="n">
        <v>1</v>
      </c>
      <c r="E1245" t="n">
        <v>41</v>
      </c>
      <c r="F1245">
        <f>HYPERLINK("https://www.reddit.com/r/COVID19positive/comments/gnaf9i/post_inflammation_issues/")</f>
        <v/>
      </c>
      <c r="G1245" t="inlineStr">
        <is>
          <t>2020-05-20 05:26:38</t>
        </is>
      </c>
      <c r="H1245" t="inlineStr">
        <is>
          <t>Presumed Positive - From Doctor</t>
        </is>
      </c>
    </row>
    <row r="1246">
      <c r="A1246" t="inlineStr">
        <is>
          <t>gnby3t</t>
        </is>
      </c>
      <c r="B1246" t="inlineStr">
        <is>
          <t>Tested positive yesterday. Any tips?</t>
        </is>
      </c>
      <c r="C1246" t="inlineStr">
        <is>
          <t>So i took a test on Monday and they called me back yesterday and i got my results that i’m positive. My breathing feels slightly more difficult than normal and my nose is a little stuffed. Does anyone have any tips? Would Vicks help?</t>
        </is>
      </c>
      <c r="D1246" t="n">
        <v>2</v>
      </c>
      <c r="E1246" t="n">
        <v>23</v>
      </c>
      <c r="F1246">
        <f>HYPERLINK("https://www.reddit.com/r/COVID19positive/comments/gnby3t/tested_positive_yesterday_any_tips/")</f>
        <v/>
      </c>
      <c r="G1246" t="inlineStr">
        <is>
          <t>2020-05-20 07:06:15</t>
        </is>
      </c>
      <c r="H1246" t="inlineStr">
        <is>
          <t>Tested Positive - Me</t>
        </is>
      </c>
    </row>
    <row r="1247">
      <c r="A1247" t="inlineStr">
        <is>
          <t>gndcak</t>
        </is>
      </c>
      <c r="B1247" t="inlineStr">
        <is>
          <t>Do y'all have some weird taste in ur mouth?</t>
        </is>
      </c>
      <c r="C1247" t="inlineStr">
        <is>
          <t>My sense of smell and taste were gone for a period of time, they slightly returned. I cant really taste food but it just...tastes weird. I have this awful taste whenever i eat stuff. It isn't the usual 'distorted flu' taste. 
It's really weird and hard to explain. Whenever i eat, i taste it.</t>
        </is>
      </c>
      <c r="D1247" t="n">
        <v>1</v>
      </c>
      <c r="E1247" t="n">
        <v>20</v>
      </c>
      <c r="F1247">
        <f>HYPERLINK("https://www.reddit.com/r/COVID19positive/comments/gndcak/do_yall_have_some_weird_taste_in_ur_mouth/")</f>
        <v/>
      </c>
      <c r="G1247" t="inlineStr">
        <is>
          <t>2020-05-20 08:25:06</t>
        </is>
      </c>
      <c r="H1247" t="inlineStr">
        <is>
          <t>Presumed Positive - From Doctor</t>
        </is>
      </c>
    </row>
    <row r="1248">
      <c r="A1248" t="inlineStr">
        <is>
          <t>gndoua</t>
        </is>
      </c>
      <c r="B1248" t="inlineStr">
        <is>
          <t>Vaccine? What are the chances? No vaccines were ever completed for MERS, SARS OR EVEN AIDS.</t>
        </is>
      </c>
      <c r="C1248" t="inlineStr">
        <is>
          <t>I really am starting to doubt a vaccine will be made... when I think about it all these viruses stated in title never had a cure found. What makes this any different?!? Maybe I’m just being sensitive as I was directly effected by it but i don’t know just feeling like we’re being lied to.</t>
        </is>
      </c>
      <c r="D1248" t="n">
        <v>1</v>
      </c>
      <c r="E1248" t="n">
        <v>10</v>
      </c>
      <c r="F1248">
        <f>HYPERLINK("https://www.reddit.com/r/COVID19positive/comments/gndoua/vaccine_what_are_the_chances_no_vaccines_were/")</f>
        <v/>
      </c>
      <c r="G1248" t="inlineStr">
        <is>
          <t>2020-05-20 08:43:38</t>
        </is>
      </c>
      <c r="H1248" t="inlineStr">
        <is>
          <t>Tested Positive - Me</t>
        </is>
      </c>
    </row>
    <row r="1249">
      <c r="A1249" t="inlineStr">
        <is>
          <t>gndqv5</t>
        </is>
      </c>
      <c r="B1249" t="inlineStr">
        <is>
          <t>Relapse or reinfection?</t>
        </is>
      </c>
      <c r="C1249" t="inlineStr">
        <is>
          <t>Hiya friends. I’m a usually healthy 23F in Glasgow. I started having symptoms back in mid-March and took quite a while to recover. For the past two weeks I’ve finally felt completely normal again save for the rare lone cough. Two days ago, however, my shortness of breath has returned with much more frequent coughing and I’m worried it’s a reinfection. I know many people here experience relapses in symptoms weeks after starting to feel better. It’s now over two months since my original symptoms began so I wanted to ask if there are people still struggling to breathe after this much time has passed? How might I know if it’s a relapse versus reinfection? I haven’t had a fever again but am monitoring it. Other factors I’m considering that could impact the change are being on my period, moving into a room with no window so I can’t get fresh air at night, or starting to drink wine at dinner again. Thoughts? Any advice would be welcomed.</t>
        </is>
      </c>
      <c r="D1249" t="n">
        <v>1</v>
      </c>
      <c r="E1249" t="n">
        <v>2</v>
      </c>
      <c r="F1249">
        <f>HYPERLINK("https://www.reddit.com/r/COVID19positive/comments/gndqv5/relapse_or_reinfection/")</f>
        <v/>
      </c>
      <c r="G1249" t="inlineStr">
        <is>
          <t>2020-05-20 08:46:44</t>
        </is>
      </c>
      <c r="H1249" t="inlineStr">
        <is>
          <t>Tested Positive - Me</t>
        </is>
      </c>
    </row>
    <row r="1250">
      <c r="A1250" t="inlineStr">
        <is>
          <t>gnds0l</t>
        </is>
      </c>
      <c r="B1250" t="inlineStr">
        <is>
          <t>Remember when I said I was all better on day 7? Well it’s been 2 days....</t>
        </is>
      </c>
      <c r="C1250" t="inlineStr">
        <is>
          <t>And you guys called it. BOOM, yesterday my fever came back and all symptoms along with it. My SOB is back with a vengeance, so my doctor just called me in an inhaler. 
I feel like I’m never gonna be me again and it’s only been 9 days. I just want to be OK!</t>
        </is>
      </c>
      <c r="D1250" t="n">
        <v>1</v>
      </c>
      <c r="E1250" t="n">
        <v>123</v>
      </c>
      <c r="F1250">
        <f>HYPERLINK("https://www.reddit.com/r/COVID19positive/comments/gnds0l/remember_when_i_said_i_was_all_better_on_day_7/")</f>
        <v/>
      </c>
      <c r="G1250" t="inlineStr">
        <is>
          <t>2020-05-20 08:48:25</t>
        </is>
      </c>
      <c r="H1250" t="inlineStr">
        <is>
          <t>Tested Positive - Me</t>
        </is>
      </c>
    </row>
    <row r="1251">
      <c r="A1251" t="inlineStr">
        <is>
          <t>gne5i6</t>
        </is>
      </c>
      <c r="B1251" t="inlineStr">
        <is>
          <t>They are gonna send me to some government quarantine facility</t>
        </is>
      </c>
      <c r="C1251" t="inlineStr">
        <is>
          <t>I am 16 and this is some scary news pls guys any tips would help</t>
        </is>
      </c>
      <c r="D1251" t="n">
        <v>1</v>
      </c>
      <c r="E1251" t="n">
        <v>14</v>
      </c>
      <c r="F1251">
        <f>HYPERLINK("https://www.reddit.com/r/COVID19positive/comments/gne5i6/they_are_gonna_send_me_to_some_government/")</f>
        <v/>
      </c>
      <c r="G1251" t="inlineStr">
        <is>
          <t>2020-05-20 09:07:56</t>
        </is>
      </c>
      <c r="H1251" t="inlineStr">
        <is>
          <t>Tested Positive - Me</t>
        </is>
      </c>
    </row>
    <row r="1252">
      <c r="A1252" t="inlineStr">
        <is>
          <t>gneeru</t>
        </is>
      </c>
      <c r="B1252" t="inlineStr">
        <is>
          <t>Tramadol and covid-19</t>
        </is>
      </c>
      <c r="C1252" t="inlineStr">
        <is>
          <t>Anyone medicated tramadol while having systems of covid? 
I’m medicated tramadol for spine issues and I am showing symptoms of covid 
Breathing issues 
Low smell and taste 
Fatigue 
Burning in my lungs 
Starting with phlegm coming up from my lungs
But no fever or continues cough
But I can’t speak to my doctor until tomorrow I was just wanting to know if anyone has any worsening of symptoms when you take tramadol 
Thanks in advance</t>
        </is>
      </c>
      <c r="D1252" t="n">
        <v>1</v>
      </c>
      <c r="E1252" t="n">
        <v>6</v>
      </c>
      <c r="F1252">
        <f>HYPERLINK("https://www.reddit.com/r/COVID19positive/comments/gneeru/tramadol_and_covid19/")</f>
        <v/>
      </c>
      <c r="G1252" t="inlineStr">
        <is>
          <t>2020-05-20 09:21:06</t>
        </is>
      </c>
      <c r="H1252" t="inlineStr">
        <is>
          <t>Tested Positive</t>
        </is>
      </c>
    </row>
    <row r="1253">
      <c r="A1253" t="inlineStr">
        <is>
          <t>gnfofy</t>
        </is>
      </c>
      <c r="B1253" t="inlineStr">
        <is>
          <t>tried going to acoffeeshop in seattle and the cops arent wearing masks even though we have a mask law I dont feel safe what can I do?</t>
        </is>
      </c>
      <c r="C1253" t="inlineStr">
        <is>
          <t>So I went to get coffee here in Seattle we have a mask ordinance now and 5 cops are in the shop none of them are wearing masks. I asked and they said that because I was wearing a mask I was safe? I decided not to get coffee. What hypocrites. It really disturbed me. If our leaders and officials arent taking this seriously what then</t>
        </is>
      </c>
      <c r="D1253" t="n">
        <v>1</v>
      </c>
      <c r="E1253" t="n">
        <v>11</v>
      </c>
      <c r="F1253">
        <f>HYPERLINK("https://www.reddit.com/r/COVID19positive/comments/gnfofy/tried_going_to_acoffeeshop_in_seattle_and_the/")</f>
        <v/>
      </c>
      <c r="G1253" t="inlineStr">
        <is>
          <t>2020-05-20 10:27:11</t>
        </is>
      </c>
      <c r="H1253" t="inlineStr">
        <is>
          <t>Presumed Positive - From Doctor</t>
        </is>
      </c>
    </row>
    <row r="1254">
      <c r="A1254" t="inlineStr">
        <is>
          <t>gngxbs</t>
        </is>
      </c>
      <c r="B1254" t="inlineStr">
        <is>
          <t>Two negative tests but have all the symptoms</t>
        </is>
      </c>
      <c r="C1254" t="inlineStr">
        <is>
          <t>Been feeling ill since last Thursday. Started off as scratchy throat into full on fatigue, body aches and brain fog, now bad cough and sob. Killer headaches and a bit of nausea. No fevers. Had two nasal swab tests done two days apart...both came back negative. Dr says she doesn’t trust the tests as I have all the symptoms. Anyone else go through this? It’s so frustrating! Dr said it could be another viral infection but the longer I have this thing the more I think she’s right that it’s covid. 😑😷</t>
        </is>
      </c>
      <c r="D1254" t="n">
        <v>1</v>
      </c>
      <c r="E1254" t="n">
        <v>13</v>
      </c>
      <c r="F1254">
        <f>HYPERLINK("https://www.reddit.com/r/COVID19positive/comments/gngxbs/two_negative_tests_but_have_all_the_symptoms/")</f>
        <v/>
      </c>
      <c r="G1254" t="inlineStr">
        <is>
          <t>2020-05-20 11:30:46</t>
        </is>
      </c>
      <c r="H1254" t="inlineStr">
        <is>
          <t>Presumed Positive - From Doctor</t>
        </is>
      </c>
    </row>
    <row r="1255">
      <c r="A1255" t="inlineStr">
        <is>
          <t>gnjry2</t>
        </is>
      </c>
      <c r="B1255" t="inlineStr">
        <is>
          <t>Update for dizziness</t>
        </is>
      </c>
      <c r="C1255" t="inlineStr">
        <is>
          <t>Dizziness was something that bothered me the most as it was horrible. But I’ve been dizzy free for about a week now and I’m day 65. Hopefully that’s it. Other symptoms persisting but massive decline in dizziness.</t>
        </is>
      </c>
      <c r="D1255" t="n">
        <v>1</v>
      </c>
      <c r="E1255" t="n">
        <v>22</v>
      </c>
      <c r="F1255">
        <f>HYPERLINK("https://www.reddit.com/r/COVID19positive/comments/gnjry2/update_for_dizziness/")</f>
        <v/>
      </c>
      <c r="G1255" t="inlineStr">
        <is>
          <t>2020-05-20 13:58:54</t>
        </is>
      </c>
      <c r="H1255" t="inlineStr">
        <is>
          <t>Presumed Positive - From Doctor</t>
        </is>
      </c>
    </row>
    <row r="1256">
      <c r="A1256" t="inlineStr">
        <is>
          <t>gnjzkp</t>
        </is>
      </c>
      <c r="B1256" t="inlineStr">
        <is>
          <t>Asthma has gotten much worse</t>
        </is>
      </c>
      <c r="C1256" t="inlineStr">
        <is>
          <t>Hey everyone!
So I tested positive about 4 weeks ago and have been asymptomatic, which has been a big relief for me. In fact, I’ve been asymptomatic long enough that the state of Delaware has officially released me from quarantine, presuming that I’m totally done with the virus since ive had it long enough and never actually got sick.
But there’s something kinda weird. Since  March, before I got exposed, my asthma has been really bothering me. Now, I’ve talked to nurses about this and they’ve figured it’s just seasonal allergies. But every single night for a few months now, around 10pm I can feel my throat closing up and I have to grab my rescue inhaler. I haven’t had to use my inhaler like this for years. I’m the last week, it’s gotten muuuch more frequent. Where it was one puff every night since March, now it’s multiple instances a day. This morning I woke up wheezing. I went for my usual 7 mile bike ride today and had to give up 2 miles in because I started wheezing and my throat got tight. I should be done with COVID by now, and it’s unlikely that this was brought on by COVID originally, but is it possible that the after affect of my asymptomatic COVID infection is that my asthma is worse now? I haven’t had an attack like that since college. I’m 28 now. God that’s scary. I’m worried that if I get it again I’ll be in worse condition to take it on than I was when I first got it.</t>
        </is>
      </c>
      <c r="D1256" t="n">
        <v>1</v>
      </c>
      <c r="E1256" t="n">
        <v>9</v>
      </c>
      <c r="F1256">
        <f>HYPERLINK("https://www.reddit.com/r/COVID19positive/comments/gnjzkp/asthma_has_gotten_much_worse/")</f>
        <v/>
      </c>
      <c r="G1256" t="inlineStr">
        <is>
          <t>2020-05-20 14:12:36</t>
        </is>
      </c>
      <c r="H1256" t="inlineStr">
        <is>
          <t>Tested Positive - Me</t>
        </is>
      </c>
    </row>
    <row r="1257">
      <c r="A1257" t="inlineStr">
        <is>
          <t>gnk5aj</t>
        </is>
      </c>
      <c r="B1257" t="inlineStr">
        <is>
          <t>Test accuracy articles have me confused, I could use some advice from a professional</t>
        </is>
      </c>
      <c r="C1257" t="inlineStr">
        <is>
          <t>Recently I've been in prolonged contact with someone who has their COVID-19 test out waiting for results. It was on mothers day and I gave him a hug.
The results should be back tomorrow. If it's negative should I feel safe? I'm in a house that's relatively small with nowhere for me to quarantine with two immuno-compromised people</t>
        </is>
      </c>
      <c r="D1257" t="n">
        <v>1</v>
      </c>
      <c r="E1257" t="n">
        <v>6</v>
      </c>
      <c r="F1257">
        <f>HYPERLINK("https://www.reddit.com/r/COVID19positive/comments/gnk5aj/test_accuracy_articles_have_me_confused_i_could/")</f>
        <v/>
      </c>
      <c r="G1257" t="inlineStr">
        <is>
          <t>2020-05-20 14:46:51</t>
        </is>
      </c>
      <c r="H1257" t="inlineStr">
        <is>
          <t>Tested Positive - Friends</t>
        </is>
      </c>
    </row>
    <row r="1258">
      <c r="A1258" t="inlineStr">
        <is>
          <t>gnlkoa</t>
        </is>
      </c>
      <c r="B1258" t="inlineStr">
        <is>
          <t>Does this EVER go away?</t>
        </is>
      </c>
      <c r="C1258" t="inlineStr">
        <is>
          <t>On my third wave. I’m looking for positive stories of people who have FULLY recovered. Going on this viral roller coaster is almost more mentally challenging than physical. We have a homestead/farm and I’m struggling to keep up. This has been going on since late March.</t>
        </is>
      </c>
      <c r="D1258" t="n">
        <v>1</v>
      </c>
      <c r="E1258" t="n">
        <v>165</v>
      </c>
      <c r="F1258">
        <f>HYPERLINK("https://www.reddit.com/r/COVID19positive/comments/gnlkoa/does_this_ever_go_away/")</f>
        <v/>
      </c>
      <c r="G1258" t="inlineStr">
        <is>
          <t>2020-05-20 16:28:48</t>
        </is>
      </c>
      <c r="H1258" t="inlineStr">
        <is>
          <t>Presumed Positive - From Doctor</t>
        </is>
      </c>
    </row>
    <row r="1259">
      <c r="A1259" t="inlineStr">
        <is>
          <t>gnlovv</t>
        </is>
      </c>
      <c r="B1259" t="inlineStr">
        <is>
          <t>Mycoplasma?</t>
        </is>
      </c>
      <c r="C1259" t="inlineStr">
        <is>
          <t>Has anyone been tested for mycoplasma who’s had long-term covid symptoms? Mycoplasma has many of the same symptoms as covid.</t>
        </is>
      </c>
      <c r="D1259" t="n">
        <v>1</v>
      </c>
      <c r="E1259" t="n">
        <v>2</v>
      </c>
      <c r="F1259">
        <f>HYPERLINK("https://www.reddit.com/r/COVID19positive/comments/gnlovv/mycoplasma/")</f>
        <v/>
      </c>
      <c r="G1259" t="inlineStr">
        <is>
          <t>2020-05-20 16:35:35</t>
        </is>
      </c>
      <c r="H1259" t="inlineStr">
        <is>
          <t>Presumed Positive - From Doctor</t>
        </is>
      </c>
    </row>
    <row r="1260">
      <c r="A1260" t="inlineStr">
        <is>
          <t>gnn2zm</t>
        </is>
      </c>
      <c r="B1260" t="inlineStr">
        <is>
          <t>1 month in and oxygen hasn't improved since hospitalization</t>
        </is>
      </c>
      <c r="C1260" t="inlineStr">
        <is>
          <t>My uncle was hospitalized for a few days 2 weeks after testing positive. It's been 12 days since he was sent home and his oxygen hasn't improved from 93%. He was given oxygen to use at home "as needed". All his symptoms are gone except an occasional cough and SOB that comes with physical activity. We're worried he won't improve because rest is important but he's been moving around and doing things due to boredom.
Has anyone experienced this? How long did it take for your oxygen to get better?</t>
        </is>
      </c>
      <c r="D1260" t="n">
        <v>1</v>
      </c>
      <c r="E1260" t="n">
        <v>4</v>
      </c>
      <c r="F1260">
        <f>HYPERLINK("https://www.reddit.com/r/COVID19positive/comments/gnn2zm/1_month_in_and_oxygen_hasnt_improved_since/")</f>
        <v/>
      </c>
      <c r="G1260" t="inlineStr">
        <is>
          <t>2020-05-20 17:58:49</t>
        </is>
      </c>
      <c r="H1260" t="inlineStr">
        <is>
          <t>Tested Positive - Family</t>
        </is>
      </c>
    </row>
    <row r="1261">
      <c r="A1261" t="inlineStr">
        <is>
          <t>gnnghr</t>
        </is>
      </c>
      <c r="B1261" t="inlineStr">
        <is>
          <t>Do y'all go through this as well?</t>
        </is>
      </c>
      <c r="C1261" t="inlineStr">
        <is>
          <t>It's really hard to explain but i'll explain it to the best of my ability.
When i lose my breath...it sorta happens outta nowhere when im walking or something (lying down aggravates it.). I get chills running down my spine, and i feel warm ness in my chest (almost like im next to a burning hot stove, i think its inflammation of the trachea).  I feel a pressure in my stomach region and sometimes i feel coldness in my chest, and then it hits me...i lose my breath for 1 or 2 seconds and then i catch my breath. This happens again, and again for a period of time.
My dad checked all my airways, lungs and heart with a stethoscope and they're fine. I also checked my heart rate and im always getting something between 72-77 which is normal as well.
So what is this? I don't have swelling in my limbs or anywhere on my body, nor do i have blueness, i haven't coughed blood either.
However when i lose my breath, its the scariest thing ever. Its so unbelievably scary. I can't even begin to describe it. 
I forgot to mention previously but my fingers also have this tingly feeling, and its really scary.
My chest also hurts from both sides.</t>
        </is>
      </c>
      <c r="D1261" t="n">
        <v>1</v>
      </c>
      <c r="E1261" t="n">
        <v>26</v>
      </c>
      <c r="F1261">
        <f>HYPERLINK("https://www.reddit.com/r/COVID19positive/comments/gnnghr/do_yall_go_through_this_as_well/")</f>
        <v/>
      </c>
      <c r="G1261" t="inlineStr">
        <is>
          <t>2020-05-20 18:22:23</t>
        </is>
      </c>
      <c r="H1261" t="inlineStr">
        <is>
          <t>Presumed Positive - From Doctor</t>
        </is>
      </c>
    </row>
    <row r="1262">
      <c r="A1262" t="inlineStr">
        <is>
          <t>gnpcn9</t>
        </is>
      </c>
      <c r="B1262" t="inlineStr">
        <is>
          <t>This is so frustrating.</t>
        </is>
      </c>
      <c r="C1262" t="inlineStr">
        <is>
          <t>Three weeks (give or take a day) since initial symptoms. All symptoms except weakness and fatigue left after a week and a half. Now it still persists. I went to get the mail yesterday and almost collapsed on the lawn. I've been cleared to not be isolated anymore but I'm sleeping 10-15 hours a day so what's it matter? I can't even walk my dog. My partner and household have been wonderful, I'm getting all the support and love I need. But I'm so frustrated, I want to live again but I'm stuck.</t>
        </is>
      </c>
      <c r="D1262" t="n">
        <v>1</v>
      </c>
      <c r="E1262" t="n">
        <v>7</v>
      </c>
      <c r="F1262">
        <f>HYPERLINK("https://www.reddit.com/r/COVID19positive/comments/gnpcn9/this_is_so_frustrating/")</f>
        <v/>
      </c>
      <c r="G1262" t="inlineStr">
        <is>
          <t>2020-05-20 20:26:57</t>
        </is>
      </c>
      <c r="H1262" t="inlineStr">
        <is>
          <t>Tested Positive - Me</t>
        </is>
      </c>
    </row>
    <row r="1263">
      <c r="A1263" t="inlineStr">
        <is>
          <t>gnpun3</t>
        </is>
      </c>
      <c r="B1263" t="inlineStr">
        <is>
          <t>Mood Swings?</t>
        </is>
      </c>
      <c r="C1263" t="inlineStr">
        <is>
          <t>Has anyone who tested positive or is presumed positive experienced odd mood swings? Like rapidly changing through the day. 
I’m day 20 and I’ve had a couple days where in the span of a day, I won’t notice it myself but it will be (nicely) mentioned to me that the prior day, I was having extreme mood swings. Like angry and ready to fight, and 20 minutes later I’m lovey and sweet... then an hour later, I’m moody and cranky again... then I’ll get sad and cry about something small... then later, try to pick a fight... it’s weird because I don’t notice it when it happens but when It’s brought to my attention and I reflect on the prior day... I can definitely see it! 
Anyone else?</t>
        </is>
      </c>
      <c r="D1263" t="n">
        <v>1</v>
      </c>
      <c r="E1263" t="n">
        <v>5</v>
      </c>
      <c r="F1263">
        <f>HYPERLINK("https://www.reddit.com/r/COVID19positive/comments/gnpun3/mood_swings/")</f>
        <v/>
      </c>
      <c r="G1263" t="inlineStr">
        <is>
          <t>2020-05-20 21:02:02</t>
        </is>
      </c>
      <c r="H1263" t="inlineStr">
        <is>
          <t>Presumed Positive - From Doctor</t>
        </is>
      </c>
    </row>
    <row r="1264">
      <c r="A1264" t="inlineStr">
        <is>
          <t>gnq077</t>
        </is>
      </c>
      <c r="B1264" t="inlineStr">
        <is>
          <t>Symptoms comes in waves?</t>
        </is>
      </c>
      <c r="C1264" t="inlineStr">
        <is>
          <t>A week ago I had stomach pain which then turned into an upset stomach, it got better by the Friday so I went into work on the Saturday. Whilst at work I lost my sense of smell and taste (it still hasn’t come back!) and by the time I got home I was feeling ill. I went to bed early. 
I woke up on the Sunday, absolutely breathless, started to cough too, not a persistent cough though just every hour. I lost my appetite and was fatigued. I also had a small fever. I called 111 and spoke to two doctors. Who both said I had symptoms of Covid - 19 and to self isolate and to call back if it got worse. 
The symptoms come in waves, I get bad chest pain on one side and it feels like my chest has pressure on it. It was so bad on Tuesday I ended up having to call 111 again but because I’m managing it alright I just have to keep an eye on it. The breathlessness isn’t there all the time, just when I try and speak. Last night I was trying to get some sleep, turned over and became breathless - didn’t panic just did deep breathing and it eventually calmed down. 
Yesterday, I got dizzy and lightheaded whilst laying down - thankfully I was! Or else I would of fainted! 
Woke up this morning with bad heartburn, which I don’t normally get. Still having GI problems, anything I eat goes right through me, as the doctor told me to eat to have energy to fight this  this thing!
I took a home test kit yesterday and awaiting results. The doctors, I spoke to didn’t rate them at all, told me to test for anti bodies when recovered!
Has anyone else experienced symptoms in waves? Like not all the time?</t>
        </is>
      </c>
      <c r="D1264" t="n">
        <v>1</v>
      </c>
      <c r="E1264" t="n">
        <v>11</v>
      </c>
      <c r="F1264">
        <f>HYPERLINK("https://www.reddit.com/r/COVID19positive/comments/gnq077/symptoms_comes_in_waves/")</f>
        <v/>
      </c>
      <c r="G1264" t="inlineStr">
        <is>
          <t>2020-05-20 21:13:45</t>
        </is>
      </c>
      <c r="H1264" t="inlineStr">
        <is>
          <t>Presumed Positive - From Doctor</t>
        </is>
      </c>
    </row>
    <row r="1265">
      <c r="A1265" t="inlineStr">
        <is>
          <t>gnqvn6</t>
        </is>
      </c>
      <c r="B1265" t="inlineStr">
        <is>
          <t>Day 79, was starting to feel better for a few weeks , was probably 80% feeling better then suddenly today feel like I've been hit by a truck</t>
        </is>
      </c>
      <c r="C1265" t="inlineStr">
        <is>
          <t>I've been sick since march 4th.  Was in the dealing with the after math of it all, trying to manage the lung pain. Have two puffers and have been told to take 1 gram of tylenol every 4 hours amd attempt some sort of activity for atleast 15mins a day that gets me moving.
I did good at that for 10 days. 
Then today I woke up and felt like I had  been hit by a  bus. Usually after I use my puffers in the morning I dont cough at all untill close to bedtime and repeat. 
Today I was coughing all day, have lung pain felt in my chest and upper back and extreme fatigue where I just dont feel like myself .
When it rains ( like it has been for 4 days) I find my shortness of breath is worse and so is my lung pain. Anyone else notice this ?
I'm so frustrated.
79 days and I'm still like this?
I just want to be able to enjoy my life.</t>
        </is>
      </c>
      <c r="D1265" t="n">
        <v>1</v>
      </c>
      <c r="E1265" t="n">
        <v>21</v>
      </c>
      <c r="F1265">
        <f>HYPERLINK("https://www.reddit.com/r/COVID19positive/comments/gnqvn6/day_79_was_starting_to_feel_better_for_a_few/")</f>
        <v/>
      </c>
      <c r="G1265" t="inlineStr">
        <is>
          <t>2020-05-20 22:21:32</t>
        </is>
      </c>
      <c r="H1265" t="inlineStr">
        <is>
          <t>Presumed Positive - From Doctor</t>
        </is>
      </c>
    </row>
    <row r="1266">
      <c r="A1266" t="inlineStr">
        <is>
          <t>gntwbs</t>
        </is>
      </c>
      <c r="B1266" t="inlineStr">
        <is>
          <t>Just got diagnosed</t>
        </is>
      </c>
      <c r="C1266" t="inlineStr">
        <is>
          <t>So, I was pretty positive I had it (no pun intended) and I don’t have any shortness of breath, coughing, anything too bad. The only thing that’s REALLY bad is the extreme fatigue and my muscles ache.
I literally just got off a video chat with a doctor and he said I need to quarantine for two weeks. I’m fine with that. My mom, on the other hand, assumes I don’t actually have it and won’t let me go get an actual test done. I’m more worried about her forcing me to leave. Any suggestions on how I can make her realize that she also needs to take this seriously? And maybe some advice on how to deal with the panic that comes when you first get told you most likely have it?</t>
        </is>
      </c>
      <c r="D1266" t="n">
        <v>1</v>
      </c>
      <c r="E1266" t="n">
        <v>20</v>
      </c>
      <c r="F1266">
        <f>HYPERLINK("https://www.reddit.com/r/COVID19positive/comments/gntwbs/just_got_diagnosed/")</f>
        <v/>
      </c>
      <c r="G1266" t="inlineStr">
        <is>
          <t>2020-05-21 02:47:46</t>
        </is>
      </c>
      <c r="H1266" t="inlineStr">
        <is>
          <t>Presumed Positive - From Doctor</t>
        </is>
      </c>
    </row>
    <row r="1267">
      <c r="A1267" t="inlineStr">
        <is>
          <t>gnudpj</t>
        </is>
      </c>
      <c r="B1267" t="inlineStr">
        <is>
          <t>Lung check follow up?</t>
        </is>
      </c>
      <c r="C1267" t="inlineStr">
        <is>
          <t>Has anyone followed up the lung damage with X-ray/CT scan after a period of time? any sign of improvements (scarring)?</t>
        </is>
      </c>
      <c r="D1267" t="n">
        <v>1</v>
      </c>
      <c r="E1267" t="n">
        <v>10</v>
      </c>
      <c r="F1267">
        <f>HYPERLINK("https://www.reddit.com/r/COVID19positive/comments/gnudpj/lung_check_follow_up/")</f>
        <v/>
      </c>
      <c r="G1267" t="inlineStr">
        <is>
          <t>2020-05-21 03:28:49</t>
        </is>
      </c>
      <c r="H1267" t="inlineStr">
        <is>
          <t>Presumed Positive - From Doctor</t>
        </is>
      </c>
    </row>
    <row r="1268">
      <c r="A1268" t="inlineStr">
        <is>
          <t>gnvjp1</t>
        </is>
      </c>
      <c r="B1268" t="inlineStr">
        <is>
          <t>Is anyone alive after 90 days?</t>
        </is>
      </c>
      <c r="C1268" t="inlineStr">
        <is>
          <t>Been having sometime for 73 days on and off. It felt like each relapse was less severe than the last, until this one. This is the worst one, even more so than the beginning. I feel like my body is fighting and losing.</t>
        </is>
      </c>
      <c r="D1268" t="n">
        <v>1</v>
      </c>
      <c r="E1268" t="n">
        <v>364</v>
      </c>
      <c r="F1268">
        <f>HYPERLINK("https://www.reddit.com/r/COVID19positive/comments/gnvjp1/is_anyone_alive_after_90_days/")</f>
        <v/>
      </c>
      <c r="G1268" t="inlineStr">
        <is>
          <t>2020-05-21 04:59:22</t>
        </is>
      </c>
      <c r="H1268" t="inlineStr">
        <is>
          <t>Tested Positive - Me</t>
        </is>
      </c>
    </row>
    <row r="1269">
      <c r="A1269" t="inlineStr">
        <is>
          <t>gnvtbw</t>
        </is>
      </c>
      <c r="B1269" t="inlineStr">
        <is>
          <t>My doctor reckons my covid negative was a false negative and is it normal to cough up blood?</t>
        </is>
      </c>
      <c r="C1269" t="inlineStr">
        <is>
          <t>Just started coughing up blood a few minutes ago and i have viral chest infection, getting seen to by doctor in the next hour.</t>
        </is>
      </c>
      <c r="D1269" t="n">
        <v>1</v>
      </c>
      <c r="E1269" t="n">
        <v>21</v>
      </c>
      <c r="F1269">
        <f>HYPERLINK("https://www.reddit.com/r/COVID19positive/comments/gnvtbw/my_doctor_reckons_my_covid_negative_was_a_false/")</f>
        <v/>
      </c>
      <c r="G1269" t="inlineStr">
        <is>
          <t>2020-05-21 05:18:36</t>
        </is>
      </c>
      <c r="H1269" t="inlineStr">
        <is>
          <t>Presumed Positive - From Doctor</t>
        </is>
      </c>
    </row>
    <row r="1270">
      <c r="A1270" t="inlineStr">
        <is>
          <t>gnwtdh</t>
        </is>
      </c>
      <c r="B1270" t="inlineStr">
        <is>
          <t>I can never tell if I'm improving or not</t>
        </is>
      </c>
      <c r="C1270" t="inlineStr">
        <is>
          <t>Day 6 in the hospital. 31 year old mom of two. Am I doing better? I can't even tell. I'm still coughing. I'm still short of breath. I still have a fever. Are these things less bad than they were? I can't tell. 
I'm giving this thing everything I have but honestly I don't think it's looking so good. I Facetimed one on one with my ten year old this morning and wondered if I should go ahead and tell her the things I planned to when she got a bit older. In case I don't get that chance later.
I'm a woman with great faith in God. I'm normally and eternal optimist. The only other times I've ever been in the hospital were when I birthed my children. I'm trying to keep the faith. I still believe I will make it out of here. But I'm less convinced than when I came in.</t>
        </is>
      </c>
      <c r="D1270" t="n">
        <v>1</v>
      </c>
      <c r="E1270" t="n">
        <v>14</v>
      </c>
      <c r="F1270">
        <f>HYPERLINK("https://www.reddit.com/r/COVID19positive/comments/gnwtdh/i_can_never_tell_if_im_improving_or_not/")</f>
        <v/>
      </c>
      <c r="G1270" t="inlineStr">
        <is>
          <t>2020-05-21 06:26:13</t>
        </is>
      </c>
      <c r="H1270" t="inlineStr">
        <is>
          <t>Tested Positive - Me</t>
        </is>
      </c>
    </row>
    <row r="1271">
      <c r="A1271" t="inlineStr">
        <is>
          <t>gnxl67</t>
        </is>
      </c>
      <c r="B1271" t="inlineStr">
        <is>
          <t>Update: Received an antibody test two months after being sick and it came back positive</t>
        </is>
      </c>
      <c r="C1271" t="inlineStr">
        <is>
          <t>I posted here at the beginning of April after being sick. After two months I was finally able to get an antibody test and it did detect antibodies on the IgG test (though the specificity of the tests are not available and it’s possible it could be detecting another type of Coronavirus). Although at this time I can’t have a 100% guarantee even with an antibody test that what I had was indeed Covid 19, I feel confident based on how I felt and due to exposure at work that I DID have it. I’m sharing my previous symptoms and experience here now that I have positive antibody test results because my symptoms were not common to what most experience. 
I had many of the symptoms, but mine went more along the lines of the GI issues that they are now discovering. Unfortunately, I was unable to be properly tested because at that time Colorado was only testing at-risk patients, hospitalized patients, and first responders. The teledoctor said based on my situation and timeline of being exposed at work with others in my department who tested positive he thought I was positive as well. He didn't want me going to a clinic and getting a flu test because if I had flu but not COVID then I would be at risk of COVID exposure with a weakened immune system, and if I did have COVID then I would put others at risk of it. He put me on some sort of "list" for testing but said he didn’t know when or if they would call me to be tested and that I should focus on an antibody test when available. 
I did ask him if my symptoms sounded like COVID or the flu because they were a bit odd. For me, it started as what felt almost like allergies or a head cold. Symptoms started a week after work sent us into quarantine after we were potentially exposed. I took a Thursday off from work thinking it was the first day of a cold and would improve. Friday I still felt icky and extremely tired so I took that day off as well thinking I would get sleep over the weekend and be okay. I slept all day Friday. Then on Saturday it did a complete 180 and started to begin to feel like a flu/stomach virus hybrid. I'm not even kidding that one day I had head cold stuff and the next morning I woke up and my head was completely clear (no stuffy/runny nose, watery eyes, sneezing, etc). 
Symptoms turned into a fever (ranged 99.2-99.6 for a week which doesn't seem high, but my normal body temperature is 97.5 so for me it was a fever), aches and pains, chills, fatigue, and nausea. It felt sort of similar to the flu, except that it was worse almost. Whatever I had was the worst that I can remember feeling while sick since maybe childhood. For me, the pain and nausea were the worst. The nausea was almost constant and would oddly ramp up right before eating. If I could manage to get five bites on my stomach it would calm down for about two hours and then come back. Just cramping nausea and pain. The worst night of it I tried to clean my room and bathroom. I tried many days to get up and do things because I'm usually able to do that while sick. That day I was able to clean but I would be able to be up for about half an hour and then have to lie down again to rest. At one point I was lying shivering on my bare bed because I was waiting on my mattress cover to finish drying so that I could make the bed and have fresh sheets. I was so nauseous that I couldn't even get up to take medication for my fever, nausea, or the pain in my back. My boyfriend knew I wasn't feeling well because he came upstairs to do it for me and saw that I was crying from how much it all hurt. I have NEVER felt that bad or been that useless while sick. 
The next day I did the virtual visit with the doctor. He said it's difficult for doctors to tell whether symptoms are from COVID or the flu since they have so many overlapping symptoms. He did say that the flu shot this year was not as effective because we ended up with a different Influenza B strain than the one they vaccinated for. However, he said that even if it were flu that with me having the flu shot I should have only had very mild symptoms since the shot and virus were similar B strains. He prescribed me medication for Tamiflu just in case (because apparently some doctors have seen that it helps with COVID as well) and told me to get over the counter medication for nausea. Over that week the fever, pain, and nausea slowly subsided but then I started having shortness of breath and a dry cough. That got a little scary at a few points but then it seemed to start going away. It was so odd, though. I've never had cold symptoms suddenly vanish, reappear as flu/stomach virus symptoms, and then have chest stuff develop when there was no sinus stuff to cause it. Absolutely horrible and I feel for anyone who has it and is on ventilators. My boyfriend was fighting stomach problems for almost two weeks before starting to feel better although two months later he still has flares. They're exactly the pains/cramps that I had, but these are the only symptoms he has ever shown.
Our roommate never got “sick” but we believe that as contagious as the virus is that he was an asymptomatic carrier.</t>
        </is>
      </c>
      <c r="D1271" t="n">
        <v>3</v>
      </c>
      <c r="E1271" t="n">
        <v>7</v>
      </c>
      <c r="F1271">
        <f>HYPERLINK("https://www.reddit.com/r/COVID19positive/comments/gnxl67/update_received_an_antibody_test_two_months_after/")</f>
        <v/>
      </c>
      <c r="G1271" t="inlineStr">
        <is>
          <t>2020-05-21 07:13:33</t>
        </is>
      </c>
      <c r="H1271" t="inlineStr">
        <is>
          <t>Tested Positive - Me</t>
        </is>
      </c>
    </row>
    <row r="1272">
      <c r="A1272" t="inlineStr">
        <is>
          <t>gny3po</t>
        </is>
      </c>
      <c r="B1272" t="inlineStr">
        <is>
          <t>Timeline of my symptoms and tests</t>
        </is>
      </c>
      <c r="C1272" t="inlineStr">
        <is>
          <t>March 14 to March 25: Low grade fever
April 26: Positive - Nasal swab test 
May 6: Positive - Nasal swab test 
May 8: Negative - Nasal swab test
May 15: Finger prick antibody test - Found IGG antibodies
May 18: Positive - Nasal swab test
Anyone else still testing positive so long after showing symptoms?
I can’t get back to work unless I have 2 negative nasal swab tests.</t>
        </is>
      </c>
      <c r="D1272" t="n">
        <v>1</v>
      </c>
      <c r="E1272" t="n">
        <v>13</v>
      </c>
      <c r="F1272">
        <f>HYPERLINK("https://www.reddit.com/r/COVID19positive/comments/gny3po/timeline_of_my_symptoms_and_tests/")</f>
        <v/>
      </c>
      <c r="G1272" t="inlineStr">
        <is>
          <t>2020-05-21 07:43:17</t>
        </is>
      </c>
      <c r="H1272" t="inlineStr">
        <is>
          <t>Tested Positive - Me</t>
        </is>
      </c>
    </row>
    <row r="1273">
      <c r="A1273" t="inlineStr">
        <is>
          <t>gnyy4r</t>
        </is>
      </c>
      <c r="B1273" t="inlineStr">
        <is>
          <t>Shortness of breath at 4 weeks?</t>
        </is>
      </c>
      <c r="C1273" t="inlineStr">
        <is>
          <t>To be honest I’m not sure what I have. I suffer with anxiety. I was anxious before I contracted covid, during covid, and after. My spo2 is always above 97. I started getting symptoms four weeks ago. Over the past few days I think I have shortness of breath. Can’t figure out if it’s sob or anxiety. I just feel uncomfortable. I’m not gasping for air. I just feel uncomfortable especially doing stuff.  It could be a mental thing. But I never felt anxiety for 24 hrs straight. Talked to my pulmonologist today. He said it could be anxiety. Ordered a chest x Ray and breathing test.</t>
        </is>
      </c>
      <c r="D1273" t="n">
        <v>2</v>
      </c>
      <c r="E1273" t="n">
        <v>20</v>
      </c>
      <c r="F1273">
        <f>HYPERLINK("https://www.reddit.com/r/COVID19positive/comments/gnyy4r/shortness_of_breath_at_4_weeks/")</f>
        <v/>
      </c>
      <c r="G1273" t="inlineStr">
        <is>
          <t>2020-05-21 08:29:59</t>
        </is>
      </c>
      <c r="H1273" t="inlineStr">
        <is>
          <t>Tested Positive</t>
        </is>
      </c>
    </row>
    <row r="1274">
      <c r="A1274" t="inlineStr">
        <is>
          <t>gnyye0</t>
        </is>
      </c>
      <c r="B1274" t="inlineStr">
        <is>
          <t>fiance (who i live with) tested positive for antibodies, i tested negative, doc. wants us to both re-test in a week</t>
        </is>
      </c>
      <c r="C1274" t="inlineStr">
        <is>
          <t>we've heard a few similar stories. both of us probably fall into the camp of "symptoms so mild they could be literally anything, like seasonal allergies" (she lost sense of smell, which happens when her allergies get bad, but was never even hit with a wave of anything that'd resemble any kind of illness, not even the degree of a cold let alone a flu, or any other symptoms, i had a temp of 99 degrees one day when i'm almost always in the 97s and had chills for a half day, with no other symptoms).
we took the abbott antibodies test on sunday and got results back. she got a positive result for antibodies, i got a negative. her mom and three sisters (the other people we've seen throughout the quarantine) also got negative results.
our doc wants us to retest on wednesday in case:
* she got a false positive or i got a false negative
* i took it too early before antibodies were showing up
whats super weird is our friend talked us into pricking our thumbs and doing a test through him and the results mirrored the abbott test (i only had a c for control, hers had a c plus a g, indicating secondary or past infection).
just curious if anyone has encountered anything similar?</t>
        </is>
      </c>
      <c r="D1274" t="n">
        <v>2</v>
      </c>
      <c r="E1274" t="n">
        <v>8</v>
      </c>
      <c r="F1274">
        <f>HYPERLINK("https://www.reddit.com/r/COVID19positive/comments/gnyye0/fiance_who_i_live_with_tested_positive_for/")</f>
        <v/>
      </c>
      <c r="G1274" t="inlineStr">
        <is>
          <t>2020-05-21 08:30:20</t>
        </is>
      </c>
      <c r="H1274" t="inlineStr">
        <is>
          <t>Tested Positive - Family</t>
        </is>
      </c>
    </row>
    <row r="1275">
      <c r="A1275" t="inlineStr">
        <is>
          <t>gnzrhz</t>
        </is>
      </c>
      <c r="B1275" t="inlineStr">
        <is>
          <t>Two months into recovery.</t>
        </is>
      </c>
      <c r="C1275" t="inlineStr">
        <is>
          <t>But I still don’t feel “well”. I’m weak. My shortness of breath is horrible. I have a previously collapsed lung and it’s starting to hurt when I breathe again.  
I’m going to the dr, I know chest pain is bad.  This just sucks ass.  I didn’t get terribly sick, I wasn’t hospitalized, so I consider myself very lucky. 
The worst part?  My job treats it like a joke. I asked about masks, I was told we had them. When I found out we didn’t I got shamed for wanting one like I’m some sort of psycho.  I was exposed at work, and they know that. 
They also wrote me up days after I came back from my quarantine.  They obviously want me gone, they actually included In the write up that my sales weren’t satisfactory for the previous five weeks.  Including the two weeks I had covid and the time before that when shit was hitting the fan and we had no leads. I feel so helpless and blegh.</t>
        </is>
      </c>
      <c r="D1275" t="n">
        <v>3</v>
      </c>
      <c r="E1275" t="n">
        <v>4</v>
      </c>
      <c r="F1275">
        <f>HYPERLINK("https://www.reddit.com/r/COVID19positive/comments/gnzrhz/two_months_into_recovery/")</f>
        <v/>
      </c>
      <c r="G1275" t="inlineStr">
        <is>
          <t>2020-05-21 09:13:57</t>
        </is>
      </c>
      <c r="H1275" t="inlineStr">
        <is>
          <t>Tested Positive - Me</t>
        </is>
      </c>
    </row>
    <row r="1276">
      <c r="A1276" t="inlineStr">
        <is>
          <t>go06by</t>
        </is>
      </c>
      <c r="B1276" t="inlineStr">
        <is>
          <t>Doctor says I had it, tests come back negative, still feel like crap</t>
        </is>
      </c>
      <c r="C1276" t="inlineStr">
        <is>
          <t>I've been sick since January. My Asthma doctor believes somewhere in there it was Covid-19, as well as a persistent sinus infection. I had a negative test back in April, and another yesterday. Both were the rapid tests.
I was coughing and had a low grade fever, those have improved. Until yesterday my pulse ox kept dropping, sometimes to the high 80's. I'm so tired, and I hurt all over. My heart rate sky rockets even when I'm doing nothing. 
My chest hurts, my head hurts, and I'm short of breath, but the specialists keep telling me it's not Covid because of the negative tests. 
Is it possible to get two negative tests? 
I can't stop crying today because I'm SO TIRED and so frustrated that I can't get any help or a proper diagnosis.</t>
        </is>
      </c>
      <c r="D1276" t="n">
        <v>3</v>
      </c>
      <c r="E1276" t="n">
        <v>37</v>
      </c>
      <c r="F1276">
        <f>HYPERLINK("https://www.reddit.com/r/COVID19positive/comments/go06by/doctor_says_i_had_it_tests_come_back_negative/")</f>
        <v/>
      </c>
      <c r="G1276" t="inlineStr">
        <is>
          <t>2020-05-21 09:35:56</t>
        </is>
      </c>
      <c r="H1276" t="inlineStr">
        <is>
          <t>Presumed Positive - From Doctor</t>
        </is>
      </c>
    </row>
    <row r="1277">
      <c r="A1277" t="inlineStr">
        <is>
          <t>go0pcq</t>
        </is>
      </c>
      <c r="B1277" t="inlineStr">
        <is>
          <t>Looking for similar cases (symptoms) to see what I'm expecting.</t>
        </is>
      </c>
      <c r="C1277" t="inlineStr">
        <is>
          <t>Started with flu like symptoms on May11, lost smell may 13, got tired, slept a lot and night sweats.  Temperature has been mostly fine except for the night sweats. I've been a week since appetite forcing my self to eat. Anxiety and minor panic attack but don't think I have trouble breathing or any mayor symptoms. Have diarreah coming and going and a bit of nausea. 
Tested positive yesterday (at day 10 of symptoms) I went to sleep fine but woke up soaked in sweat and with anxiety. A bit of nausea, specially when eating. Taking paracetamol and antibiotics (prescribed). Vitamins, tea, aspirin with lemon thing, nyquil (not prescribed but not advised against it by doctor). 
Have a newborn I'm home and a wife worried. Staying in a different house I managed to find. I was with family and I laws the first 7 days of symptoms until I Isolated myself.
What should I expect? Any chances I get by without getting worse? Does the anxiety calms? That really makes everything worse. Should my wife test herself? It's been 11 days of symptoms for me, non for her or baby or in laws. 
Any tips appreciated. 
Ps. My total admiration for you guys. Reading your stories... you al are way stronger than me. Kudos.</t>
        </is>
      </c>
      <c r="D1277" t="n">
        <v>2</v>
      </c>
      <c r="E1277" t="n">
        <v>11</v>
      </c>
      <c r="F1277">
        <f>HYPERLINK("https://www.reddit.com/r/COVID19positive/comments/go0pcq/looking_for_similar_cases_symptoms_to_see_what_im/")</f>
        <v/>
      </c>
      <c r="G1277" t="inlineStr">
        <is>
          <t>2020-05-21 10:04:16</t>
        </is>
      </c>
      <c r="H1277" t="inlineStr">
        <is>
          <t>Tested Positive</t>
        </is>
      </c>
    </row>
    <row r="1278">
      <c r="A1278" t="inlineStr">
        <is>
          <t>go1qu1</t>
        </is>
      </c>
      <c r="B1278" t="inlineStr">
        <is>
          <t>I’m so confused and upset.</t>
        </is>
      </c>
      <c r="C1278" t="inlineStr">
        <is>
          <t>I tested presumptive positive for COVID on April 3rd via a PCR nasopharyngeal swab. I’ve exhibited almost every symptom of the virus and even stayed the night in my hospital’s COVID unit in mid-April. 
On May 12th and 18th I retested negative for the virus even though I’m still experiencing symptoms. My doctor ordered the Abbott IgG antibody test (not the rapid test), and I got my results yesterday: negative for antibodies. My result was 0.1, and to be considered positive a result of 1.4 is necessary. 
My doctor doesn’t know if 1) my initial PCR test was a false positive, 2) I do have the virus and haven’t made antibodies, or 3) the antibody test is incorrect. 
I feel so confused and upset. What if I don’t have COVID? What if I do and my body isn’t fighting back? I’m truly at a loss and don’t know what to do.</t>
        </is>
      </c>
      <c r="D1278" t="n">
        <v>1</v>
      </c>
      <c r="E1278" t="n">
        <v>13</v>
      </c>
      <c r="F1278">
        <f>HYPERLINK("https://www.reddit.com/r/COVID19positive/comments/go1qu1/im_so_confused_and_upset/")</f>
        <v/>
      </c>
      <c r="G1278" t="inlineStr">
        <is>
          <t>2020-05-21 10:59:18</t>
        </is>
      </c>
      <c r="H1278" t="inlineStr">
        <is>
          <t>Tested Positive - Me</t>
        </is>
      </c>
    </row>
    <row r="1279">
      <c r="A1279" t="inlineStr">
        <is>
          <t>go21uk</t>
        </is>
      </c>
      <c r="B1279" t="inlineStr">
        <is>
          <t>Antibody test positive</t>
        </is>
      </c>
      <c r="C1279" t="inlineStr">
        <is>
          <t>In the first week of April I came down with what I thought was a bad cold. I had very congested sinuses a slight fever that lasted about 2 days, I lost my sense of smell and taste just a few days days later. I never had a cough or significant respiratory symptoms. However, I still decided to quarantine for 3 weeks. I had the antibody test done Monday and my results came back positive this morning. The test was the Abbott done by LabCorp. 
Did anyone else here do the antibody test? What was your results?</t>
        </is>
      </c>
      <c r="D1279" t="n">
        <v>3</v>
      </c>
      <c r="E1279" t="n">
        <v>44</v>
      </c>
      <c r="F1279">
        <f>HYPERLINK("https://www.reddit.com/r/COVID19positive/comments/go21uk/antibody_test_positive/")</f>
        <v/>
      </c>
      <c r="G1279" t="inlineStr">
        <is>
          <t>2020-05-21 11:15:35</t>
        </is>
      </c>
      <c r="H1279" t="inlineStr">
        <is>
          <t>Tested Positive - Me</t>
        </is>
      </c>
    </row>
    <row r="1280">
      <c r="A1280" t="inlineStr">
        <is>
          <t>go28wr</t>
        </is>
      </c>
      <c r="B1280" t="inlineStr">
        <is>
          <t>Sharing experience: 2+ months of fever in Brooklyn</t>
        </is>
      </c>
      <c r="C1280" t="inlineStr">
        <is>
          <t>Hi all,
It's somewhat reassuring to see I'm not alone with this. Everyone I knew who had covid had much milder cases than mine (and mine is "mild;" I've stayed out of the hospital).
I'm 31F, have Ehlers Danlos Syndrome with POTS as underlying conditions, otherwise in relatively good shape. Had a bad bout of mono in 2018-2019, and this feels like that but worse.
I first started having symptoms on March 12, fever, sore throat, swollen lymph nodes. The second week was the worst: I had chest tightness and SOB like I've never had before. Felt like someone was sitting on my chest. As well as GI issues and 0 appetite. Hard to say if I lost sense of taste or smell because I wasn't eating much at all early on. The sore throat, swollen lymph nodes, SOB, and chest tightness went away by weeks 3 and 4, and a chest x-ray at week 7 came back clear. The fever and fatigue have been extremely persistent though.
I've had a pulseox to monitor since Week 4, it occasionally dips to 90-94 but is usually normal (95+).
I've had fever for 9 weeks now. It used to be 100 degrees all the time, it got better, and then it came back, going up to 101 -- this was from a bad secondary bacterial infection. Now I have the low-grade fever again, where it peaks at 100 for a few hours then goes down. I wake up with a 98.9-99.5 temp at 8am, it peaks at around 100.0-100.5 by noon, that lasts for a few hours, and then it gradually goes down to the high 98s at night. It's like clockwork. Energy comes back little by little, only for me to be completely flattened out after a quick walk to the pharmacy or cooking or even a half hour work meeting.
At around weeks 3 and weeks 7, I had flare ups of what dr called a viral exanthem rash on my upper arms and chest. The rash was disconcerting, but a topical steroid cream has calmed it down.
A swab done at week 7 came back negative, antibody test still pending, though I've been told by dr I 99% had it even if the antibody test comes back negative, something to do with Ehlers Danlos patients and tendency towards IgG deficiencies.
Weirdest thing -- I never had a cough through this! Seems like I got a bunch of the other symptoms though.
I seem to be doing better once the secondary infection began to be treated (though it's stubborn, I've had to try 4 different antibiotics, my immune system is just...not working), but still have low-grade fevers and fatigue! Sometimes have chills with them. It's incredibly frustrating, and I'm afraid of people thinking I'm faking at this point because it's been so long.
I'm on a medrol dose pack right now to reduce swelling from the secondary infection, and that has helped with energy...though I don't know what it will be like once I'm off of that.
I'm trying to keep up with taking vitamins...have a propensity for Vitamin D deficiency and definitely have not been going outside much at all. I've lost about 10 lbs through this.
The hardest part is that I live alone so it's hard to truly rest...still need to cook and clean somewhat. Thankfully have had people to bring groceries. And I'm back to work after a week off for the secondary bacterial infection (my work has been incredibly understanding and supportive, thank goodness). It's a lot!
Any tips and tricks that have helped others? Are there others who are sick while living alone?
ETA: also brain fog! the brain fog has been something else! I once had put away spices in my bathroom...</t>
        </is>
      </c>
      <c r="D1280" t="n">
        <v>1</v>
      </c>
      <c r="E1280" t="n">
        <v>4</v>
      </c>
      <c r="F1280">
        <f>HYPERLINK("https://www.reddit.com/r/COVID19positive/comments/go28wr/sharing_experience_2_months_of_fever_in_brooklyn/")</f>
        <v/>
      </c>
      <c r="G1280" t="inlineStr">
        <is>
          <t>2020-05-21 11:26:10</t>
        </is>
      </c>
      <c r="H1280" t="inlineStr">
        <is>
          <t>Presumed Positive - From Doctor</t>
        </is>
      </c>
    </row>
    <row r="1281">
      <c r="A1281" t="inlineStr">
        <is>
          <t>go2c5w</t>
        </is>
      </c>
      <c r="B1281" t="inlineStr">
        <is>
          <t>GI Symtoms and Fever</t>
        </is>
      </c>
      <c r="C1281" t="inlineStr">
        <is>
          <t>Did anyone experience these as the main symptoms with little to now coughing. Also did anyone develop pink eyelids and discharge?</t>
        </is>
      </c>
      <c r="D1281" t="n">
        <v>1</v>
      </c>
      <c r="E1281" t="n">
        <v>13</v>
      </c>
      <c r="F1281">
        <f>HYPERLINK("https://www.reddit.com/r/COVID19positive/comments/go2c5w/gi_symtoms_and_fever/")</f>
        <v/>
      </c>
      <c r="G1281" t="inlineStr">
        <is>
          <t>2020-05-21 11:31:08</t>
        </is>
      </c>
      <c r="H1281" t="inlineStr">
        <is>
          <t>Presumed Positive - From Doctor</t>
        </is>
      </c>
    </row>
    <row r="1282">
      <c r="A1282" t="inlineStr">
        <is>
          <t>go2e09</t>
        </is>
      </c>
      <c r="B1282" t="inlineStr">
        <is>
          <t>Crippling Nightly Leg Pain After 60 Days</t>
        </is>
      </c>
      <c r="C1282" t="inlineStr">
        <is>
          <t>I had a mild case of COVID19 starting on March 22 with symptoms ranging from loss of smell/taste, chest pains, and body aches. Most symptoms started clearing up after two weeks. Nonetheless, I still had intermittent nightly leg pain (in the bone -not the muscle- from the knee down). Recently the pain has gotten more intense and consistently comes every night. It's also spread to my femur. My doctor isn't seeing anyone in person and was only able to prescribe pain killers.
Has anyone else experienced this? Has anything helped? Could it be something unrelated to COVID19? I'm looking for some advice from someone in a similar situation.</t>
        </is>
      </c>
      <c r="D1282" t="n">
        <v>3</v>
      </c>
      <c r="E1282" t="n">
        <v>18</v>
      </c>
      <c r="F1282">
        <f>HYPERLINK("https://www.reddit.com/r/COVID19positive/comments/go2e09/crippling_nightly_leg_pain_after_60_days/")</f>
        <v/>
      </c>
      <c r="G1282" t="inlineStr">
        <is>
          <t>2020-05-21 11:33:39</t>
        </is>
      </c>
      <c r="H1282" t="inlineStr">
        <is>
          <t>Tested Positive</t>
        </is>
      </c>
    </row>
    <row r="1283">
      <c r="A1283" t="inlineStr">
        <is>
          <t>go48bk</t>
        </is>
      </c>
      <c r="B1283" t="inlineStr">
        <is>
          <t>This Feels Far Out.</t>
        </is>
      </c>
      <c r="C1283" t="inlineStr">
        <is>
          <t>Okay so for the last two days I have been having a weird type of dizziness, I can only describe it as an out of body sort of sensation. It doesn't last long, probably about 20 seconds. Tonight as I was walking up the stairs I had a hallucination. I saw someone walk across my living room floor. My boyfriend was upstairs and there is only us two living in our house. I'm on day 19 of symptoms and it seems every other day I get some new bizarre symptom. Anyone else had this? I feel like I'm losing my mind.</t>
        </is>
      </c>
      <c r="D1283" t="n">
        <v>1</v>
      </c>
      <c r="E1283" t="n">
        <v>18</v>
      </c>
      <c r="F1283">
        <f>HYPERLINK("https://www.reddit.com/r/COVID19positive/comments/go48bk/this_feels_far_out/")</f>
        <v/>
      </c>
      <c r="G1283" t="inlineStr">
        <is>
          <t>2020-05-21 13:09:43</t>
        </is>
      </c>
      <c r="H1283" t="inlineStr">
        <is>
          <t>Tested Positive</t>
        </is>
      </c>
    </row>
    <row r="1284">
      <c r="A1284" t="inlineStr">
        <is>
          <t>go4917</t>
        </is>
      </c>
      <c r="B1284" t="inlineStr">
        <is>
          <t>Recovered...6 Weeks later</t>
        </is>
      </c>
      <c r="C1284" t="inlineStr">
        <is>
          <t>So, I tested positive the end of March and was down for two weeks. The County Health Department "cleared" me after 3 days being symptom free. They told me I'd feel a few effects long term, but most lack of energy. It took about two weeks for me to feel like myself, able to work out and not feel so exhausted all the time. It's now been about 6 weeks and my breathing still hasn't fully recovered. When I exert myself my chest hurts like when I was sick. Is this normal for recovering patients? I don't know a single person who's tested positive. I just set up a Doctor appointment for Tuesday. I feel fine otherwise but, what if I still have it? I'm looking for people that can speak with real knowledge/experience.</t>
        </is>
      </c>
      <c r="D1284" t="n">
        <v>1</v>
      </c>
      <c r="E1284" t="n">
        <v>9</v>
      </c>
      <c r="F1284">
        <f>HYPERLINK("https://www.reddit.com/r/COVID19positive/comments/go4917/recovered6_weeks_later/")</f>
        <v/>
      </c>
      <c r="G1284" t="inlineStr">
        <is>
          <t>2020-05-21 13:10:42</t>
        </is>
      </c>
      <c r="H1284" t="inlineStr">
        <is>
          <t>Tested Positive - Me</t>
        </is>
      </c>
    </row>
    <row r="1285">
      <c r="A1285" t="inlineStr">
        <is>
          <t>go4gjd</t>
        </is>
      </c>
      <c r="B1285" t="inlineStr">
        <is>
          <t>COVID &amp;amp; Anxiety / Depression</t>
        </is>
      </c>
      <c r="C1285" t="inlineStr">
        <is>
          <t>Ive posted my story about a week ago. Tomorrow makes 2 months of still feeling shitty. 
For those who have tested positive &amp;amp; have been sick for so long, if anxiety / depression settled in how did you handle it? 
I’m so tired of being tired &amp;amp; this has taken a huge toll on my mental health. I’ve tried meditating, hot showers , yoga breathing, music even Xanax to calm the nerves a bit . I’ve also been taking vitamin b12, D, Folate, &amp;amp; fish oils in hopes that’d help a bit . But at this point I think my body is just exaughsted. 
Any ideas would be awesome .</t>
        </is>
      </c>
      <c r="D1285" t="n">
        <v>2</v>
      </c>
      <c r="E1285" t="n">
        <v>17</v>
      </c>
      <c r="F1285">
        <f>HYPERLINK("https://www.reddit.com/r/COVID19positive/comments/go4gjd/covid_anxiety_depression/")</f>
        <v/>
      </c>
      <c r="G1285" t="inlineStr">
        <is>
          <t>2020-05-21 13:21:29</t>
        </is>
      </c>
      <c r="H1285" t="inlineStr">
        <is>
          <t>Tested Positive</t>
        </is>
      </c>
    </row>
    <row r="1286">
      <c r="A1286" t="inlineStr">
        <is>
          <t>go4jxg</t>
        </is>
      </c>
      <c r="B1286" t="inlineStr">
        <is>
          <t>Day 67 Update and POSITIVE stuff. 59 F Athlete Asthma, Sjögren’s</t>
        </is>
      </c>
      <c r="C1286" t="inlineStr">
        <is>
          <t>I posted my journey way back in March in this sub  and kept updating daily. 
And many reached out, thank you! Chatting with you all sure helped!!! 
My story also made national news paper and I was interviewed on National TV. 
I had 14 of the 14 symptoms...perfect score! 🏅 
https://www.reddit.com/r/COVID19positive/comments/fmiqpr/day_6_symptoms_list_suggestions_59f_auto_immune/?utm_source=share&amp;amp;utm_medium=ios_app
I also posted “must haves” list at the bottom of that post for Covid-newbies. 
So the lingering stuff. Yes it drags on and on. Even the SOB came and went for the longest time and every once in a while I can STILL feel it, even now Day 67. 
Up until about Day 46 I had that overwhelming exhaustion feeling. You KNOW exactly what I’m talking about. But around Day 43-46 it started to change up and the bad stuff got better. Not fully but definitely enough to start slow walks. 
I REFUSE to let this Covid-b@sturd take me down! I REFUSE to let stress or anxiety weaken my immunity! 
HOWEVER....I AM doing physical stuff, 10km walks. Gardening (for those who don’t know, gardening is akin to yoga-ninja-ballet. It’s a killer workout. Don’t mess with those elderly weed pulling gardeners! They’ll kick yer butt....then bake you cookies, dammit!)
I’m also back to my hobby of rock hounding, cutting, wrapping etc. Also very SUPER physical. 
(My IG is fairy_lake_gemstones  ...I’ve been giving them to frontline workers out of appreciation)
I am STILL on the vitamin express. Trying to put good stuff in the temple. I know when I have to stop doing  work or activities and sit. Oh, the odd glass or two of wine is imbibed but it’s celebratory, on a battle well fought! 
(Disclaimer: Do NOT drink alcohol while that Virus is surging and rampant!! You will regret it. You need every drop of hydration and alcohol has the opposite effect. Even now, I will drink water right after said vino.)
The one lingering or new thing I have going on is waking up in the morning with numb tingling hands. Like when you sleep on your arm and it goes numb. And prickly....but I’m not sleeping on my hands. Weird af!!
But I will take that over any of the other symptoms on the Covid Roulette wheel any day!
Keep up the good fight my fellow COVID-WARRIORS!! Or is it Covid-Cronies? 
Lower your anxiety, and remember, stress reduces your bodies ability to fight. Channel that inner zen. 100% DESTRESS! I can’t stress that enough. 😂 
Remember, when you piddle, replace every drop by drinking water right away. 
Pee, then drink H2O, repeat, all day, all night, every day, non stop. That is your full time job. (Pays dividends)
You got this folks. One day we will all come together and talk about the heinous olden days of Covid. Over a nice Cabernet. 
Gentle hugs...from this Covid team mate. Fight on 💪🏼</t>
        </is>
      </c>
      <c r="D1286" t="n">
        <v>1</v>
      </c>
      <c r="E1286" t="n">
        <v>66</v>
      </c>
      <c r="F1286">
        <f>HYPERLINK("https://www.reddit.com/r/COVID19positive/comments/go4jxg/day_67_update_and_positive_stuff_59_f_athlete/")</f>
        <v/>
      </c>
      <c r="G1286" t="inlineStr">
        <is>
          <t>2020-05-21 13:26:21</t>
        </is>
      </c>
      <c r="H1286" t="inlineStr">
        <is>
          <t>Presumed Positive - From Doctor</t>
        </is>
      </c>
    </row>
    <row r="1287">
      <c r="A1287" t="inlineStr">
        <is>
          <t>go74ls</t>
        </is>
      </c>
      <c r="B1287" t="inlineStr">
        <is>
          <t>My story I think I have pos. Since March , 59 yr female good health, work out</t>
        </is>
      </c>
      <c r="C1287" t="inlineStr">
        <is>
          <t>Was traveling (Flying) to florida from virginia all summer (about every 3-4 weeks) taking care of my elderly parents. My father passed Aug. and my mother now lives with us. Was having strange left neck soreness when palpated would hurt like I had been punched or something. In March 19th ish I felt like bricks were on my chest. My lungs felt like they were expanded and would not empty. I am nurse so had pulse ox O2 sat 97%. At night my heart beaT irregular would speed up and then down. Used albuterol inhaler which helped some. Prednisone made chest feel worse. Fatigue big time but had been having that for about month anyway. I thought all was related to stress with parents, I retired early to care for mom etc. Sometimes would feel better in day and then get worse as day wore on. One night body felt like it was on fire, not like regular hot flash. I woke up with thick goop coming out of eyes. I then began to notice abdominal bloating that made the breathing more difficult. I then added Prilosec and helped. I get up feeling ok in morning but by noon I am exhausted and slow way down. I nap sometimes for 2-3 hours in early evening and then sleep 6-7 at night. 62 days and today my chest feels just a little tight, I am having pelvic soreness like when I used to have periods and feel super bloated. I just had ultrasound at OBGYN and all looked normal. It had crossed my mind Could  All of this be covid? But now I know it is because now that these posts are getting out, it is obvious. I had flown to Utah in February and There was a lady coughing behind us on the plane. My husband is real focused on that stuff and mentioned it. I have been walking 2.7 miles some days but it takes everything I have to do much else. 
I Also think about when I was in the military when comrades had been exposed to chemical weapons (the birds fell dead out of the sky), they would have all of these different symptoms that no one could pinpoint And many chronic. I can’t help but wonder because all is chaos.</t>
        </is>
      </c>
      <c r="D1287" t="n">
        <v>1</v>
      </c>
      <c r="E1287" t="n">
        <v>3</v>
      </c>
      <c r="F1287">
        <f>HYPERLINK("https://www.reddit.com/r/COVID19positive/comments/go74ls/my_story_i_think_i_have_pos_since_march_59_yr/")</f>
        <v/>
      </c>
      <c r="G1287" t="inlineStr">
        <is>
          <t>2020-05-21 15:46:51</t>
        </is>
      </c>
      <c r="H1287" t="inlineStr">
        <is>
          <t>Presumed Positive - From Doctor</t>
        </is>
      </c>
    </row>
    <row r="1288">
      <c r="A1288" t="inlineStr">
        <is>
          <t>go7whq</t>
        </is>
      </c>
      <c r="B1288" t="inlineStr">
        <is>
          <t>27 F tested positive with oral swan</t>
        </is>
      </c>
      <c r="C1288" t="inlineStr">
        <is>
          <t>Hi everyone,
Just feeling super confused right now.
I’m in LA County so very easy to get tested right now. Felt an earache about a week and a half ago so did a telehealth call with my doctor. She prescribed me antibiotic drops and said she has seen some with earache so to get tested if able. Got tested last Thursday at a drive in site. To be honest, I convinced myself that I didn’t have it because I feel perfectly fine. Also had my dad go with me since he’s 66 and diabetic. We both found out we tested positive. 
Is it possible for symptoms to come later? 
My heart is definitely going crazy now but that’s definitely just fear. Have a telehealth call with a doctor in a few minutes and I don’t even know what to ask. 
Thanks, everyone.</t>
        </is>
      </c>
      <c r="D1288" t="n">
        <v>1</v>
      </c>
      <c r="E1288" t="n">
        <v>12</v>
      </c>
      <c r="F1288">
        <f>HYPERLINK("https://www.reddit.com/r/COVID19positive/comments/go7whq/27_f_tested_positive_with_oral_swan/")</f>
        <v/>
      </c>
      <c r="G1288" t="inlineStr">
        <is>
          <t>2020-05-21 16:30:27</t>
        </is>
      </c>
      <c r="H1288" t="inlineStr">
        <is>
          <t>Tested Positive - Me</t>
        </is>
      </c>
    </row>
    <row r="1289">
      <c r="A1289" t="inlineStr">
        <is>
          <t>go85nb</t>
        </is>
      </c>
      <c r="B1289" t="inlineStr">
        <is>
          <t>Red, bumpy, swollen hands</t>
        </is>
      </c>
      <c r="C1289" t="inlineStr">
        <is>
          <t>I got my positive test today after 3 days of mild symptoms including loss of smell and taste. By far the most concerning symptom is that both of my hands feel like they have electric, burning nerve pain. They are patchy red with a few bumps, and swollen. Has anyone else experienced this? Have any idea what is causing it or an idea for treatment?</t>
        </is>
      </c>
      <c r="D1289" t="n">
        <v>1</v>
      </c>
      <c r="E1289" t="n">
        <v>6</v>
      </c>
      <c r="F1289">
        <f>HYPERLINK("https://www.reddit.com/r/COVID19positive/comments/go85nb/red_bumpy_swollen_hands/")</f>
        <v/>
      </c>
      <c r="G1289" t="inlineStr">
        <is>
          <t>2020-05-21 16:44:55</t>
        </is>
      </c>
      <c r="H1289" t="inlineStr">
        <is>
          <t>Tested Positive - Me</t>
        </is>
      </c>
    </row>
    <row r="1290">
      <c r="A1290" t="inlineStr">
        <is>
          <t>go8jqx</t>
        </is>
      </c>
      <c r="B1290" t="inlineStr">
        <is>
          <t>Weird symptoms</t>
        </is>
      </c>
      <c r="C1290" t="inlineStr">
        <is>
          <t>So I’m on what I believe is day 9. My tongue is burning. Anyone else get burning tongue? Today is also the first day I got a temp, although it was low at 99.4. It’s weird because I can’t tell if I’m causing some of my symptoms with my anxiety. I get SOB but more like breathless. If I breathe I breathe fine my oxygen stays around 98. 
I also haven’t slept in 2 days. Whenever I try to sleep and doze I immediately wake up. I’m an emotional rollercoaster. I get random pains in my back. Yesterday I had a fizzing sensation like someone put Alka-Seltzer in my torso. I was presumed positive March 10th and had more symptoms then. My whole family got sick then as well. Now here I am and I’m the only sick one. Maybe this is post viral and I’m just testing positive? Either way I keep reading about people dying alone in hospitals and I just sit up and cry for hours. Sorry I’m all over the place. I also have never lost smell or taste is that weird? 
Going crazy</t>
        </is>
      </c>
      <c r="D1290" t="n">
        <v>1</v>
      </c>
      <c r="E1290" t="n">
        <v>7</v>
      </c>
      <c r="F1290">
        <f>HYPERLINK("https://www.reddit.com/r/COVID19positive/comments/go8jqx/weird_symptoms/")</f>
        <v/>
      </c>
      <c r="G1290" t="inlineStr">
        <is>
          <t>2020-05-21 17:07:29</t>
        </is>
      </c>
      <c r="H1290" t="inlineStr">
        <is>
          <t>Tested Positive</t>
        </is>
      </c>
    </row>
    <row r="1291">
      <c r="A1291" t="inlineStr">
        <is>
          <t>goa8nj</t>
        </is>
      </c>
      <c r="B1291" t="inlineStr">
        <is>
          <t>Sores in the back of my throat</t>
        </is>
      </c>
      <c r="C1291" t="inlineStr">
        <is>
          <t>Has anyone else experienced sores in the back of their throat ? Mine bleed and hurt so bad I can barely eat drink or even swallow my saliva 😫 if anyone has experienced these what did you do to help them heal up</t>
        </is>
      </c>
      <c r="D1291" t="n">
        <v>1</v>
      </c>
      <c r="E1291" t="n">
        <v>11</v>
      </c>
      <c r="F1291">
        <f>HYPERLINK("https://www.reddit.com/r/COVID19positive/comments/goa8nj/sores_in_the_back_of_my_throat/")</f>
        <v/>
      </c>
      <c r="G1291" t="inlineStr">
        <is>
          <t>2020-05-21 18:51:16</t>
        </is>
      </c>
      <c r="H1291" t="inlineStr">
        <is>
          <t>Tested Positive - Me</t>
        </is>
      </c>
    </row>
    <row r="1292">
      <c r="A1292" t="inlineStr">
        <is>
          <t>goa8xh</t>
        </is>
      </c>
      <c r="B1292" t="inlineStr">
        <is>
          <t>Long Term Covid Cases- Possible GERD Ulcer Gastro Issue Connection</t>
        </is>
      </c>
      <c r="C1292" t="inlineStr">
        <is>
          <t>Long-time lurker on this sub. Reading all of your experiences, especially those of us with long term symptoms has helped me feel not so alone, so thank you.
33/F healthy and fit before covid, used to work out 5X a week (hiit and strength training). Non smoker, non drinker, I rarely even eat processed food or sugar. My friends refer to me as a “supplement junkie” so you know I’ve been hitting those hard this whole time.
I have been symptomatic for 66 days. Symptoms began 3/15, Tested positive 3/30. Tested Negative 5/19, yet symptoms persist and I am still basically bed ridden. 
Like many others on this thread, my symptoms come in waves and peaks and alternate between shortness of breath, heaviness in my chest, burning feeling in lungs, stabbing feeling around lungs, feeling like the lungs and heart are being squeezed, extremely sore ribs, low-grade fever, body aches especially in the neck and back, feeling like my throat is closing off, chills, clammy skin, dizziness, faintness, increased heart rate, breathlessness doing simple tasks or when bending down, general weakness, excessive belching, bloating, lack of appetite, muscle spasms, burning eyes, burning inner ears, brain fog, sweaty palms, aching calf muscles, headaches.
I’ve been to the ER three times in the last 9 weeks. Chest Xrays, CT scan, lots of blood work- always comes back normal.
Over the past 4 weeks, my lung pain has diminished by 40%, however, my gastric symptoms have gotten worse and my SOB and increased heart rate persist. Constant reflux, inability to eat without being in pain, extreme burning sensation in my stomach and esophagus, difficulty swallowing, severe heartburn, abdominal swelling, constant belching.
Upon further investigation, these symptoms are eerily similar to GERD. GERD can even cause shortness of breath, chest pain, increased heart rate, fevers, sweating, metallic taste in mouth.
My thought is that the infection moved into my GI tract, causing complications. And I still have respiratory issues and residual inflammation that are now being exacerbated by the GI symptoms (gases creating pressure in the chest cavity, possible gastric fluids moving from esophagus to lungs). Also, when the lungs are inflamed they take up more space in the body, creating excess pressure on the stomach, diaphragm and intestines. I believe these two issues in tandem are preventing me from recovering.
My PCP has been basically useless this entire time. Doctors are clueless about this virus. I told her my GI troubles have gotten way worse the last 3 days and she suggested I go back to the ER to rule out internal bleeding. ER doctor diagnosed me with “Gastric Reflux” but thinks it’s highly likely I have an ulcer or some other GI issue as a complication of Covid. She told me to get into a Gastroenterology specialist ASAP. The hospital I go to doesn’t have the ability to do endoscopies for some absurd reason. Internal bleeding has yet to be ruled out.
Covid attacks the epithelial cells in the lungs, esophagus and intestines, so very likely that some of us will suffer GI complications. I also read that COPD sufferers are more likely to develop GERD, since COPD and Covid have so many overlapping symptoms, GERD should be on our radar. 
I thought I would share these findings just in case it helps someone. Go to a gastroenterologist at early signs of GI distress, or start eating a low-acid diet right away. Don't’ wait it out for a month like I did. I’m waiting for my referral to go through to a specialist. While I wait I’m treating my symptoms with OTC medications and pure aloe, DGL, and mastic gum, although I’ve yet to feel much relief.
I notice about an hour after eating is when my oxygen drops (I use a Walgreens pulse oximeter)- I’ve dropped to levels as low as 78, 84, 79, 87 in the last couple days. Almost like my body is using so much oxygen for digestion that it doesn’t have enough for the rest of my body? I use canned oxygen (like they sell at sports stores for hiking) and my levels come up fairly quickly. I try my best to keep a close eye on that. Annoyed that my PCP or the hospital hasn’t prescribed me oxygen despite telling them how low I dip from time to time. 
I also want to note that I am still in quarantine, because I believe it’s likely that I’m still infectious.</t>
        </is>
      </c>
      <c r="D1292" t="n">
        <v>1</v>
      </c>
      <c r="E1292" t="n">
        <v>67</v>
      </c>
      <c r="F1292">
        <f>HYPERLINK("https://www.reddit.com/r/COVID19positive/comments/goa8xh/long_term_covid_cases_possible_gerd_ulcer_gastro/")</f>
        <v/>
      </c>
      <c r="G1292" t="inlineStr">
        <is>
          <t>2020-05-21 18:51:50</t>
        </is>
      </c>
      <c r="H1292" t="inlineStr">
        <is>
          <t>Tested Positive</t>
        </is>
      </c>
    </row>
    <row r="1293">
      <c r="A1293" t="inlineStr">
        <is>
          <t>gocfw9</t>
        </is>
      </c>
      <c r="B1293" t="inlineStr">
        <is>
          <t>Body Coldness/Heart Rate Dropped/Leg buzzing</t>
        </is>
      </c>
      <c r="C1293" t="inlineStr">
        <is>
          <t>Good Evening, 
&amp;amp;#x200B;
Been feeling much colder everyday (seeing deep blue veins in hands after a shower) and heart rate dropped from 66-71 to 53-53 today. Also, legs have had pain, lots of weird stuff going on there. 
&amp;amp;#x200B;
Should i be worried or is this just the virus doing its thing?</t>
        </is>
      </c>
      <c r="D1293" t="n">
        <v>1</v>
      </c>
      <c r="E1293" t="n">
        <v>13</v>
      </c>
      <c r="F1293">
        <f>HYPERLINK("https://www.reddit.com/r/COVID19positive/comments/gocfw9/body_coldnessheart_rate_droppedleg_buzzing/")</f>
        <v/>
      </c>
      <c r="G1293" t="inlineStr">
        <is>
          <t>2020-05-21 21:19:46</t>
        </is>
      </c>
      <c r="H1293" t="inlineStr">
        <is>
          <t>Tested Positive</t>
        </is>
      </c>
    </row>
    <row r="1294">
      <c r="A1294" t="inlineStr">
        <is>
          <t>gocluj</t>
        </is>
      </c>
      <c r="B1294" t="inlineStr">
        <is>
          <t>IV Vitamin Therapy for 60 day post infection flare up SO helpful</t>
        </is>
      </c>
      <c r="C1294" t="inlineStr">
        <is>
          <t>So I'm at about 65 days post infection and about 3 days ago I think I started what seemed to be a flare. Felt EXHAUSTED, low fever, body aches and aching/hurting lungs and hard to take a deep breath. 
I got worried and decided to go to my doctor who is a  functional medicine doctor, and received an IV of Vitamin C as well as many vitamins and minerals, (B vitamins, zinc, various amino acids, magnesium potassium etc) and a glutathione push. 
Let me just say I was very skeptical this would do anything at all, but my doctor has been saying she's had success helping people get better with IV Vitamin Therapy who were very sick at the start of their illness, and I thought, what the hell, can't hurt to try, I didn't want to go backwards and be in a position of feeling terrible again. 
Holy hell, I can't explain how even just an hour after the IV I was feeling a huge improvement! I'm talking major decrease in symptoms and a huge jump in energy. I honestly am still in shock it was SO helpful THAT quickly. She said over the next few days I should continue to see benefits but I'm blown away on how something so simple could help to improve how I was feeling so quickly. 
I'm not saying this is a miracle cure, I still clearly have a lot of healing to do, but really giving the body what it needs to heal amazingly seems to work. I have been taking supplements with all of what was in the IV, but IV dosage is higher and greater absorption so clearly makes a difference. 
I just know many of you are struggling with fighting this a long time and wanted to share my experience of something that has been helpful, genuinely so so helpful. Some might say it's a hoax or nonsense but I can tell you how it's made me feel so far in terms of lessening of symptoms during this flare up is pretty insane. 
Just a preface, it was rather expensive... Only downside. About $250, so I know that may be a barrier for some. 
Anyone else done anything similar and seen improvement as well? Pretty amazing stuff!</t>
        </is>
      </c>
      <c r="D1294" t="n">
        <v>1</v>
      </c>
      <c r="E1294" t="n">
        <v>126</v>
      </c>
      <c r="F1294">
        <f>HYPERLINK("https://www.reddit.com/r/COVID19positive/comments/gocluj/iv_vitamin_therapy_for_60_day_post_infection/")</f>
        <v/>
      </c>
      <c r="G1294" t="inlineStr">
        <is>
          <t>2020-05-21 21:32:06</t>
        </is>
      </c>
      <c r="H1294" t="inlineStr">
        <is>
          <t>Presumed Positive - From Doctor</t>
        </is>
      </c>
    </row>
    <row r="1295">
      <c r="A1295" t="inlineStr">
        <is>
          <t>gog8dl</t>
        </is>
      </c>
      <c r="B1295" t="inlineStr">
        <is>
          <t>Day 70+ New symptom - extremely high resting heart rate</t>
        </is>
      </c>
      <c r="C1295" t="inlineStr">
        <is>
          <t>I am still having lung issues and my heart feels like it is beating out of my chest.  My pulse oximeter is showing a resting heart rate of 90-115 and just have a constant feeling of unwell.
Stay safe everyone</t>
        </is>
      </c>
      <c r="D1295" t="n">
        <v>1</v>
      </c>
      <c r="E1295" t="n">
        <v>84</v>
      </c>
      <c r="F1295">
        <f>HYPERLINK("https://www.reddit.com/r/COVID19positive/comments/gog8dl/day_70_new_symptom_extremely_high_resting_heart/")</f>
        <v/>
      </c>
      <c r="G1295" t="inlineStr">
        <is>
          <t>2020-05-22 02:35:37</t>
        </is>
      </c>
      <c r="H1295" t="inlineStr">
        <is>
          <t>Tested Positive - Me</t>
        </is>
      </c>
    </row>
    <row r="1296">
      <c r="A1296" t="inlineStr">
        <is>
          <t>goi3kf</t>
        </is>
      </c>
      <c r="B1296" t="inlineStr">
        <is>
          <t>Week 11 blood oxygen dips and</t>
        </is>
      </c>
      <c r="C1296" t="inlineStr">
        <is>
          <t>Hi Reddit.
Id like your thoughts on this. I know most of us are not doctors but maybe we have similar stories.
A short overview:
It's week eleven for me now since I got sick in early march, untested until halfway May which ofc came back negative.
Had the whole list: Fever, problems catching breath, heavy burning lung feeling and fatigue up until halfway april and got stuck with an annoying high heartrate and nonstamina whatsoever. Cardiologist calls it "post viral symptoms" based on the story. Three doctors presume I was infected in March.
They checked my heart and lungs with a CT scan and they look fine, bloodwork came back clear at least five times already. Only low vitamin D, potassium was fine (checked bcs Reddit advice, thanks stranger.)
After spending a night in the ER in week 9, days later I relapsed like I have it all over again with a fresh symptom list. Cant make it for half a mile without chest tightness and heavy breathing plus a heartrate of over 130 for hours. 
I was a healthy 10.000 steps a day 30+ person up until february. Now I can barely help my wife do the entire dishes unless I sleep it off. 
The main question:
Since a week I randomly experience spo2 dips on the Pulse oximeter. Usually it's around 96-97 but it has often been on 95 and lower the past few days. I dont know what it was during the first weeks bcs I didn't have it back then but since late March its never been lower than 94 up until now.
Is anyone else still experiencing something similar this late? The doctor at the ER was all: "Yeah that's strange" but it didn't occur enough at the hospital to admit me, which is good news but on the other end Im stuck with periodic low readings below 95 while tests show nothing wrong. Any thoughts on when to actually worry about those Pulse oxi readings? The device was checked at the hospital and seems to work fine, no I dont have cold fingers ;)
Thanks for taking the time to read this and maybe reply. Hope we all get well soon again.</t>
        </is>
      </c>
      <c r="D1296" t="n">
        <v>1</v>
      </c>
      <c r="E1296" t="n">
        <v>51</v>
      </c>
      <c r="F1296">
        <f>HYPERLINK("https://www.reddit.com/r/COVID19positive/comments/goi3kf/week_11_blood_oxygen_dips_and/")</f>
        <v/>
      </c>
      <c r="G1296" t="inlineStr">
        <is>
          <t>2020-05-22 05:03:53</t>
        </is>
      </c>
      <c r="H1296" t="inlineStr">
        <is>
          <t>Presumed Positive - From Doctor</t>
        </is>
      </c>
    </row>
    <row r="1297">
      <c r="A1297" t="inlineStr">
        <is>
          <t>gom4rw</t>
        </is>
      </c>
      <c r="B1297" t="inlineStr">
        <is>
          <t>A little good news...</t>
        </is>
      </c>
      <c r="C1297" t="inlineStr">
        <is>
          <t>My 17 year old tested negative 3 weeks and 3 weeks  1 day from her first symptom.(2 tests) Still has muted smell and taste. Her symptoms while sick were breathing issues, fatigue, headaches,dizziness, GI issues, fever, chest pain, all of which have subsided except occasional headache if she doesn’t hydrate enough.  Just wanted to share something good :) Hope everyone is doing okay today❤️</t>
        </is>
      </c>
      <c r="D1297" t="n">
        <v>2</v>
      </c>
      <c r="E1297" t="n">
        <v>12</v>
      </c>
      <c r="F1297">
        <f>HYPERLINK("https://www.reddit.com/r/COVID19positive/comments/gom4rw/a_little_good_news/")</f>
        <v/>
      </c>
      <c r="G1297" t="inlineStr">
        <is>
          <t>2020-05-22 09:07:23</t>
        </is>
      </c>
      <c r="H1297" t="inlineStr">
        <is>
          <t>Tested Positive - Me</t>
        </is>
      </c>
    </row>
    <row r="1298">
      <c r="A1298" t="inlineStr">
        <is>
          <t>gom5j5</t>
        </is>
      </c>
      <c r="B1298" t="inlineStr">
        <is>
          <t>Day 57 - back from ER, possible LVEF numbers causing symptoms - anyone else?</t>
        </is>
      </c>
      <c r="C1298" t="inlineStr">
        <is>
          <t>Hi guys - just wanted to give an update, hopefully it's useful.
tl;dr - 26M (in UK), day 57 - last night went to ER for a CT scan (all clear) and a Cardiac Echo (ultrasound on heart). Ultrasound revealed left ventricle ejection fraction (LVEF) of \~35-40% (normal is 55%-70%) which is an indicator of myocarditis (although not definite). No inflammation or anything else wrong with the heart aside from the high resting heart rate (90-120). Medication provided to bring heart rate down and blood pressure: possible recovery 1-6 months+ if medication doesn't help.
Oh I also tested negative for covid-19 on day 40 and had a test yesterday - day 56 (awaiting results but will presume that's negative too - no antibody test available yet in UK).
Longer version -
I went to the ER yesterday (day 56) because my heart rate was still high, my lingering symptoms since the typical covid symptoms &amp;gt; rest period &amp;gt; relapse have been; elevated heart rate, shortness of breath (particularly on exertion - even 20 mins walk) and fatigue here and there. These symptoms hit me in the mornings after I wake up then alleviate by 11am-ish and start again after 8pm until I fall asleep (no problems falling asleep or getting 7-albeit disturbed- hours of sleep a night).
My ER visit a couple of weeks ago featured an ultrasound of the heart that checked for fluid around the heart and possible signs of inflammation around the heart only. My chest x-ray at this time also showed nothing and my bloods were good. My more in-depth ultrasound yesterday showed the LVEF 35-40% without any further issues in the heart observed. My troponin levels were negative and normal (5ng/ml) and my CRP &amp;lt; 1. CT scan revealed nothing abnormal and ECG was also good (possible interventricular delay but not consistent at all). They ran various blood tests on my heart and they returned normal too and my blood oxygen is consistently above 97 (unless exerting it drops down very temporarily to 93 but then climbs back up). I have been given daily doses (starting off small) of Ramipril and Bisoprolol to help bring my heart rate down so that my LVEF can improve - although this is a slow process.
The cardiologist gave the diagnosis but didn't seem too sure it was myocarditis as it seems that my heart is like in recovery mode due to troponin levels and no other heart issues (no dilation, no hypertrophy, everything else structurally normal). Low LVEF symptoms include; shortness of breath/inability to exercise, fatigue and weakness, nausea, rapid heart rate and I've been experiencing a lot of these.
I'm not sure if anyone else has had an ultrasound that looked into their 4 chambers in depth and had similar results/diagnosis? I know it's not much of an answer but those LVEF symptoms are consistent with post viral fatigue which is getting thrown around a lot now as well so maybe this will help others...</t>
        </is>
      </c>
      <c r="D1298" t="n">
        <v>5</v>
      </c>
      <c r="E1298" t="n">
        <v>21</v>
      </c>
      <c r="F1298">
        <f>HYPERLINK("https://www.reddit.com/r/COVID19positive/comments/gom5j5/day_57_back_from_er_possible_lvef_numbers_causing/")</f>
        <v/>
      </c>
      <c r="G1298" t="inlineStr">
        <is>
          <t>2020-05-22 09:08:29</t>
        </is>
      </c>
      <c r="H1298" t="inlineStr">
        <is>
          <t>Presumed Positive - From Doctor</t>
        </is>
      </c>
    </row>
    <row r="1299">
      <c r="A1299" t="inlineStr">
        <is>
          <t>gon5oi</t>
        </is>
      </c>
      <c r="B1299" t="inlineStr">
        <is>
          <t>Day 70 Fatigue and low fever</t>
        </is>
      </c>
      <c r="C1299" t="inlineStr">
        <is>
          <t>Today is day 70. I’m much better than I was but I still can’t shake the fatigue and my temperature will not stay below 99. I’ve had a low fever every day for 70 days. I can’t function normally. If I try I get SOB and sweat. And then I pay for it massively later with incredible fatigue, like it physically will hurt to be awake. This truly feels endless. 
Meds I’ve tried:
2 rounds of methyl prednisone dose pack
Z pack
30 days of singulair 
Albuterol inhaler
Albuterol nebulizer 
20mg prednisone 5 days
100mg doxycycline 7 days 
Supplements I’m taking
Glutathione 
Vitamin c
Vitamin d
Zinc 
Anyone out there have any advice? Part of me thinks I should go back to urgent care today, but most of me thinks it’s a waste of time and wants to sleep.</t>
        </is>
      </c>
      <c r="D1299" t="n">
        <v>3</v>
      </c>
      <c r="E1299" t="n">
        <v>11</v>
      </c>
      <c r="F1299">
        <f>HYPERLINK("https://www.reddit.com/r/COVID19positive/comments/gon5oi/day_70_fatigue_and_low_fever/")</f>
        <v/>
      </c>
      <c r="G1299" t="inlineStr">
        <is>
          <t>2020-05-22 10:02:26</t>
        </is>
      </c>
      <c r="H1299" t="inlineStr">
        <is>
          <t>Presumed Positive - From Doctor</t>
        </is>
      </c>
    </row>
    <row r="1300">
      <c r="A1300" t="inlineStr">
        <is>
          <t>gongqx</t>
        </is>
      </c>
      <c r="B1300" t="inlineStr">
        <is>
          <t>requesting treatment</t>
        </is>
      </c>
      <c r="C1300" t="inlineStr">
        <is>
          <t>I tested positive about 8 days ago.  Though my symptoms are mild, they are trending worse.  I'd like to request antiviral treatment before it gets to the point of hospitalization.  Everything I've read says the earlier the better on treatment.
Any tips on convincing a care provider to prescribe treatment, before you require hospitalization?</t>
        </is>
      </c>
      <c r="D1300" t="n">
        <v>1</v>
      </c>
      <c r="E1300" t="n">
        <v>3</v>
      </c>
      <c r="F1300">
        <f>HYPERLINK("https://www.reddit.com/r/COVID19positive/comments/gongqx/requesting_treatment/")</f>
        <v/>
      </c>
      <c r="G1300" t="inlineStr">
        <is>
          <t>2020-05-22 10:17:58</t>
        </is>
      </c>
      <c r="H1300" t="inlineStr">
        <is>
          <t>Tested Positive - Me</t>
        </is>
      </c>
    </row>
    <row r="1301">
      <c r="A1301" t="inlineStr">
        <is>
          <t>gontr9</t>
        </is>
      </c>
      <c r="B1301" t="inlineStr">
        <is>
          <t>Flu shot</t>
        </is>
      </c>
      <c r="C1301" t="inlineStr">
        <is>
          <t>How many have had the flu shot this year or in Fall of 2019?
[View Poll](https://www.reddit.com/poll/gontr9)</t>
        </is>
      </c>
      <c r="D1301" t="n">
        <v>1</v>
      </c>
      <c r="E1301" t="n">
        <v>7</v>
      </c>
      <c r="F1301">
        <f>HYPERLINK("https://www.reddit.com/r/COVID19positive/comments/gontr9/flu_shot/")</f>
        <v/>
      </c>
      <c r="G1301" t="inlineStr">
        <is>
          <t>2020-05-22 10:35:03</t>
        </is>
      </c>
      <c r="H1301" t="inlineStr">
        <is>
          <t>Presumed Positive - From Doctor</t>
        </is>
      </c>
    </row>
    <row r="1302">
      <c r="A1302" t="inlineStr">
        <is>
          <t>gonw4i</t>
        </is>
      </c>
      <c r="B1302" t="inlineStr">
        <is>
          <t>Should my significant other isolate?</t>
        </is>
      </c>
      <c r="C1302" t="inlineStr">
        <is>
          <t>34 female NYC 
Onset yesterday.
Debilitating headache that does not go away with any meds. Fever was 104.8 yesterday and with Tylenol has gone down between 99.8-103.6 varying time of day. Nauseas and diarrhea. Sweats and body aches.
Dr set me up for appt Monday for test. My fiancé is an essential worker in the tech field and has been required to go into the office but has started not feeling well but much less intense symptoms than I have (just nausea at the moment and lethargy) his job is aware and requesting him back in office Tuesday but I’m not sure if since he’s not feeling great and I don’t have my results yet if he should decline going in.
Thanks</t>
        </is>
      </c>
      <c r="D1302" t="n">
        <v>2</v>
      </c>
      <c r="E1302" t="n">
        <v>25</v>
      </c>
      <c r="F1302">
        <f>HYPERLINK("https://www.reddit.com/r/COVID19positive/comments/gonw4i/should_my_significant_other_isolate/")</f>
        <v/>
      </c>
      <c r="G1302" t="inlineStr">
        <is>
          <t>2020-05-22 10:38:09</t>
        </is>
      </c>
      <c r="H1302" t="inlineStr">
        <is>
          <t>Presumed Positive - From Doctor</t>
        </is>
      </c>
    </row>
    <row r="1303">
      <c r="A1303" t="inlineStr">
        <is>
          <t>gop2c2</t>
        </is>
      </c>
      <c r="B1303" t="inlineStr">
        <is>
          <t>Insights from testing positive and my family</t>
        </is>
      </c>
      <c r="C1303" t="inlineStr">
        <is>
          <t>I am 33 years old. My aunt and grandma live next door to each other and I’ve been over there 24/7 since stay at home started. My aunt went to the doc for a sore throat, got tested, and was positive. There is 5 family members I am with all of the time (eating dinner, working on puzzles, playing cards, etc) and a boyfriend I’ve been spending time with. Theoretically we should have all been positive if one of us was. Me, my aunt, and my 21 year old cousin are positive. My grandma, uncle, boyfriend, and 22 year old cousin are negative. My aunt and uncle sleep together obviously and I sleep with my boyfriend but the men somehow didn’t get it! All of the ones who are negative take vitamin d supplements, are in shape, and eat really healthy.  All of us unhealthy ones contracted it. The worst my aunt got (45) was a sore throat. I had migraines. My cousin felt sick with headache and fever. None of us would have gotten tested or ever known we had it if the doctor didn’t ask to test my aunt. The main takeaway I got from this is that health plays a way bigger factor than we realize not only in how sick it makes you, but your ability to contract it at all. If you take vitamin D and other vitamins and eat healthy (not deficient in anything) you can apparently be kissing and sleeping with someone who has it and not get it. That’s how big of a difference it makes. I’m just posting this to let people know how big of a difference it makes when you take care of your body. Good luck and stay safe everyone!
Also- I was not told to quarantine for 2 weeks. My note says “must quarantine until patient tests negative”. Hopefully this will be sooner than 2 weeks because they said I have more antibodies than active virus, which means it’s at the end of the cycle.</t>
        </is>
      </c>
      <c r="D1303" t="n">
        <v>1</v>
      </c>
      <c r="E1303" t="n">
        <v>15</v>
      </c>
      <c r="F1303">
        <f>HYPERLINK("https://www.reddit.com/r/COVID19positive/comments/gop2c2/insights_from_testing_positive_and_my_family/")</f>
        <v/>
      </c>
      <c r="G1303" t="inlineStr">
        <is>
          <t>2020-05-22 11:36:45</t>
        </is>
      </c>
      <c r="H1303" t="inlineStr">
        <is>
          <t>Tested Positive - Me</t>
        </is>
      </c>
    </row>
    <row r="1304">
      <c r="A1304" t="inlineStr">
        <is>
          <t>gop614</t>
        </is>
      </c>
      <c r="B1304" t="inlineStr">
        <is>
          <t>Herpes / HSV / Cold Sore Outbreaks During COVID-19</t>
        </is>
      </c>
      <c r="C1304" t="inlineStr">
        <is>
          <t>Using a throwaway, but I wanted to report this in case anyone else had this experience or question.
I've had a battery of classic COVID-19 symptoms and was diagnosed by a doctor. My case has been very mild and I've been able to care for myself at home. One of the major indicators to me that something was very wrong on a serious, systemic level was that I had the worst genital herpes flare-up I've had in the two decades that I've had it. Normally my immune system suppresses it naturally and I'm very healthy -- I rarely get sick and haven't been sick at all this year until now. 
If you have seen cold sores or genital herpes outbreaks/flare-ups during this time, consider it a signal that your body is rerouting its efforts to fight another threat and can't be bothered with suppressing your HSV at this time. Take care and stay safe.</t>
        </is>
      </c>
      <c r="D1304" t="n">
        <v>9</v>
      </c>
      <c r="E1304" t="n">
        <v>142</v>
      </c>
      <c r="F1304">
        <f>HYPERLINK("https://www.reddit.com/r/COVID19positive/comments/gop614/herpes_hsv_cold_sore_outbreaks_during_covid19/")</f>
        <v/>
      </c>
      <c r="G1304" t="inlineStr">
        <is>
          <t>2020-05-22 11:42:20</t>
        </is>
      </c>
      <c r="H1304" t="inlineStr">
        <is>
          <t>Presumed Positive - From Doctor</t>
        </is>
      </c>
    </row>
    <row r="1305">
      <c r="A1305" t="inlineStr">
        <is>
          <t>goq2o5</t>
        </is>
      </c>
      <c r="B1305" t="inlineStr">
        <is>
          <t>Does this timeline fit the possibility of being exposed?</t>
        </is>
      </c>
      <c r="C1305" t="inlineStr">
        <is>
          <t xml:space="preserve"> 
Just seeing what you guys think, this is my story from the last week or so. Im 24M, my GF and her friend are 23F.
\-My gf's friend (lets name her S) found out her boss at work just tested positive for covid today (5/22), and she works in relatively close contact with them.
\-My gf and her friend S hung out at her house Saturday(5/16) for a bit, and yesterday (5/21) for a bit.
\-I spent the night with my gf Saturday night (5/16), and saw her for a couple hours this Tuesday (5/19), but haven't seen her since.
\---So basically, the timeline goes like this
\-5/16 - GF and S hang out together
\-5/16-5/17- GF and I hang out together
\-5/19 - GF and me hang out together (this is last contact i've had with her)
\-5/21 - GF and S hang out together
\-5/22 - S finds out her boss tested positive for covid today
Should I be worried my gf got it from S on either Saturday or Tuesday if the boss just tested positive today? My mom has severe asthma and I have mild asthma so i'm kinda freaking the fuck out and having a panic attack over this so just wanted someone to talk me through this and see their input. S is getting tested today and then if she tests positive my GF will do, just curious on timelines and realistic chances of catching it are. None of us 3 have shown symptoms yet at this time.</t>
        </is>
      </c>
      <c r="D1305" t="n">
        <v>2</v>
      </c>
      <c r="E1305" t="n">
        <v>6</v>
      </c>
      <c r="F1305">
        <f>HYPERLINK("https://www.reddit.com/r/COVID19positive/comments/goq2o5/does_this_timeline_fit_the_possibility_of_being/")</f>
        <v/>
      </c>
      <c r="G1305" t="inlineStr">
        <is>
          <t>2020-05-22 12:30:32</t>
        </is>
      </c>
      <c r="H1305" t="inlineStr">
        <is>
          <t>Tested Positive - Friends</t>
        </is>
      </c>
    </row>
    <row r="1306">
      <c r="A1306" t="inlineStr">
        <is>
          <t>goqg8w</t>
        </is>
      </c>
      <c r="B1306" t="inlineStr">
        <is>
          <t>Does 2 recent negative tests mean my critically sick friend might get better?? He's still on ECMO.</t>
        </is>
      </c>
      <c r="C1306" t="inlineStr">
        <is>
          <t>My friend's husband has been in the ICU for 2-3 weeks now. About 9 days on ECMO and dialysis. Today is Friday. Last Saturday night they said he might not make it through the night, but he did. 
Tuesday night, very late, they took him to surgery because he was down 2 liters of blood. They couldn't find the source and stopped the surgery but didn't close him up. The next morning the loss was down to a trickle. Thursday they took him back to explore a little and close him up. He's getting more blood, not because he's losing it, but his numbers were a little low ( likely due to surgery) and they want to keep them up while on ECMO. She says they are going to lighten his sedation to see how he responds neurologically.
He has now had 2 negative covid tests in a row.
Has anybody experienced things continuing to get worse even after the covid test becomes negative?? 
He has rheumatoid arthritis and had neuropathy in his legs. He was able to walk, but surprised his doctors by being able to. I'm also scared that if he makes it he won't be able to walk anymore. I know his wife will be happy to have him alive, but not walking would be horrible. He is only 57.</t>
        </is>
      </c>
      <c r="D1306" t="n">
        <v>1</v>
      </c>
      <c r="E1306" t="n">
        <v>5</v>
      </c>
      <c r="F1306">
        <f>HYPERLINK("https://www.reddit.com/r/COVID19positive/comments/goqg8w/does_2_recent_negative_tests_mean_my_critically/")</f>
        <v/>
      </c>
      <c r="G1306" t="inlineStr">
        <is>
          <t>2020-05-22 12:51:02</t>
        </is>
      </c>
      <c r="H1306" t="inlineStr">
        <is>
          <t>Tested Positive - Friends</t>
        </is>
      </c>
    </row>
    <row r="1307">
      <c r="A1307" t="inlineStr">
        <is>
          <t>gor19k</t>
        </is>
      </c>
      <c r="B1307" t="inlineStr">
        <is>
          <t>False Positive.....</t>
        </is>
      </c>
      <c r="C1307" t="inlineStr">
        <is>
          <t>So I'm writing this feeling a number of emotions. Last week my mom goes in to get tested because she felt a little under the weather. The results were suppose to come by email but they never arrived so we called. They made her verify her date of birth, address, everything. They let us know it was a positive. Our world turned upside down for the past 7 days. We were quite literally terrified for our lives. My poor mom spent the last 7 days quarantined in a bedroom wondering what was going to happen to her. Soon after both me and my dad start feeling unwell too. At time we assumed for sure it was the virus. Again our world crumbled around us. We went in to get tested. Negative for both. Do you know how terrifying it is to come to terms with how easily your life/ the life of others could be taken away from you? Anyway, my mom goes in to get tested again only to be met with confusion. The original test was negative. She never had it. I'm 100% sure the symptoms from me and my dad were just from the stress of it all. We're glad it's over but holy fucking shit. What a joke.</t>
        </is>
      </c>
      <c r="D1307" t="n">
        <v>3</v>
      </c>
      <c r="E1307" t="n">
        <v>3</v>
      </c>
      <c r="F1307">
        <f>HYPERLINK("https://www.reddit.com/r/COVID19positive/comments/gor19k/false_positive/")</f>
        <v/>
      </c>
      <c r="G1307" t="inlineStr">
        <is>
          <t>2020-05-22 13:22:17</t>
        </is>
      </c>
      <c r="H1307" t="inlineStr">
        <is>
          <t>Tested Positive - Family</t>
        </is>
      </c>
    </row>
    <row r="1308">
      <c r="A1308" t="inlineStr">
        <is>
          <t>gorr7v</t>
        </is>
      </c>
      <c r="B1308" t="inlineStr">
        <is>
          <t>I have been pretty much 100% for 2 weeks. Yesterday I went up the stairs to test the waters. Later that night, felt like day 1 with lung pain, cough, fatigue. Felt better this morning and thought it was just random</t>
        </is>
      </c>
      <c r="C1308" t="inlineStr">
        <is>
          <t>Nope. Here I am as usual in the afternoon I start to decline. What the hell.
I feel like I am back to week 2 of this. How is this possible?
Symptoms started March 6. That's 11 weeks. 
Worst symptoms were week 3 and 4. Then a slow recovery until week 8 and 9 when my cough went away and I didn't feel fatigue anymore.
Went for walks and everything. 
I would love to hear other experiences. Is this familiar to anyone?</t>
        </is>
      </c>
      <c r="D1308" t="n">
        <v>3</v>
      </c>
      <c r="E1308" t="n">
        <v>28</v>
      </c>
      <c r="F1308">
        <f>HYPERLINK("https://www.reddit.com/r/COVID19positive/comments/gorr7v/i_have_been_pretty_much_100_for_2_weeks_yesterday/")</f>
        <v/>
      </c>
      <c r="G1308" t="inlineStr">
        <is>
          <t>2020-05-22 14:01:55</t>
        </is>
      </c>
      <c r="H1308" t="inlineStr">
        <is>
          <t>Presumed Positive - From Doctor</t>
        </is>
      </c>
    </row>
    <row r="1309">
      <c r="A1309" t="inlineStr">
        <is>
          <t>goruea</t>
        </is>
      </c>
      <c r="B1309" t="inlineStr">
        <is>
          <t>COVID positive, sick since March 11, got to hug my mom today!</t>
        </is>
      </c>
      <c r="C1309" t="inlineStr">
        <is>
          <t>I haven't hugged my mom since February, but I finally got a hug today! Just makes me so happy!</t>
        </is>
      </c>
      <c r="D1309" t="n">
        <v>11</v>
      </c>
      <c r="E1309" t="n">
        <v>27</v>
      </c>
      <c r="F1309">
        <f>HYPERLINK("https://www.reddit.com/r/COVID19positive/comments/goruea/covid_positive_sick_since_march_11_got_to_hug_my/")</f>
        <v/>
      </c>
      <c r="G1309" t="inlineStr">
        <is>
          <t>2020-05-22 14:06:33</t>
        </is>
      </c>
      <c r="H1309" t="inlineStr">
        <is>
          <t>Tested Positive - Family</t>
        </is>
      </c>
    </row>
    <row r="1310">
      <c r="A1310" t="inlineStr">
        <is>
          <t>got4wb</t>
        </is>
      </c>
      <c r="B1310" t="inlineStr">
        <is>
          <t>False positive IgG? Help me understand these conflicting tests</t>
        </is>
      </c>
      <c r="C1310" t="inlineStr">
        <is>
          <t>I was pretty sick back in March. Fever, mostly head congestion, headaches, inability to eat, lost my sense of smell and taste, minimal SOB and cough. It lasted 2-3 weeks but the worst of it was 3 days. 
At the start of my symptoms I had a NP PCR test done that was negative. It wasn’t done with great technique and only in 1 nostril. 
Last week I found out about Quest Directs IgG testing for $117 and I have money in our FSA to burn so decided to get it done. The result was negative. Fast forward to this week, my employer is doing COVID testing on all asymptomatic employees. I had PCR and IgG done yesterday. The PCR is still pending but my IgG is positive. 
I have had absolutely no symptoms and contact with very few people. No one has been symptomatic or tested positive. 
Any thoughts?</t>
        </is>
      </c>
      <c r="D1310" t="n">
        <v>2</v>
      </c>
      <c r="E1310" t="n">
        <v>6</v>
      </c>
      <c r="F1310">
        <f>HYPERLINK("https://www.reddit.com/r/COVID19positive/comments/got4wb/false_positive_igg_help_me_understand_these/")</f>
        <v/>
      </c>
      <c r="G1310" t="inlineStr">
        <is>
          <t>2020-05-22 15:19:57</t>
        </is>
      </c>
      <c r="H1310" t="inlineStr">
        <is>
          <t>Tested Positive - Me</t>
        </is>
      </c>
    </row>
    <row r="1311">
      <c r="A1311" t="inlineStr">
        <is>
          <t>got961</t>
        </is>
      </c>
      <c r="B1311" t="inlineStr">
        <is>
          <t>Just got home from hospital. Question about O2 levels dropping when walking and heart rate jumping up. How long does this last...</t>
        </is>
      </c>
      <c r="C1311" t="inlineStr">
        <is>
          <t>I was sent to the ER today (tested Monday and positive came back Wednesday.) I went for shortness of breath and breathlessness, chest and back pain... the COVID buffet!!! Anyway, my lungs were clear, my 02 was mostly 98, my chest X-ray was clear... but the doctor had me get up and walk around and my 02 levels tanked to 91-92 every time and my heart rate goes to 120-140. Same when I’d run out of breath while talking to her. She said that is obviously not normal for a healthy 35-yr old who runs and lifts weights with no health problems, but it was something they were seeing with some COVID patients. She ordered a CT scan with contrast to make sure I wasn’t having a Pulmonary Embolism or I had pneumonia or fluid the X-ray didn’t catch. Nope. CT was clear and perfect. Bloodwork was perfection. She was on the verge of keeping me but decided to let me go home after the CT was clean and my 02 levels are fine just sitting there. My question is: how many of you have had this and how long does it take to go away? I’m obviously freaked out. Just wish this wasn’t happening.</t>
        </is>
      </c>
      <c r="D1311" t="n">
        <v>1</v>
      </c>
      <c r="E1311" t="n">
        <v>11</v>
      </c>
      <c r="F1311">
        <f>HYPERLINK("https://www.reddit.com/r/COVID19positive/comments/got961/just_got_home_from_hospital_question_about_o2/")</f>
        <v/>
      </c>
      <c r="G1311" t="inlineStr">
        <is>
          <t>2020-05-22 15:26:38</t>
        </is>
      </c>
      <c r="H1311" t="inlineStr">
        <is>
          <t>Tested Positive</t>
        </is>
      </c>
    </row>
    <row r="1312">
      <c r="A1312" t="inlineStr">
        <is>
          <t>goukx8</t>
        </is>
      </c>
      <c r="B1312" t="inlineStr">
        <is>
          <t>Been taking nurofen plus on and off for symptoms and ive gotten worse in the last few days , just now i know they contain ibuprofen</t>
        </is>
      </c>
      <c r="C1312" t="inlineStr">
        <is>
          <t>How much does ibuprofen contribute to making the symptoms worse?
Apparently the ibuprofen thing has been debunked but whats your opinion on this ?</t>
        </is>
      </c>
      <c r="D1312" t="n">
        <v>1</v>
      </c>
      <c r="E1312" t="n">
        <v>9</v>
      </c>
      <c r="F1312">
        <f>HYPERLINK("https://www.reddit.com/r/COVID19positive/comments/goukx8/been_taking_nurofen_plus_on_and_off_for_symptoms/")</f>
        <v/>
      </c>
      <c r="G1312" t="inlineStr">
        <is>
          <t>2020-05-22 16:46:03</t>
        </is>
      </c>
      <c r="H1312" t="inlineStr">
        <is>
          <t>Presumed Positive - From Doctor</t>
        </is>
      </c>
    </row>
    <row r="1313">
      <c r="A1313" t="inlineStr">
        <is>
          <t>gouoxf</t>
        </is>
      </c>
      <c r="B1313" t="inlineStr">
        <is>
          <t>A sudden spike of blood pressure</t>
        </is>
      </c>
      <c r="C1313" t="inlineStr">
        <is>
          <t>week 12, Just experienced a sudden spike of blood pressure to 150/96, with no elevated heart rate, but a blurred vision. It lasted about 20mins then BP dropped to normal..ish(still a bit high).
Has anyone experienced the same?</t>
        </is>
      </c>
      <c r="D1313" t="n">
        <v>2</v>
      </c>
      <c r="E1313" t="n">
        <v>10</v>
      </c>
      <c r="F1313">
        <f>HYPERLINK("https://www.reddit.com/r/COVID19positive/comments/gouoxf/a_sudden_spike_of_blood_pressure/")</f>
        <v/>
      </c>
      <c r="G1313" t="inlineStr">
        <is>
          <t>2020-05-22 16:52:34</t>
        </is>
      </c>
      <c r="H1313" t="inlineStr">
        <is>
          <t>Presumed Positive - From Doctor</t>
        </is>
      </c>
    </row>
    <row r="1314">
      <c r="A1314" t="inlineStr">
        <is>
          <t>govhck</t>
        </is>
      </c>
      <c r="B1314" t="inlineStr">
        <is>
          <t>3 people in my household have tested positive.</t>
        </is>
      </c>
      <c r="C1314" t="inlineStr">
        <is>
          <t>My dad, who's 48 with bad asthma. My mom who's 46 with an autoimmune disease psoriasis on her hands, ankles, and elbows. And my grandfather who 68 and has had multiple heart problems and has had heart surgery once. 
How do I safely take care of them? I have only a bandana for a mask and I take a lot of vitamins supplements because I myself have celiac disease which is an autoimmune disease. All that's left is my sister and I, my brother is having symptoms. We have to clean, take care of them, cook dinner, and hope we don't get it.
Please give me tips on how to help out safely!! Thank you!!!</t>
        </is>
      </c>
      <c r="D1314" t="n">
        <v>3</v>
      </c>
      <c r="E1314" t="n">
        <v>40</v>
      </c>
      <c r="F1314">
        <f>HYPERLINK("https://www.reddit.com/r/COVID19positive/comments/govhck/3_people_in_my_household_have_tested_positive/")</f>
        <v/>
      </c>
      <c r="G1314" t="inlineStr">
        <is>
          <t>2020-05-22 17:42:45</t>
        </is>
      </c>
      <c r="H1314" t="inlineStr">
        <is>
          <t>Tested Positive - Family</t>
        </is>
      </c>
    </row>
    <row r="1315">
      <c r="A1315" t="inlineStr">
        <is>
          <t>govqsm</t>
        </is>
      </c>
      <c r="B1315" t="inlineStr">
        <is>
          <t>Day 60 on the Covid-Coaster</t>
        </is>
      </c>
      <c r="C1315" t="inlineStr">
        <is>
          <t>First off, I wanted to thank everyone on this sub who has shared their experience on this strange, unpredictable disease. As many of you know, this illness is an isolating one; not only because of the need to quarantine, but also because it's hard for the majority of people who don't have long-lasting issues to understand (or sometimes, believe) what is is that we are going through. It's this community that has helped give me peace and validate the reality of what I have experienced these last two months. This is especially helpful when the medical professionals, friends, and sometimes family, have told me (an athletic/healthy 28 year old) I be fine by now and that it's probably a mentalility thing.
I work closely with Covid patients and started to feel symptoms around March 23rd (shortness of breath). Never experiencing this type of SOB in my life, I immediately got concerned after a few days of it lingering. At the end of the week, I finally decided that enough was enough and told my employer that I wanted to take the week off to try and kick this thing. I then spoke with my doctor, who did not suggest testing and instead treated me for allergies. Although the SOB lingered through the week, I didn't feel as though my symptoms were worsening and decided to return to work (it's just allergies, right?).
Well, two weeks go by and I decide to do a 3 day fast (which I have done many times in the past without issue). Mid second day, I was sitting down at work when a sudden wave of "something isn't right" washed over me. My lungs began to burn and my head became lightheaded (lightheadedness is a common symptom of fasting, but this was wayy different). Over the next few days, I experienced an extreme tightness in my mid-back and a fever that left me waking up in a pool of sweat every night. I called my work, and with much embarrassment, told them that again I would need to take the week off. 
I called my doctor the next chance that I could, who agreed to get me tested after I explained to her my profession. I drowned myself with water and started popping vitamin C and D like candy. After a few days of total bed rest, the back pain and fevers started to subside and I was left with just a nagging cough and SOB. That's when my doctor called me to give me my test results:
Negative. 
Weird, I had never been this sick before and for so long. The doctor explained to me that it was possible that it was a false negative since tests have been shown to have a 70% accuracy. She then suggested that I get an antibody test done in 2-3 weeks (since I'm more likely to show antibodies the longer I wait).
Two weeks go by. I'm still feeling a SOB, but I'm getting restless from not being able to exercise for a few weeks. "My lungs need fresh air", I say, so I go for a slow short run (1 mile, my usual run is way longer). Big mistake. The back pain immediately returns that night. A day later, and I can't take the same deep breathes that I could even when I was experiencing SOB. Now it's the end of the week and I am experiencing SOB, fogginess in memory, weird headaches, and a pulse oximeter reading of 96 and a pulse rate of 90-100 (my usual is 98-99 and 65bpm). My antibody test is next Thursday, which will hopefully give me some sort of validation with what I'm dealing with.
In hindsight, it was dumb of me for trying to fast/run while I was clearly experiencing some type of symptoms still. It's been difficult to watch all of my coworkers and friends go through this pandemic with no symptoms while I (again, healthier and younger than most of them) have seen little to no improvement. I am so grateful that none of those that are close to me have experienced serious symptoms, but still, I feel like the black-hypochondriatic-sheep of the herd. 
Someone on the sub stated that a doctor of theres told them that people with seasonal allergies have been shown to have longer recovery times? Clariton is a must for me when allergy season rolls around.
Anyway, that's enough complaining. Again, thank you all for sharing your stories and freeing me from this sense of impending doom. If anyone can relate to my experience and wants to share their own, it would be very helpful.
Stay safe!</t>
        </is>
      </c>
      <c r="D1315" t="n">
        <v>1</v>
      </c>
      <c r="E1315" t="n">
        <v>23</v>
      </c>
      <c r="F1315">
        <f>HYPERLINK("https://www.reddit.com/r/COVID19positive/comments/govqsm/day_60_on_the_covidcoaster/")</f>
        <v/>
      </c>
      <c r="G1315" t="inlineStr">
        <is>
          <t>2020-05-22 18:00:00</t>
        </is>
      </c>
      <c r="H1315" t="inlineStr">
        <is>
          <t>Presumed Positive - From Doctor</t>
        </is>
      </c>
    </row>
    <row r="1316">
      <c r="A1316" t="inlineStr">
        <is>
          <t>govsq6</t>
        </is>
      </c>
      <c r="B1316" t="inlineStr">
        <is>
          <t>Organizations studying long-term cases?</t>
        </is>
      </c>
      <c r="C1316" t="inlineStr">
        <is>
          <t>Has anyone found a non-profit that is explicitly focused on studying long-term cases, and/or the overactive immune response or autoimmune response the disease is causing? I’ve hit day 100—what an achievement—and want to use the opportunity to bring attention to such an organization.</t>
        </is>
      </c>
      <c r="D1316" t="n">
        <v>1</v>
      </c>
      <c r="E1316" t="n">
        <v>3</v>
      </c>
      <c r="F1316">
        <f>HYPERLINK("https://www.reddit.com/r/COVID19positive/comments/govsq6/organizations_studying_longterm_cases/")</f>
        <v/>
      </c>
      <c r="G1316" t="inlineStr">
        <is>
          <t>2020-05-22 18:03:17</t>
        </is>
      </c>
      <c r="H1316" t="inlineStr">
        <is>
          <t>Presumed Positive - From Doctor</t>
        </is>
      </c>
    </row>
    <row r="1317">
      <c r="A1317" t="inlineStr">
        <is>
          <t>gow6j1</t>
        </is>
      </c>
      <c r="B1317" t="inlineStr">
        <is>
          <t>Skin rash</t>
        </is>
      </c>
      <c r="C1317" t="inlineStr">
        <is>
          <t>Anyone else get a skin rash ? I have small red bumps all over my arms legs hands and face and my skin feels swollen</t>
        </is>
      </c>
      <c r="D1317" t="n">
        <v>1</v>
      </c>
      <c r="E1317" t="n">
        <v>5</v>
      </c>
      <c r="F1317">
        <f>HYPERLINK("https://www.reddit.com/r/COVID19positive/comments/gow6j1/skin_rash/")</f>
        <v/>
      </c>
      <c r="G1317" t="inlineStr">
        <is>
          <t>2020-05-22 18:29:07</t>
        </is>
      </c>
      <c r="H1317" t="inlineStr">
        <is>
          <t>Tested Positive - Me</t>
        </is>
      </c>
    </row>
    <row r="1318">
      <c r="A1318" t="inlineStr">
        <is>
          <t>gowuir</t>
        </is>
      </c>
      <c r="B1318" t="inlineStr">
        <is>
          <t>Any other ventilator survivors having nightmares?</t>
        </is>
      </c>
      <c r="C1318" t="inlineStr">
        <is>
          <t>I got home on May 1 after a 20 day hospital stay that included 9 on a ventilator. Physically I'm feeling better every day. Mentally I'm dealing with a bout of depression that I believe I'll work through. However, I've been dealing with nightmares, where I'm either back in the hospital or suffocating in my own bed. Sometimes I wake up (in the real world) panicking and reaching to take the ventilator out of me, when it's not there.
This is probably a longshot, because I'm not sure how many vent survivors are here, but I just wanna know if this is common or if I have a problem.</t>
        </is>
      </c>
      <c r="D1318" t="n">
        <v>1</v>
      </c>
      <c r="E1318" t="n">
        <v>94</v>
      </c>
      <c r="F1318">
        <f>HYPERLINK("https://www.reddit.com/r/COVID19positive/comments/gowuir/any_other_ventilator_survivors_having_nightmares/")</f>
        <v/>
      </c>
      <c r="G1318" t="inlineStr">
        <is>
          <t>2020-05-22 19:14:22</t>
        </is>
      </c>
      <c r="H1318" t="inlineStr">
        <is>
          <t>Tested Positive - Me</t>
        </is>
      </c>
    </row>
    <row r="1319">
      <c r="A1319" t="inlineStr">
        <is>
          <t>gox7kq</t>
        </is>
      </c>
      <c r="B1319" t="inlineStr">
        <is>
          <t>Pneumonia treatment at home. Any suggestions?</t>
        </is>
      </c>
      <c r="C1319" t="inlineStr">
        <is>
          <t>Hello,
My father(M, 60y/o) tested positive on 5/5, about two weeks ago. During the few days after the results, we called the doctor and he prescribed some medication for my father to take so we started that regimen. We took him to the hospital on 5/11 and he was admitted to the hospital for SOB. Chest X-ray revealed that he has pneumonia (was caught early so it was mild) and was kept there for 9 days until 5/20. He was discharged but still has pneumonia which the doctor gave antibiotics and scheduled him for a follow up visit and chest X-ray in 1-2 weeks. He was also given portable oxygen tanks and a concentrator to keep at home. 
He hasn’t needed the oxygen at all yet and he regularly walks around the house and gets up to use the bathroom or sit outside - claiming he doesn’t need O2. I use an oximeter to regularly check his levels and they are good, usually around 92-95(after activity) and 96 resting.
I wanted to ask you guys, does anyone have anything to help with pneumonia, that can be done at home? Like certain exercises, foods, methods, etc. He takes antibiotics to help with the pneumonia and doesn’t have a fever. 
TLDR; Father (60 y/o, Male) was tested positive was admitted to the hospital. Results showed pneumonia and stayed for 9 days and then was discharged. I wanted to know if anyone has anything that can be done at home to help with the pneumonia (exercises, diet, etc.)</t>
        </is>
      </c>
      <c r="D1319" t="n">
        <v>1</v>
      </c>
      <c r="E1319" t="n">
        <v>14</v>
      </c>
      <c r="F1319">
        <f>HYPERLINK("https://www.reddit.com/r/COVID19positive/comments/gox7kq/pneumonia_treatment_at_home_any_suggestions/")</f>
        <v/>
      </c>
      <c r="G1319" t="inlineStr">
        <is>
          <t>2020-05-22 19:39:26</t>
        </is>
      </c>
      <c r="H1319" t="inlineStr">
        <is>
          <t>Tested Positive - Family</t>
        </is>
      </c>
    </row>
    <row r="1320">
      <c r="A1320" t="inlineStr">
        <is>
          <t>goxb7j</t>
        </is>
      </c>
      <c r="B1320" t="inlineStr">
        <is>
          <t>Positive for covid and antibodies</t>
        </is>
      </c>
      <c r="C1320" t="inlineStr">
        <is>
          <t>My husband has tested positive 3 times.  Now our 2 year old grandson has tested positive as well - no symptoms for him, thank God.  Hubs had a chest xray today and his pneumonia is a bit worse than a month ago.  His o2 levels are good.  They also did a covid 19 antibody igg test which was positive with a level of 2.2 s/c (Abbott Labs).  So, he's positive but his body is producing antibodies?  I'm very confused.  And thanks to everyone in advance.  This sub has helped me so much in getting information and emotional support.</t>
        </is>
      </c>
      <c r="D1320" t="n">
        <v>1</v>
      </c>
      <c r="E1320" t="n">
        <v>7</v>
      </c>
      <c r="F1320">
        <f>HYPERLINK("https://www.reddit.com/r/COVID19positive/comments/goxb7j/positive_for_covid_and_antibodies/")</f>
        <v/>
      </c>
      <c r="G1320" t="inlineStr">
        <is>
          <t>2020-05-22 19:46:41</t>
        </is>
      </c>
      <c r="H1320" t="inlineStr">
        <is>
          <t>Tested Positive - Family</t>
        </is>
      </c>
    </row>
    <row r="1321">
      <c r="A1321" t="inlineStr">
        <is>
          <t>goz842</t>
        </is>
      </c>
      <c r="B1321" t="inlineStr">
        <is>
          <t>Antibody Tests...WTF?</t>
        </is>
      </c>
      <c r="C1321" t="inlineStr">
        <is>
          <t>My partner and I were both sick in early to mid-March. He had typical flu like symptoms, I had what felt like a mild cold (although with temperature) for a few days.
I took a RayBiotech Rapid Antibody test April 28th and tested positive for IgM and negative for IgG. My partner took the same test exactly a week later with exactly the same results. The brochure said it's about 85% accurate when tested positive. 
Out of curiosity to see if IgG would register, I took the more extensive blood draw May 20th. It only tests for IgG and, according to the clinic, is 99% accurate. Rec'd a call today that I was negative. 
Any theories on this one? I was fully expected a positive IgG result, based on that we both tested positive for IgM 3+ weeks ago. So....confused...</t>
        </is>
      </c>
      <c r="D1321" t="n">
        <v>1</v>
      </c>
      <c r="E1321" t="n">
        <v>9</v>
      </c>
      <c r="F1321">
        <f>HYPERLINK("https://www.reddit.com/r/COVID19positive/comments/goz842/antibody_testswtf/")</f>
        <v/>
      </c>
      <c r="G1321" t="inlineStr">
        <is>
          <t>2020-05-22 22:06:42</t>
        </is>
      </c>
      <c r="H1321" t="inlineStr">
        <is>
          <t>Presumed Positive - From Test</t>
        </is>
      </c>
    </row>
    <row r="1322">
      <c r="A1322" t="inlineStr">
        <is>
          <t>gp04u7</t>
        </is>
      </c>
      <c r="B1322" t="inlineStr">
        <is>
          <t>I think my dad has COVID, i live in a third world country and i need some help.</t>
        </is>
      </c>
      <c r="C1322" t="inlineStr">
        <is>
          <t>Hi guys, i flared this as positive but we really don't know...because we have no way of knowing.
I live in Nicaragua, is a third world country that has been through a socio-political crisis and the government has not taken any measures against this virus and i mean that, people are behaving as usual and we even have theories that the health institution is burying people in the middle of the night, so, there's no way of getting him into a hospital, and even if there was a way, there are no ventilators.
My father is a 60 year old man who has been experiencig some of the symptoms that are usual in Covid, it's been five days and he doesn't have fever nor cough but the shortness of breath is worsening.
I would like to know for survivors and doctors out there, what can i do? And what can i give him to make him feel better?
I'm really worried for him, he is a strong active man, his only health problem is that he has hipertension but i never really seen him struggle with any health issues and now i'm here thinking in the middle of the night that he might die...
Thanks for all who answers, and i wish you luck in this awful fight.</t>
        </is>
      </c>
      <c r="D1322" t="n">
        <v>1</v>
      </c>
      <c r="E1322" t="n">
        <v>26</v>
      </c>
      <c r="F1322">
        <f>HYPERLINK("https://www.reddit.com/r/COVID19positive/comments/gp04u7/i_think_my_dad_has_covid_i_live_in_a_third_world/")</f>
        <v/>
      </c>
      <c r="G1322" t="inlineStr">
        <is>
          <t>2020-05-22 23:24:41</t>
        </is>
      </c>
      <c r="H1322" t="inlineStr">
        <is>
          <t>Tested Positive - Family</t>
        </is>
      </c>
    </row>
    <row r="1323">
      <c r="A1323" t="inlineStr">
        <is>
          <t>gp0hk1</t>
        </is>
      </c>
      <c r="B1323" t="inlineStr">
        <is>
          <t>Only one in household positive for antibodies.</t>
        </is>
      </c>
      <c r="C1323" t="inlineStr">
        <is>
          <t>My parents both got sick in late January early Feb after one of their coworkers came back from a trip to China. All the symptoms for Covid-19 and almost had to take my mom to the ER. I was curious to see if we had it so I went and took the LabCorp Abbott antibody test last week. Surprisingly I came back positive for antibodies although I never showed symptoms. My mom went just the other day but hers came back negative. Any theories?</t>
        </is>
      </c>
      <c r="D1323" t="n">
        <v>1</v>
      </c>
      <c r="E1323" t="n">
        <v>5</v>
      </c>
      <c r="F1323">
        <f>HYPERLINK("https://www.reddit.com/r/COVID19positive/comments/gp0hk1/only_one_in_household_positive_for_antibodies/")</f>
        <v/>
      </c>
      <c r="G1323" t="inlineStr">
        <is>
          <t>2020-05-22 23:57:11</t>
        </is>
      </c>
      <c r="H1323" t="inlineStr">
        <is>
          <t>Presumed Positive - From Test</t>
        </is>
      </c>
    </row>
    <row r="1324">
      <c r="A1324" t="inlineStr">
        <is>
          <t>gp12bo</t>
        </is>
      </c>
      <c r="B1324" t="inlineStr">
        <is>
          <t>Positive ANA antibody test before COVID diagnosis</t>
        </is>
      </c>
      <c r="C1324" t="inlineStr">
        <is>
          <t>I've been puzzling over my lab results lately. I tested positive for COVID in March and am currently waiting on my IgG antibody results.
Mid February, I saw a rheumatologist and my ANA antibodies were positive resulting in a speckled pattern. They investigated for many things: rheumatoid factor, SS, DNA assay, Thyroid antibodies, amongst many others. All came back negative. At my follow up visit, my rheumatologist mentioned that many times a positive ANA could simply be an active bacterial or vital infection. I remember thinking, wow that's odd. He requested we retest my ANA antibodies in 6mo to be clear.
Just strange to me that I became symptomatic within a couple weeks after my ANA test, then not long after I was positive for COVID. Is there possibly a connection between the tests? Is covid possibly showing up in ANA tests are just an "unspecified infection," which my rheumatologist had called it?</t>
        </is>
      </c>
      <c r="D1324" t="n">
        <v>1</v>
      </c>
      <c r="E1324" t="n">
        <v>3</v>
      </c>
      <c r="F1324">
        <f>HYPERLINK("https://www.reddit.com/r/COVID19positive/comments/gp12bo/positive_ana_antibody_test_before_covid_diagnosis/")</f>
        <v/>
      </c>
      <c r="G1324" t="inlineStr">
        <is>
          <t>2020-05-23 00:50:38</t>
        </is>
      </c>
      <c r="H1324" t="inlineStr">
        <is>
          <t>Tested Positive</t>
        </is>
      </c>
    </row>
    <row r="1325">
      <c r="A1325" t="inlineStr">
        <is>
          <t>gp1sw5</t>
        </is>
      </c>
      <c r="B1325" t="inlineStr">
        <is>
          <t>My grandmom died from COVID-19 on Tuesday, I watched her take her last breath on the day before my birthday. It’s been a horrible couple of months — I also had the virus. I’m just chronically sad, and it’s warranted, but I can’t shake it, and I really just need to vent.</t>
        </is>
      </c>
      <c r="C1325" t="inlineStr">
        <is>
          <t>In February, my grandmom got a horrible cold, with the signature dry cough. I had been following the news and didn’t like what I saw, I feared the worst for her. I would go to her nursing home 1-3X a week to help her. To do her laundry. To keep her company. To help with bills and anything she needed. I have been caring for her for many years, long before she went to the medical wing in her facility. She only ended up in medical at the beginning of the year, right before this madness, because of mobility issues — she was otherwise healthy. In fact, she was gawked at in awe by medical professionals due to her amazing health in her old age. She managed just fine in the independent living wing up until January of this year, and frankly, she should have never stayed in medical and none of this should have happened (but that’s a whole different story). 
In Feb, while COVID-19 was known, it wasn’t being handled the way that it is now. Testing was only done if someone became critical. Nursing homes didn’t quarantine people. Staff didn’t wear masks. Visitors were allowed. The nursing home didn’t take her cough seriously, despite my suggestions that they should. Finally, about 2 weeks after she got sick with *the* cough, they quarantined her in a sick wing (after a mandatory CDC meeting) and then eventually, they quarantined her entire building. I couldn’t visit, but I had already been around her with the cough (without protection, because then, no one was using any or handling it appropriately). I knew better, but I trusted the medical professionals to know better than me. 
I ended up getting sick myself. I started to feel “off” in mid-March. By 3/22, I was full blown sick. I got COVID-19 from my grandmom. It lasted an entire month. The symptoms did not subside entirely until 4/22, and the lethargy carried on for about a week following my recovery. My symptoms were pretty textbook, including breathing troubles, but I opted to avoid hospitalization in favor of those who surely needed it more because I was able to maintain with a nebulizer, inhaler, steam, humidifier, etc. I do have underlying health issues (CFS/EBV), but my body is “healthy” by most definitions and standards, and I am fairly young (early 30’s). Mostly, I slept non-stop and refrained from exerting myself. It was horrible, absolute shit, and I’ve never been so sick, but I was mindful of my own body and I was okay in the end. 
My grandmom never became critical in the typical sense of the disease. She went through the “phases” &amp;amp; was quite sick, but she didn’t need a ventilator —- she had difficulty breathing and required full time oxygen support, and they acknowledged that her lungs would thus require oxygen permanently (for the rest of her life) as a result, but she was otherwise seemingly recovering. Or so they thought. She ended up suddenly getting fluid retention —- insane retention, like 15-20 pounds of fluid weight. It would be drained and come back quickly. They ultimately determined that this was from her liver, because her liver was failing. My grandmom never smoked, drank a sip of alcohol, or used drugs in her life. And for an elderly person, her liver function was quite good. She had testing done not long prior, actually, and the escalation of end-stage liver disease from a previously healthy liver made her primary doctor (her doctor prior to the nursing facility) baffled. He was completely blown away that this was happening.... but it was from COVID-19. Ultimately, COVID-19 damaged her organs, terminally.
The last few weeks of my Grandmom’s life was agonizing. She stayed in the medically-equipped nursing home throughout the entirety of her battle with the disease, as her organs quickly failed her. She wasn’t allowed to leave. I wasn’t allowed to enter. She was in severe pain. Her nursing home was negligent in more ways than I can describe. They’ve long been horrible but I was always *there* with her to hold them accountable and to see to it that she was okay. I wasn’t allowed in this time, when she needed me most. That is, not until she was literally on her death bed.
The nursing home has an end of life policy during the pandemic. Myself and immediate family members were granted one-time access, with proper hazmat (PPE), to say goodbye. We couldn’t go see her while she was still lucid — only after she was comatose and wasting away. However, I was the only person to initially go and see her, because the rest of my family had to make the decision to stay home, due to preexisting conditions that put them at high risk if they were to catch the virus. 
I ended up going on Sunday to see her. I arrived to a scene far worse than anticipated. At that point, while I knew something was wrong because she didn’t answer her cell phone and the nurses explained she wasn’t well, I didn’t realize *how* bad she was, I thought then I was going to arrive to her at least somewhat cognitively capable. Not the case. She was unable to open her eyes, was open-mouth breathing very aggressively and was in very bad shape, just hanging on by a thread. Because we weren’t properly informed of the severity of the situation, and because it occurred so suddenly, we hadn’t yet contacted the rest of our extended family (most live far away). 
So, on Sunday, I contacted my uncle (my Grandmom’s other son, besides my dad) and my aunt, her daughter. I contacted numerous other relatives. I let everyone FaceTime her and speak to her (even though she was not able to respond, she seemed to then at least somewhat acknowledge what was happening by failed attempts to talk and some eye fluttering). My uncle ended up leaving when I got off the phone with him and making the trip up our way with plans to see her. Thank goodness, because I was devastated that I could only go once and no one would see her again. It seemed so cruel to me. 
My uncle got to our area on Sunday evening, but he didn’t go to see her until Monday. He only stayed for a few hours and he was devastated. Aside from the obvious sadness regarding the situation, he explained to me that she was in pain and that he had to asked them to give her pain medicine. I had the same experience. This was not okay with me. She has no one to advocate for her. When I was there, I asked when she had last received any comfort measures and it was many hours past due for a dose. They promptly brought in a syringe of morphine (for under her tongue) by my wishes — this is not something I should have to ask for. She’s in pain, she’s dying. They should be giving her medicine to alleviate her suffering as often as is needed, by a set alarm. When I was there on Sunday, I was there all day and night and nurses only came in twice. What the fuck? They wouldn’t even know if she had died. God knows how bad it is when she’s alone. 
I’m besides myself at this point, come Monday, after what I had experienced and what my uncle told me —- knowing what shape she was in, knowing that she was there for two months without me to make sure she wasn’t in pain when her body was shutting down. Just the fact that she would die alone and possibly in pain, I just couldn’t fucking deal with it. I began calling every number on the directory. I called nursing supervisors, the head of the entire nursing home, corporate, social workers, you name it — I called it. I must have made 50+ calls on a Monday. 
Now, I have to back up a bit, because what I forgot to mention — and it’s hard to explain everything because so much happened, and a lot of it was horrific, on top of my current depression and scatterbrain — is that my uncle almost couldn’t get in there, despite their policy for one-time visit per immediate family member, because these people do not answer their phones! I got voicemail after voicemail for hours and hours. My uncle, my dad and I had called probably 35 times between the three of us between Sunday night and Monday afternoon to get him in the door. Every time you call, it goes to voicemail. No one calls back. Yes, they have a lot going on with COVID-19, but this is an ongoing issue, and when they have a resident dying, they have an ethical responsibility to keep us updated on what the hell is going on with her health, get back to us, and give us some common human courtesy. 
So, we eventually got my uncle in there — what a fiasco. Back to Monday, again, phone tag and phone calls galore. One, I want to know what is going on. Two, I want to make sure that she isn’t in pain. And three, at this point, I am honesty not taking anymore shit, and I am going there, come hell or high water. So, I eventually get ahold of a nursing director and I ask to go there and be with her. These people are so unorganized that the woman doesn’t realize that I’ve already been there to say goodbye. I don’t tell her. I just play dumb and while I didn’t lie, I also didn’t come forward with that info. I’m sorry, but it is what it is — 1, I hope to have immunity (I already spent a month sick), and 2, I am properly protecting myself with full hazmat, N95, and properly isolating myself after the visit (yes, 2 weeks for me again after 1.5 months of isolation from illness + self-isolation afterward for courtesy). The thing is — I didn’t really give a fuck at that point about their policy. They don’t tell us what is going on, they don’t have human courtesy and see to it that she isn’t in pain. They don’t even come in the room to freaking check on her! I’m going to be with her. Period. 
And so I did. I got there Tuesday and spent the day with her. I arrived, got my temperature taken (as required) and followed all precautions ethically and responsibly, and went to my Grandmom’s room. No hospice. No oversight. She was just there, in excruciating pain, clearly dying. It was evident this time. She was knocking on deaths door. It was clear to me that this was it. Her mouth and lips were so dry. I found a cup of water and a sponge and I wet her lips and tongue, repetitively. At that point, all of her body functions had stopped working, but she was so dehydrated that her mouth would still occasionally clamp down on the wet sponge. She was desperate. I was horrified, but glad I forced my way in so she didn’t have to die alone in pain. I, of course, asked the aid to ask the nurse for pain meds once again. Like clockwork, she came right in — clearly, she’d again been neglected. Within 30 mins, I could see her body relax from the previous painful moans; she needed comfort measures, more so than ever. 
I called and FaceTimed many relatives, again, while explaining that they need to say their final goodbyes. I then told her myself that I loved her and that it was okay. It was okay to let go. She didn’t have to be strong anymore. She can go now. And shortly after, with my by her side, she did go. Thankfully, she passed with loving comfort, from the goodbyes of her loved ones to me by her side, and appropriately medicated. Thank goodness I made the effort that I did. I rang the bell, tears flooding my face, knowing that she was gone. Go figure, it took the nurse about 7 minutes to arrive to acknowledge the bell. She was flustered by the fact that my grandmom was dead. “Uhhh... what is the time?” She went and got other employees. “Sorry for your loss. What funeral home should we call?” It breaks my heart for other residents there, honestly, because I can’t even imagine how long my grandmom may have been there dead without them noticing if I hadn’t weaseled my way back in that day. 
It was horrible. It was a terrible thing to witness. It was devastating. The things I saw, my god. This isn’t the first time I’ve watched a love one take their last breath. I was by my mom’s side (my best friend in the world) when she passed away 13 years ago. I was also there when my mom’s brother, my uncle, took his last breath. It doesn’t get any easier, though, and somehow, though I’ll never be okay from my mother’s premature death (that pains me more than anything imaginable to this day), somehow, losing my grandmom is taking a greater toll on me immediately. I think it’s because she suffered so much and was neglected. I think it’s because it was due to COVID-19 —- and probably because I documented the experience of her becoming ill, the progression of her illness, and my own, on Facebook throughout the last two months — and I was mocked and ridiculed.
People actually claimed the virus didn’t exist. They claimed it was fake or overblown. They claimed it was actually 5G. You name it, I heard it. I have never seen more negativity and disgusting behavior in my entire life. I am not easily offended. I have been through a lot in my short life and don’t let things bother me. This, this was different. I received some support from a few people, of course, but the majority of people, at least initially, were literally laughing in the face of my suffering, and my Grandmom’s suffering. They have no idea what it feels like, and still, I wouldn’t wish it on them. They don’t know what’s it’s like to spend 1.5 months in isolation sick, only to finally feel well again and have to be the person to be strong enough to send her on her way. They don’t know what it’s like to see that. They don’t know what it’s like to have to isolate myself again, because I’m not a fucking asshole like them, despite that I have no groceries in my house.... and I can’t work, yet again. You cannot prepare for something like this and the experience I’ve had has been just soul-crushing. I’ve been through a lot in my life and right now, the way I feel, it might be the worst I’ve ever felt.... the world just feels like it’s imploding around me. I am finally hitting a wall. I am absolutely broken. 
Mostly, I just needed to get this out of me because I’ve just been crying off and on all day and night. Everything that I’ve experienced over the past few months up until my Grandmom’s death is just rushing out of me like a vault. I don’t even feel comfortable expressing this to my “friends” on Facebook, seeing as they apparently find this all humorous, or did. I have spent most of my life taking care of other people, being kind, compassionate, and trying to  “be good.” The last few months have been some of the worst I’ve ever had and it’s been so disheartening that anyone, friend or acquaintance, could kick me while I’m down. I just really don’t deserve it, especially to be treated that way by people that I have been there for; so many ppl who have been downright assholes are people j have helped, in some way, shape or form, along the way. To be mocked while I am suffering and while my grandmom was fighting for her life is so disturbing. I honestly feel sorry for them. Imagine being so disturbed that you laugh at people’s suffering. It’s just been terrible, and at a time when I expect people to come together, I feel like I have lost faith in a lot of humanity.</t>
        </is>
      </c>
      <c r="D1325" t="n">
        <v>1</v>
      </c>
      <c r="E1325" t="n">
        <v>73</v>
      </c>
      <c r="F1325">
        <f>HYPERLINK("https://www.reddit.com/r/COVID19positive/comments/gp1sw5/my_grandmom_died_from_covid19_on_tuesday_i/")</f>
        <v/>
      </c>
      <c r="G1325" t="inlineStr">
        <is>
          <t>2020-05-23 02:04:02</t>
        </is>
      </c>
      <c r="H1325" t="inlineStr">
        <is>
          <t>Tested Positive - Family</t>
        </is>
      </c>
    </row>
    <row r="1326">
      <c r="A1326" t="inlineStr">
        <is>
          <t>gp3n0u</t>
        </is>
      </c>
      <c r="B1326" t="inlineStr">
        <is>
          <t>Pollution and/or agriculture chemicals</t>
        </is>
      </c>
      <c r="C1326" t="inlineStr">
        <is>
          <t>Does air quality affect recovery times for covid?
[View Poll](https://www.reddit.com/poll/gp3n0u)</t>
        </is>
      </c>
      <c r="D1326" t="n">
        <v>1</v>
      </c>
      <c r="E1326" t="n">
        <v>2</v>
      </c>
      <c r="F1326">
        <f>HYPERLINK("https://www.reddit.com/r/COVID19positive/comments/gp3n0u/pollution_andor_agriculture_chemicals/")</f>
        <v/>
      </c>
      <c r="G1326" t="inlineStr">
        <is>
          <t>2020-05-23 04:53:33</t>
        </is>
      </c>
      <c r="H1326" t="inlineStr">
        <is>
          <t>Presumed Positive - From Doctor</t>
        </is>
      </c>
    </row>
    <row r="1327">
      <c r="A1327" t="inlineStr">
        <is>
          <t>gp47ef</t>
        </is>
      </c>
      <c r="B1327" t="inlineStr">
        <is>
          <t>Advice on going back to work?</t>
        </is>
      </c>
      <c r="C1327" t="inlineStr">
        <is>
          <t>Symptoms started last Monday. At first just loss of taste and smell then a little achey and more tired than usual, so only a mild case. got tested on Monday and results came back unclear so  a re-test on Wednesday and it came back as positive on Friday.
The email and text message I received from the NHS and says I can return to work on the 8th day after my symptoms started, so I'm wondering, if loss of taste and smell can last a while after illness, am I okay just to assume it has gone even with the loss of smell and taste still there? Or what would my best course of action be?</t>
        </is>
      </c>
      <c r="D1327" t="n">
        <v>1</v>
      </c>
      <c r="E1327" t="n">
        <v>11</v>
      </c>
      <c r="F1327">
        <f>HYPERLINK("https://www.reddit.com/r/COVID19positive/comments/gp47ef/advice_on_going_back_to_work/")</f>
        <v/>
      </c>
      <c r="G1327" t="inlineStr">
        <is>
          <t>2020-05-23 05:36:32</t>
        </is>
      </c>
      <c r="H1327" t="inlineStr">
        <is>
          <t>Tested Positive - Me</t>
        </is>
      </c>
    </row>
    <row r="1328">
      <c r="A1328" t="inlineStr">
        <is>
          <t>gp48na</t>
        </is>
      </c>
      <c r="B1328" t="inlineStr">
        <is>
          <t>Finally covid free after 60 days!</t>
        </is>
      </c>
      <c r="C1328" t="inlineStr">
        <is>
          <t>Hey guys! I have been positing on this sub for awhile and finally today, I have good news to share. I tested negative TWICE and got discharged from the hospital after 60 days! I’m so happy, I feel great and am finally excited to be back with my family. 
Praying for all of you. You can do it! Take care and stay safe everybody ❤️</t>
        </is>
      </c>
      <c r="D1328" t="n">
        <v>1</v>
      </c>
      <c r="E1328" t="n">
        <v>48</v>
      </c>
      <c r="F1328">
        <f>HYPERLINK("https://www.reddit.com/r/COVID19positive/comments/gp48na/finally_covid_free_after_60_days/")</f>
        <v/>
      </c>
      <c r="G1328" t="inlineStr">
        <is>
          <t>2020-05-23 05:39:15</t>
        </is>
      </c>
      <c r="H1328" t="inlineStr">
        <is>
          <t>Tested Positive - Me</t>
        </is>
      </c>
    </row>
    <row r="1329">
      <c r="A1329" t="inlineStr">
        <is>
          <t>gp4i3h</t>
        </is>
      </c>
      <c r="B1329" t="inlineStr">
        <is>
          <t>Getting together with family post negative test?</t>
        </is>
      </c>
      <c r="C1329" t="inlineStr">
        <is>
          <t>Has anyone who had tested positive then recovered and tested negative gone over to a family member's home? Our house has recovered and we were hoping to maybe see family we haven't seen in months but feeling uneasy. Wondering if we truly are ok to be around.</t>
        </is>
      </c>
      <c r="D1329" t="n">
        <v>1</v>
      </c>
      <c r="E1329" t="n">
        <v>3</v>
      </c>
      <c r="F1329">
        <f>HYPERLINK("https://www.reddit.com/r/COVID19positive/comments/gp4i3h/getting_together_with_family_post_negative_test/")</f>
        <v/>
      </c>
      <c r="G1329" t="inlineStr">
        <is>
          <t>2020-05-23 05:59:13</t>
        </is>
      </c>
      <c r="H1329" t="inlineStr">
        <is>
          <t>Tested Positive - Me</t>
        </is>
      </c>
    </row>
    <row r="1330">
      <c r="A1330" t="inlineStr">
        <is>
          <t>gp5558</t>
        </is>
      </c>
      <c r="B1330" t="inlineStr">
        <is>
          <t>Healthy Male 26 Year Old. Contracted Coronavirus / Covid19 in January, Ongoing Recovery. Discussion of after effects.</t>
        </is>
      </c>
      <c r="C1330" t="inlineStr">
        <is>
          <t>The intention of this post if to gather insight from males under the age of 40, who are active and generally healthy, before contracting Covid19 and undergoing the damages it causes.
I have not come across much useful information for this demographic of people, as much of the focus tends to be on the serious cases (quite rightly) but leaves me to be quite concerned regarding the medium to long-term consequences of this illness and its effects on the body.
I would encourage anyone within this demographic to compare experiences and post about the symptoms they have experienced.
\----------------------
A bit about me.
I am a healthy, white 26 year old male. I regularly exercise through the gym, 10K runs and playing football. I eat healthily. I have smoked in the past (not excessively) and drink quite alot of alcohol at weekends. I have no underlying health conditions. I can quite easily run 10K in under 50mins and play an 11aside football match for 90-120 mins. I have never experienced issues with my chest or cardiovascular fitness. The limitations of my fitness has been muscular endurance (which will be important later).
\---------------------
When I got coronavirus and early symptoms.
I was travelling around Asia from November - January. I was in the Philippines early January, when the Coronavirus got national attention. I got stuck in Manila airport for 4 days, as a result of the volcanic eruption. I got to Taiwan around 17/01. Around the 19/01, I felt very unwell, reporting the following symptoms:
Extremely persistent cough, describe it like I was coughing my lungs out, this didn't shift for about 4 weeks. ( I was back in the UK 29/01).
Severe headaches, similar to dehydration headaches.
Hot/cold sweats for a couple of days
Delirious dreams, not feeling entirely clear in the head.
Mild Nausea
Loss of appetite ( I usually eat a lot, i was having a sushi roll a day for a few days)
Extremely tired
I expect that I contracted Covid19 in the airport, which had many Chinese tourists celebrating Chinese New Year. An airport and hotel is the perfect transmissions grounds for the virus. Contraction was confirmed alot later via a test.
These were the initial symptoms, and the tiredness/cough didn't shift for quite some time.
Upon returning to the UK, i experienced shortness of breath for a couple of nights. Nothing too severe  but required me to wake up and meditate to calm myself as it was a weird, shocking experience.
As mentioned, the cough took a look time to shift.
\--------------------
Early aftermath (feb/march)
I would often try to run and play football, and I found that my fitness wasn't great but I could manage a 35minute 5 a side match and running for 20 mins. Physical strength, no issues.
I would notice when I did something too strenuous, that I would get a tight feeling in my sternum (lungs/trachea) that was very uncomfortable and a novel feeling.
I suspected this was part of the recovery journey from what is to be expected from a cardiovascular illness.
\----------------------------
April - Now
After continuing to exercise, I noticed my fitness getting worse, not better with the reporting chest tightness getting so severe that I couldn't run at times. When I did run I was exhausted with an extremely over worked heart from jogging quite slowly.
After suspecting this not to be normal I contacted the doctor to get some treatment advice. I suspected I had developed bronchitis as a result of the virus, and required some antibiotics to shift this. I was prescribed 5 days of amoxicillin.
During the course, my chest felt extremely weird and in pain. As if there was intense inflammation in my chest
After the treatment, I didn't notice anything on my chest and proceeded to quite easily run 10K in 50minutes. It was as if I no longer had anything wrong with my chest.
However, after a further week, my fitness has started to regress again and so I restart antibiotics. Again, fitness jumps back and I can run 10K.
\--------------------------------------
Further, harder to diagnose symptoms from February
I have noticed unusual feeling in my testicles, which comes and goes. It is similar to what is described here:  [https://www.nhs.uk/conditions/epididymitis/](https://www.nhs.uk/conditions/epididymitis/)
I have noticed random pains in both flanks, suspected to be my kidneys. This comes and goes.
My chest around my heart feels weird at times, as if theres an inflammation.
inflamed lymph nodes, comes and goes. Recurring spots at the back of neck, near hairlines and under jaw.
dull aches behind bridge of nose
\----------------------
I would be keen to hear other people's stories and to see if there are similarities in your experience. I am particularly interested in those who are very healthy, and physically active, to understand your potential difficulties in returning your cardiovascular fitness to pre-virus levels.
Hopefully my own account has been useful! Excuse the English, I have written this as I have thought about it.</t>
        </is>
      </c>
      <c r="D1330" t="n">
        <v>1</v>
      </c>
      <c r="E1330" t="n">
        <v>89</v>
      </c>
      <c r="F1330">
        <f>HYPERLINK("https://www.reddit.com/r/COVID19positive/comments/gp5558/healthy_male_26_year_old_contracted_coronavirus/")</f>
        <v/>
      </c>
      <c r="G1330" t="inlineStr">
        <is>
          <t>2020-05-23 06:44:07</t>
        </is>
      </c>
      <c r="H1330" t="inlineStr">
        <is>
          <t>Tested Positive</t>
        </is>
      </c>
    </row>
    <row r="1331">
      <c r="A1331" t="inlineStr">
        <is>
          <t>gp59k1</t>
        </is>
      </c>
      <c r="B1331" t="inlineStr">
        <is>
          <t>Chest pressure and Covid-19</t>
        </is>
      </c>
      <c r="C1331" t="inlineStr">
        <is>
          <t>Hey everyone I wanted to start off by sharing my Covid story and symptoms to hopefully be able to help someone who is in a similar situation.  (Also I’m 25 with no previous health conditions.)  
On May 6 I woke up with a bad headache that lasted all day, cough, and back pain.  I thought I caught a cold and wasn’t too worried.  The next day my headache was gone and my symptoms were starting to get much better.  Then on March 12 I woke up and noticed I completely lost my sense of taste and smell. At that point I grew a bit worried and called my doctor who then recommended I get tested for coronavirus.  I got tested the same day and three days later I got a call saying I was positive for coronavirus. Since May 15 I’ve been feeling chest pressure or just a very strange feeling on the left side of my chest which is a bit hard to describe.  I actually felt great yesterday and did some gardening which was probably a bad idea since the chest pressure came back today.  I’ve talked to my doctor about it and he recommended going to the ER if it persists for a chest X-ray.  Also I’m supposed to get retested on May 27 but I have no idea what to expect with my results.  Has anyone else experienced  any chest symptoms and have you gotten it checked out?</t>
        </is>
      </c>
      <c r="D1331" t="n">
        <v>1</v>
      </c>
      <c r="E1331" t="n">
        <v>5</v>
      </c>
      <c r="F1331">
        <f>HYPERLINK("https://www.reddit.com/r/COVID19positive/comments/gp59k1/chest_pressure_and_covid19/")</f>
        <v/>
      </c>
      <c r="G1331" t="inlineStr">
        <is>
          <t>2020-05-23 06:52:31</t>
        </is>
      </c>
      <c r="H1331" t="inlineStr">
        <is>
          <t>Tested Positive - Me</t>
        </is>
      </c>
    </row>
    <row r="1332">
      <c r="A1332" t="inlineStr">
        <is>
          <t>gp5n49</t>
        </is>
      </c>
      <c r="B1332" t="inlineStr">
        <is>
          <t>Anyone else have ALL the symptoms and still test negative?</t>
        </is>
      </c>
      <c r="C1332" t="inlineStr">
        <is>
          <t>I heard the rate of false negative results for these tests are high (I had a nasal swab), is that true? 
I got tested on day 6 and the results were negative. I also read that sometimes if you get tested later the results can be negative due to how quick the virus sheds. Again, I don’t know the accuracy on that.</t>
        </is>
      </c>
      <c r="D1332" t="n">
        <v>1</v>
      </c>
      <c r="E1332" t="n">
        <v>14</v>
      </c>
      <c r="F1332">
        <f>HYPERLINK("https://www.reddit.com/r/COVID19positive/comments/gp5n49/anyone_else_have_all_the_symptoms_and_still_test/")</f>
        <v/>
      </c>
      <c r="G1332" t="inlineStr">
        <is>
          <t>2020-05-23 07:16:36</t>
        </is>
      </c>
      <c r="H1332" t="inlineStr">
        <is>
          <t>Presumed Positive - From Doctor</t>
        </is>
      </c>
    </row>
    <row r="1333">
      <c r="A1333" t="inlineStr">
        <is>
          <t>gp6uka</t>
        </is>
      </c>
      <c r="B1333" t="inlineStr">
        <is>
          <t>Any1 experience a jiggly feeling in ur chest when u get up from a position of rest?</t>
        </is>
      </c>
      <c r="C1333" t="inlineStr">
        <is>
          <t>I feel this jiggly feeling on the left side of my chest when i get up from my chest from the inside. What could it possibly be?</t>
        </is>
      </c>
      <c r="D1333" t="n">
        <v>1</v>
      </c>
      <c r="E1333" t="n">
        <v>14</v>
      </c>
      <c r="F1333">
        <f>HYPERLINK("https://www.reddit.com/r/COVID19positive/comments/gp6uka/any1_experience_a_jiggly_feeling_in_ur_chest_when/")</f>
        <v/>
      </c>
      <c r="G1333" t="inlineStr">
        <is>
          <t>2020-05-23 08:30:20</t>
        </is>
      </c>
      <c r="H1333" t="inlineStr">
        <is>
          <t>Presumed Positive - From Doctor</t>
        </is>
      </c>
    </row>
    <row r="1334">
      <c r="A1334" t="inlineStr">
        <is>
          <t>gp7ajb</t>
        </is>
      </c>
      <c r="B1334" t="inlineStr">
        <is>
          <t>Anyone else told to presume positive regardless of test results?</t>
        </is>
      </c>
      <c r="C1334" t="inlineStr">
        <is>
          <t>I'm just wondering how common this is. I was slightly surprised when this was the advice the doctor gave me after I got tested yesterday. He gave me paperwork that says even if my test comes back negative, I should still assume that I'm infected and stay in isolation. Is this advice others were given also?</t>
        </is>
      </c>
      <c r="D1334" t="n">
        <v>1</v>
      </c>
      <c r="E1334" t="n">
        <v>21</v>
      </c>
      <c r="F1334">
        <f>HYPERLINK("https://www.reddit.com/r/COVID19positive/comments/gp7ajb/anyone_else_told_to_presume_positive_regardless/")</f>
        <v/>
      </c>
      <c r="G1334" t="inlineStr">
        <is>
          <t>2020-05-23 08:57:05</t>
        </is>
      </c>
      <c r="H1334" t="inlineStr">
        <is>
          <t>Presumed Positive - From Doctor</t>
        </is>
      </c>
    </row>
    <row r="1335">
      <c r="A1335" t="inlineStr">
        <is>
          <t>gp8l11</t>
        </is>
      </c>
      <c r="B1335" t="inlineStr">
        <is>
          <t>Started feeling crappy 2 days ago</t>
        </is>
      </c>
      <c r="C1335" t="inlineStr">
        <is>
          <t>24 y/o healthy male, I exercise regularly and eat relatively healthy. 
Felt like I was about to faint yesterday in the heat, cold sweat &amp;amp; chills began. Muscle soreness for the past 3-5 days. Slight cough that I attributed to allergies. I am resting as much as possible &amp;amp; isolating myself. Haven’t been taking any meds. 
I went to the ER last night due to the fatigue, nausea, cold sweat &amp;amp; lightheadedness. Doctor said I should be fine, my vitals were normal but I am exhibiting viral infection symptoms. I declined the covid-19 test due to the discomfort that comes from a cotton swab poking my brain lol. Could be cold, flu, stomach bug or covid-19. Will update soon.</t>
        </is>
      </c>
      <c r="D1335" t="n">
        <v>1</v>
      </c>
      <c r="E1335" t="n">
        <v>9</v>
      </c>
      <c r="F1335">
        <f>HYPERLINK("https://www.reddit.com/r/COVID19positive/comments/gp8l11/started_feeling_crappy_2_days_ago/")</f>
        <v/>
      </c>
      <c r="G1335" t="inlineStr">
        <is>
          <t>2020-05-23 10:13:47</t>
        </is>
      </c>
      <c r="H1335" t="inlineStr">
        <is>
          <t>Presumed Positive - From Doctor</t>
        </is>
      </c>
    </row>
    <row r="1336">
      <c r="A1336" t="inlineStr">
        <is>
          <t>gp9612</t>
        </is>
      </c>
      <c r="B1336" t="inlineStr">
        <is>
          <t>When should I return back to my job?</t>
        </is>
      </c>
      <c r="C1336" t="inlineStr">
        <is>
          <t>I live with 3 other people and 2 of them have it already, just my sister that doesn't as of now. My mom and I got tested last Wednesday and soon after got the results that we were positive. I called my job and let them know. 
I work and support individuals with disabilities so my job requires a lot of support of basic necessities and we work at their home. When I spoke to my manager she told me my jobs policy is to wait 10 days after you got tested and if you show no symptoms for like 3 days then you can return back to work. I haven't shown any of the initial symptoms like fever, runny nose, shortness in breath in like 6 days now, neither have the other 2 people I live with. I just have been having a constant headache, migraine-like, I've always had gotten bad headaches before so I don't know if this is due to the positive testing. 
Anyways, I'm writing this because I am concerned to return back to work. Tomorrow she's gonna ask me if I'm alright to return for Monday, and a part of me feel like I am but I am also scared because once again two other people in my house have it, and I work with people whose immune system is weaker due to their conditions and I feel like a threat even though I haven't shown any of the symptoms as of recent. What should I do?</t>
        </is>
      </c>
      <c r="D1336" t="n">
        <v>1</v>
      </c>
      <c r="E1336" t="n">
        <v>8</v>
      </c>
      <c r="F1336">
        <f>HYPERLINK("https://www.reddit.com/r/COVID19positive/comments/gp9612/when_should_i_return_back_to_my_job/")</f>
        <v/>
      </c>
      <c r="G1336" t="inlineStr">
        <is>
          <t>2020-05-23 10:45:59</t>
        </is>
      </c>
      <c r="H1336" t="inlineStr">
        <is>
          <t>Tested Positive</t>
        </is>
      </c>
    </row>
    <row r="1337">
      <c r="A1337" t="inlineStr">
        <is>
          <t>gpbvsv</t>
        </is>
      </c>
      <c r="B1337" t="inlineStr">
        <is>
          <t>Anyone afraid when you don’t feel many symptoms?</t>
        </is>
      </c>
      <c r="C1337" t="inlineStr">
        <is>
          <t>Anyone feel ok then it makes you worried shit is  about to hit the fan? Like I am terrified when I don’t feel like crap. It makes no sense. I think well great I don’t feel bad so it’s about to get worse for me. Idk how much of this I am doing to myself at this point. I’m still taking it easy though. I feel like I just live to see what symptoms I’ll get or how short of breath I’ll feel. It’s miserable. Reading doesn’t help AT ALL. I am now worried about my kids. If they blink wrong I’m in panic mode. If my husband coughs I am also instantly in panic mode. Ughhh. The mental tole this is taking on me is not so good. Husband is scheduled for his antibody test on Tuesday as is my brother. I’m afraid that it will come up negative ( they were also sick in March but couldn’t get tested) and they will catch it going to get the testing done. I am not fully without symptoms so I don’t want to get tested yet. Then I read it could come up positive for antibodies if you had a cold. So who knows if the tests even matter. My head is all over the place 24/7 and I sleep maybe 2 hours a night and when I do I have panic attacks that wake me up. Always had health anxiety. Esp during flu season. I’ll take flu over this all damn day now 🥺 sorry for the crazy post I’m overly emotional today!</t>
        </is>
      </c>
      <c r="D1337" t="n">
        <v>1</v>
      </c>
      <c r="E1337" t="n">
        <v>19</v>
      </c>
      <c r="F1337">
        <f>HYPERLINK("https://www.reddit.com/r/COVID19positive/comments/gpbvsv/anyone_afraid_when_you_dont_feel_many_symptoms/")</f>
        <v/>
      </c>
      <c r="G1337" t="inlineStr">
        <is>
          <t>2020-05-23 13:21:13</t>
        </is>
      </c>
      <c r="H1337" t="inlineStr">
        <is>
          <t>Tested Positive</t>
        </is>
      </c>
    </row>
    <row r="1338">
      <c r="A1338" t="inlineStr">
        <is>
          <t>gpcgu4</t>
        </is>
      </c>
      <c r="B1338" t="inlineStr">
        <is>
          <t>Anyone sick in March and have a cough return last week?</t>
        </is>
      </c>
      <c r="C1338" t="inlineStr">
        <is>
          <t>I am asking because my 3yo son began having leg pain with some swelling. The next day I took him to the ER where they diagnosed post-viral transient synovitis. He developed a cough that same morning. No exposure to sick people, hasn’t been anywhere in months and no one else in our household is catching this. It sounds like the cough he had in March with presumed COVID, but without any of the other symptoms he had back then (GI symptoms, loss of appetite, runny nose, red watery eyes) 
Background: Passed through my house in March. 6yo daughter had GI pain and loss of appetite. A few days later I developed scratchy sore throat, very mild cough, moderate headache and moderate body ache. My symptoms resolved in 2 days. Days later 1yo daughter was sick but only noticeable symptoms were runny nose and maybe a mild cough. My 3yo son started having GI issues and loss of appetite that day. A few days later he had a runny nose and started coughing. Cough got worse over the course of the next two weeks (very unusual) before resolving after 16 days. A few days after he got sick our single indoor cat started showing viral symptoms. Brought cat to the emergency vet  a couple of days later when he was extremely lethargic and seemed to have difficulty breathing. Vet confirmed URI, low fever and some breathing difficulty. I explained our situation, they told me cats couldn’t get COVID 🙄 A few days later came the reports about the cat in Belgium and a week later the tigers in NYC tested positive. 
Everyone is better now, except my son. My husband was always asymptomatic. 
I had an antibody test done almost two weeks ago with Genalyte, apparently 99% accurate. I tested positive for IgM antibodies and negative for IgG antibodies. My son was tested for IgG in the ER a few days ago and his results were negative. 
I have been absolutely freaking out about MIS-C. I was worried even before my son developed the hip inflammation. I am having depression and anxiety. The return of his cough has sent me spiraling and I dread each day. I see everything reopening and am angry we weren’t one of the lucky ones who avoided it. 
I guess I am looking for any reassurance or comments would help me out. 
Thank you.</t>
        </is>
      </c>
      <c r="D1338" t="n">
        <v>1</v>
      </c>
      <c r="E1338" t="n">
        <v>9</v>
      </c>
      <c r="F1338">
        <f>HYPERLINK("https://www.reddit.com/r/COVID19positive/comments/gpcgu4/anyone_sick_in_march_and_have_a_cough_return_last/")</f>
        <v/>
      </c>
      <c r="G1338" t="inlineStr">
        <is>
          <t>2020-05-23 13:54:59</t>
        </is>
      </c>
      <c r="H1338" t="inlineStr">
        <is>
          <t>Presumed Positive - From Test</t>
        </is>
      </c>
    </row>
    <row r="1339">
      <c r="A1339" t="inlineStr">
        <is>
          <t>gpde8x</t>
        </is>
      </c>
      <c r="B1339" t="inlineStr">
        <is>
          <t>Wouldn’t exercise help in recovery?</t>
        </is>
      </c>
      <c r="C1339" t="inlineStr">
        <is>
          <t>My Dr. told me I am cleared to exercise. I’m ready to exercise. I’m ready to get healthy. I see a bunch of post on here that day do not exercise. Can someone explain this to me?  Also why cannot one have sugar in recovery?</t>
        </is>
      </c>
      <c r="D1339" t="n">
        <v>1</v>
      </c>
      <c r="E1339" t="n">
        <v>18</v>
      </c>
      <c r="F1339">
        <f>HYPERLINK("https://www.reddit.com/r/COVID19positive/comments/gpde8x/wouldnt_exercise_help_in_recovery/")</f>
        <v/>
      </c>
      <c r="G1339" t="inlineStr">
        <is>
          <t>2020-05-23 14:49:45</t>
        </is>
      </c>
      <c r="H1339" t="inlineStr">
        <is>
          <t>Tested Positive - Me</t>
        </is>
      </c>
    </row>
    <row r="1340">
      <c r="A1340" t="inlineStr">
        <is>
          <t>gpe74l</t>
        </is>
      </c>
      <c r="B1340" t="inlineStr">
        <is>
          <t>COVID 19 and Alcohol</t>
        </is>
      </c>
      <c r="C1340" t="inlineStr">
        <is>
          <t xml:space="preserve">
So I tested positive a little over a month ago and had moderate symptoms (fever for a couple days, diarrhea, shortness of breath, etc). Symptoms only lasted a week and during that 7 days I didn't drink at all, didn't even feel like it. After two weeks total I tested negative with a rapid test and went back to work a few days later. 4 days later I was driving home from work and had a slight coughing bout. The next day after lunch I started coughing again and told my boss that I felt like I needed to leave because I didn't want to put anyone at risk. Got tested using the test that they send off to the lab and they called me the next day telling me I was positive. The only symptoms I had was a cough that wasn't constant, just came in a few spurts. They told me to wait another 7 days and so I did. About day 5-7 I had a couple of bouts of shortness of breath but didn't last long and wasn't frequent. They ended up bumping my test back another 3 days to today and they did another rapid test on me and I still came back positive. The Dr told me he personally didn't feel like I had the virus anymore but I had to follow CDC guidelines and wait another week even though I don't really have any symptoms. The thing is, in my normal day to day life, I drink just about every day. I enjoy it, and I'm not getting drunk, just finishing off the day with a few rewards. My concern though is that I'm prolonging the virus by drinking and I don't want to be taking advantage of my company paying me for still being sick. I really don't feel like I am, but I'd be happy to hear what other people think (in a non judgemental fashion, if you don't mind). I don't even feel sick anymore aside from a random moment of shortness of breath but it's not even severe and when I was sick, I didn't drink. Full disclosure, I also have anxiety so sometimes a little chest tightness just happens in my life.</t>
        </is>
      </c>
      <c r="D1340" t="n">
        <v>1</v>
      </c>
      <c r="E1340" t="n">
        <v>11</v>
      </c>
      <c r="F1340">
        <f>HYPERLINK("https://www.reddit.com/r/COVID19positive/comments/gpe74l/covid_19_and_alcohol/")</f>
        <v/>
      </c>
      <c r="G1340" t="inlineStr">
        <is>
          <t>2020-05-23 15:37:22</t>
        </is>
      </c>
      <c r="H1340" t="inlineStr">
        <is>
          <t>Tested Positive - Me</t>
        </is>
      </c>
    </row>
    <row r="1341">
      <c r="A1341" t="inlineStr">
        <is>
          <t>gpedy8</t>
        </is>
      </c>
      <c r="B1341" t="inlineStr">
        <is>
          <t>7 days in - Worst Symptom is TASTE</t>
        </is>
      </c>
      <c r="C1341" t="inlineStr">
        <is>
          <t>Any advice on how I can get food down? Everything tastes like its laced with some kind of medicine or lotion. Its just a nasty sickly sweet taste added on to everything. I heard people losing their taste and smell but mine just changed into rotten....
So far grains and starches seem to be the best items. Fruit and flavored meats are gross. Plain meat is ok.</t>
        </is>
      </c>
      <c r="D1341" t="n">
        <v>1</v>
      </c>
      <c r="E1341" t="n">
        <v>10</v>
      </c>
      <c r="F1341">
        <f>HYPERLINK("https://www.reddit.com/r/COVID19positive/comments/gpedy8/7_days_in_worst_symptom_is_taste/")</f>
        <v/>
      </c>
      <c r="G1341" t="inlineStr">
        <is>
          <t>2020-05-23 15:48:59</t>
        </is>
      </c>
      <c r="H1341" t="inlineStr">
        <is>
          <t>Tested Positive - Me</t>
        </is>
      </c>
    </row>
    <row r="1342">
      <c r="A1342" t="inlineStr">
        <is>
          <t>gpf17e</t>
        </is>
      </c>
      <c r="B1342" t="inlineStr">
        <is>
          <t>Have y'all had a low heart rate?</t>
        </is>
      </c>
      <c r="C1342" t="inlineStr">
        <is>
          <t>Have y'all had a low heart rate like 58, 63, 60, and so on?</t>
        </is>
      </c>
      <c r="D1342" t="n">
        <v>1</v>
      </c>
      <c r="E1342" t="n">
        <v>10</v>
      </c>
      <c r="F1342">
        <f>HYPERLINK("https://www.reddit.com/r/COVID19positive/comments/gpf17e/have_yall_had_a_low_heart_rate/")</f>
        <v/>
      </c>
      <c r="G1342" t="inlineStr">
        <is>
          <t>2020-05-23 16:28:46</t>
        </is>
      </c>
      <c r="H1342" t="inlineStr">
        <is>
          <t>Presumed Positive - From Doctor</t>
        </is>
      </c>
    </row>
    <row r="1343">
      <c r="A1343" t="inlineStr">
        <is>
          <t>gpfiiy</t>
        </is>
      </c>
      <c r="B1343" t="inlineStr">
        <is>
          <t>An athlete experiencing mild symptoms, sent home by hospital doctor/ER for self quarantine. No COVID test needed yet. (Daily Updates)</t>
        </is>
      </c>
      <c r="C1343" t="inlineStr">
        <is>
          <t>Age: 32 
Sex: Male
Status: Physically active (triathlete/runner/gym person) the last 5 years
Location: South East Asia
History:
Just 4 days ago, May 20, I went to the office just like any regular day and in the morning started to experience a runny nose. I dismissed this is as nothing significant because that office of ours was always dusty and you can feel it in your skin versus other same company offices that I have been to. I have rhinitis, so it always gets triggered there. The day ended and I went home. I started drinking OTC medicines to alleviate the colds. The following day I decided to take the whole day off from work because while my colds have lessened I started to feel some lightheadedness, heaviness in the chest, tingling sensations on my fingers/hands/feet, and an itchy/swollen throat. Again, did not suspect it as anything else aside from my usual viral infections. On the 3rd day, I didn’t experience my colds anymore but still a bit of the other symptoms. I decided to go to work since I felt that I could do my regular tasks anyways. It was late in the afternoon that I decided to text my uncle who’s a doctor and show him a log of my symptoms the past few days, he then recommended that I already visit the hospital to have myself checked and assessed for possible COVID19. After work, I headed straight to the nearest hospital and myself looked at in the ER. The doctor after chatting with me told me that she won’t require me to take a swab yet because my symptoms did not fit the criteria for testing, she instead asked me to take a CBC, xray, and ECG. The results of these tests all returned normal except for the ECG which showed arrythmic bradycardia — which was expected from me since in the last 2 to 3 annual physical exams, that was always a finding. The doctor decided that I should go on a 14 day self quarantine at home, she didn’t prescribe me any antibiotics but for now medicines to manage some of the symptoms. In my discharge form, the doctor noted URTI (Upper Respiratory Tract Infection) and COVID Suspect.
I went home feeling anxious, scared, and at the same time a  bit joyful that I did not take a covid test yet. Now I’m going through the motion of spending the next 2 weeks at home resting and recuperating; hoping for the best! I would most likely be skipping any form of strenuous exercise until the symptoms subside but I will do daily stretches to keep my body moving.
Daily Updates:
Day 1 — Sore throat has gotten better compared to yesterday as well as the duration/frequency/length of the heavy chest feeling although there are some felt palpitations from time to time maybe from anxiety or something else. There are tingling sensations around the fingers/hands and my feet. Ligtheadedness and headache persist. I still feel a bit week I feel to do any of the regular exercises that I do whether it’s running/biking/strength training but I don’t have any problems completing minor and regular tasks.
Day 2 — (To be updated tonight)
— I will update this daily in case it can help anyone who may be experience similar like symptoms —
I guess as much as you want to blame someone for possibly transmitting the coronavirus, if indeed I am positive, I couldn’t because there’s just too many factors and instances where I could have gotten it. I hope more and more people just realize that their actions directly affect others who they might have not considered. 
If anyone has questions, feel free to post a comment and I will respond as best and as fast as I can. 
Thanks everyone! Stay home and stay safe :)</t>
        </is>
      </c>
      <c r="D1343" t="n">
        <v>1</v>
      </c>
      <c r="E1343" t="n">
        <v>13</v>
      </c>
      <c r="F1343">
        <f>HYPERLINK("https://www.reddit.com/r/COVID19positive/comments/gpfiiy/an_athlete_experiencing_mild_symptoms_sent_home/")</f>
        <v/>
      </c>
      <c r="G1343" t="inlineStr">
        <is>
          <t>2020-05-23 16:58:38</t>
        </is>
      </c>
      <c r="H1343" t="inlineStr">
        <is>
          <t>Presumed Positive - From Doctor</t>
        </is>
      </c>
    </row>
    <row r="1344">
      <c r="A1344" t="inlineStr">
        <is>
          <t>gpfl7m</t>
        </is>
      </c>
      <c r="B1344" t="inlineStr">
        <is>
          <t>My wife tested positive for IGG antibody today</t>
        </is>
      </c>
      <c r="C1344" t="inlineStr">
        <is>
          <t>We had a major flu spell in our house in late February , my wife insisted it was covid-19 but I doubted it , we still took proper measures Incase it was not
Well her mother is a healthcare professional and brought an antibody test over to see if she may have had it and behold she tested positive for the IGG antibody.
I’m unsure of what this means . 
We’ve gone months with 0 symptoms .
We have had a new born baby born on March 29th
We keep our masks and Ppe that we have in every social arena and practice safe distancing 
Does this mean she has had it and no longer does ? 
Does it mean she has it currently ? 
Does it mean she is still infectious , or even potentially ? 
I’m relieved and worried all at the same time .
Any answered would be helpful</t>
        </is>
      </c>
      <c r="D1344" t="n">
        <v>1</v>
      </c>
      <c r="E1344" t="n">
        <v>12</v>
      </c>
      <c r="F1344">
        <f>HYPERLINK("https://www.reddit.com/r/COVID19positive/comments/gpfl7m/my_wife_tested_positive_for_igg_antibody_today/")</f>
        <v/>
      </c>
      <c r="G1344" t="inlineStr">
        <is>
          <t>2020-05-23 17:03:02</t>
        </is>
      </c>
      <c r="H1344" t="inlineStr">
        <is>
          <t>Tested Positive - Family</t>
        </is>
      </c>
    </row>
    <row r="1345">
      <c r="A1345" t="inlineStr">
        <is>
          <t>gphkfd</t>
        </is>
      </c>
      <c r="B1345" t="inlineStr">
        <is>
          <t>How to make life more manageable</t>
        </is>
      </c>
      <c r="C1345" t="inlineStr">
        <is>
          <t>My situation isnt too terrible at the minute but I'm feeling very out of it and ill, im at home and not hospital what would you recommend i do to feel abit better?</t>
        </is>
      </c>
      <c r="D1345" t="n">
        <v>1</v>
      </c>
      <c r="E1345" t="n">
        <v>8</v>
      </c>
      <c r="F1345">
        <f>HYPERLINK("https://www.reddit.com/r/COVID19positive/comments/gphkfd/how_to_make_life_more_manageable/")</f>
        <v/>
      </c>
      <c r="G1345" t="inlineStr">
        <is>
          <t>2020-05-23 19:13:56</t>
        </is>
      </c>
      <c r="H1345" t="inlineStr">
        <is>
          <t>Tested Positive</t>
        </is>
      </c>
    </row>
    <row r="1346">
      <c r="A1346" t="inlineStr">
        <is>
          <t>gpifbu</t>
        </is>
      </c>
      <c r="B1346" t="inlineStr">
        <is>
          <t>Anyone use prednisone ?</t>
        </is>
      </c>
      <c r="C1346" t="inlineStr">
        <is>
          <t>I got prescribed prednisone , has anyone else used it and what symptoms did it help you with ?</t>
        </is>
      </c>
      <c r="D1346" t="n">
        <v>1</v>
      </c>
      <c r="E1346" t="n">
        <v>11</v>
      </c>
      <c r="F1346">
        <f>HYPERLINK("https://www.reddit.com/r/COVID19positive/comments/gpifbu/anyone_use_prednisone/")</f>
        <v/>
      </c>
      <c r="G1346" t="inlineStr">
        <is>
          <t>2020-05-23 20:16:58</t>
        </is>
      </c>
      <c r="H1346" t="inlineStr">
        <is>
          <t>Tested Positive - Me</t>
        </is>
      </c>
    </row>
    <row r="1347">
      <c r="A1347" t="inlineStr">
        <is>
          <t>gpio26</t>
        </is>
      </c>
      <c r="B1347" t="inlineStr">
        <is>
          <t>When should I worry about chest pain?</t>
        </is>
      </c>
      <c r="C1347" t="inlineStr">
        <is>
          <t>For background:
29F, 175lbs, 5'10". Former smoker. I tested positive a week ago today. I'm on day 14ish and I feel a lot better. The highest my temp ever got was 99.8 and my spO2 has been consistently in the 98-100 range. HR is a little high at around 80-90. Haven't really had any respiratory symptoms aside from a dryish tickle and cough that comes and goes (that could easily be allergy related). Two nights ago I suddenly developed some sharp, charlie-horse like pain in my left shoulder that seemed to wrap around my left side and go near my chest. It only hurts upon breathing deeply, laughing, or quick/odd movement. Doesn't hurt when I cough or sneeze. Right side is completely unaffected. My only option for care is the ER and I really do not want to go there unless I absolutely have to.</t>
        </is>
      </c>
      <c r="D1347" t="n">
        <v>1</v>
      </c>
      <c r="E1347" t="n">
        <v>3</v>
      </c>
      <c r="F1347">
        <f>HYPERLINK("https://www.reddit.com/r/COVID19positive/comments/gpio26/when_should_i_worry_about_chest_pain/")</f>
        <v/>
      </c>
      <c r="G1347" t="inlineStr">
        <is>
          <t>2020-05-23 20:34:42</t>
        </is>
      </c>
      <c r="H1347" t="inlineStr">
        <is>
          <t>Tested Positive</t>
        </is>
      </c>
    </row>
    <row r="1348">
      <c r="A1348" t="inlineStr">
        <is>
          <t>gpit7x</t>
        </is>
      </c>
      <c r="B1348" t="inlineStr">
        <is>
          <t>Im on day 14 now and yesterday( day 13 ) i started to feel alot worse.</t>
        </is>
      </c>
      <c r="C1348" t="inlineStr">
        <is>
          <t>I keep getting really bad confusion,brain fog, body pains have got worse, my cough has become less productive, chest feels full of liquid, sore throat, bad Gi symptoms, i have other things but the main thing is I developed a chest infection on day 11 and ive been coughing out tinted yellow phlegm which is alot more stickier than normal and more slimy and thick. 
My half sister in her 30s who has asthma and had a chest infection from it said she started to recover by day 13 , while i just feel like its getting alot worse and i have no underlying health conditions and im 19.</t>
        </is>
      </c>
      <c r="D1348" t="n">
        <v>1</v>
      </c>
      <c r="E1348" t="n">
        <v>6</v>
      </c>
      <c r="F1348">
        <f>HYPERLINK("https://www.reddit.com/r/COVID19positive/comments/gpit7x/im_on_day_14_now_and_yesterday_day_13_i_started/")</f>
        <v/>
      </c>
      <c r="G1348" t="inlineStr">
        <is>
          <t>2020-05-23 20:45:24</t>
        </is>
      </c>
      <c r="H1348" t="inlineStr">
        <is>
          <t>Presumed Positive - From Doctor</t>
        </is>
      </c>
    </row>
    <row r="1349">
      <c r="A1349" t="inlineStr">
        <is>
          <t>gpjp85</t>
        </is>
      </c>
      <c r="B1349" t="inlineStr">
        <is>
          <t>Chest congestion, unhealthy, wheezy cough 2 months after last symptoms?</t>
        </is>
      </c>
      <c r="C1349" t="inlineStr">
        <is>
          <t>It’s been about two months since being sick with covid. I still have a very wheezy sounding cough that sounds hoarse. Definitely sounds like phlegm still in there. 
Does anyone still experience this? It could be allergies but my chest does not seem to be getting better.</t>
        </is>
      </c>
      <c r="D1349" t="n">
        <v>1</v>
      </c>
      <c r="E1349" t="n">
        <v>4</v>
      </c>
      <c r="F1349">
        <f>HYPERLINK("https://www.reddit.com/r/COVID19positive/comments/gpjp85/chest_congestion_unhealthy_wheezy_cough_2_months/")</f>
        <v/>
      </c>
      <c r="G1349" t="inlineStr">
        <is>
          <t>2020-05-23 21:52:03</t>
        </is>
      </c>
      <c r="H1349" t="inlineStr">
        <is>
          <t>Presumed Positive - From Doctor</t>
        </is>
      </c>
    </row>
    <row r="1350">
      <c r="A1350" t="inlineStr">
        <is>
          <t>gpl6a7</t>
        </is>
      </c>
      <c r="B1350" t="inlineStr">
        <is>
          <t>To those presumed positive by a Dr or themselves</t>
        </is>
      </c>
      <c r="C1350" t="inlineStr">
        <is>
          <t>Presumed positive does not guarantee you are positive.  There are other viruses that cause most of these symptoms (disregard if you have loss of smell/taste, that one seems unique).  I know a lot of us would rather it be COVID 19 if we’ve been feeling really sick, as it then rules it out and allows us to (pun intended) breathe a little better.  Unfortunately, it just may not the case.  Below is our experience.
18 days ago my husband and his mother came down with a dry cough and fever.  Both were tested within a week and came back negative.  Around day 5 he felt better and we went on a slow 1 mile walk.  By the end of the walk he was drenched in sweat.  By the end of the night he was coughing so hard he was vomiting.
My husband continued to get worse and eventually developed shortness of breath/low o2 per the oximeter, tightness in chest, fever as high as 104, chills, headache, low appetite, fatigue.  Around day 10 he went to urgent care and got a chest x-ray.  He showed bronchial swelling and they said they could hear fluid in his “bad lung” (he has a congenital lung condition).  They said he was presumed positive, and has developed pneumonia - go home and quarantine.
Day 12 he was tested again - negative
Days 10-15 progressively worse to the point where he can no longer walk to the adjacent bathroom without gasping for breath.  Day 16-18 he is a *little* better
Day 18 he wakes after spending a night with his o2 reading low again and goes right to the ED.  He spent all day with them running tests, including another nasal covid test (negative again) and a chest CT.  The chest ct also **shows no signs of COVID19**.  He does not have it, it seems he has viral pneumonia.
We are frustrated and a little nervous as the last thing he needs is to risk catching this while compromised by existing pneumonia.  We were really hoping he was positive so we wouldn’t need to worry anymore (especially since he is seemingly getting better).</t>
        </is>
      </c>
      <c r="D1350" t="n">
        <v>1</v>
      </c>
      <c r="E1350" t="n">
        <v>9</v>
      </c>
      <c r="F1350">
        <f>HYPERLINK("https://www.reddit.com/r/COVID19positive/comments/gpl6a7/to_those_presumed_positive_by_a_dr_or_themselves/")</f>
        <v/>
      </c>
      <c r="G1350" t="inlineStr">
        <is>
          <t>2020-05-23 23:57:22</t>
        </is>
      </c>
      <c r="H1350" t="inlineStr">
        <is>
          <t>Presumed Positive - From Doctor</t>
        </is>
      </c>
    </row>
    <row r="1351">
      <c r="A1351" t="inlineStr">
        <is>
          <t>gpl8lw</t>
        </is>
      </c>
      <c r="B1351" t="inlineStr">
        <is>
          <t>Father Tested Positive</t>
        </is>
      </c>
      <c r="C1351" t="inlineStr">
        <is>
          <t>So ever since March, I have been self isolating with my mother at home. This was around the time when COVID-19 cases in my state began to sky rocket. But my father still had to go to work. We thought we did everything right, sterilizing packages, showering as soon as got home, wearing our mask, etc. 
Yesterday my father wasn’t feeling well, and today he was very tired. He slept all day which is unusual for him. So, my mother decided to take him to the hospital where they ran several tests on him, one of which was of course the COVID-19 year which came back positive. 
Seeing the number of cases in my state feels different now knowing that my father is now part of that group. Right now I feel shaken and I don’t know where to go or what to do. A thousands thoughts are going through my mind and I just have to let them out where people who have gone through or are going through a similar situation can understand and lend a listening ear.
Thank you.</t>
        </is>
      </c>
      <c r="D1351" t="n">
        <v>1</v>
      </c>
      <c r="E1351" t="n">
        <v>3</v>
      </c>
      <c r="F1351">
        <f>HYPERLINK("https://www.reddit.com/r/COVID19positive/comments/gpl8lw/father_tested_positive/")</f>
        <v/>
      </c>
      <c r="G1351" t="inlineStr">
        <is>
          <t>2020-05-24 00:02:54</t>
        </is>
      </c>
      <c r="H1351" t="inlineStr">
        <is>
          <t>Tested Positive - Family</t>
        </is>
      </c>
    </row>
    <row r="1352">
      <c r="A1352" t="inlineStr">
        <is>
          <t>gpmlg0</t>
        </is>
      </c>
      <c r="B1352" t="inlineStr">
        <is>
          <t>Find a tough friend to cry to.</t>
        </is>
      </c>
      <c r="C1352" t="inlineStr">
        <is>
          <t>I made the mistake of crying to my 67 year old mother on day 11. My girlfriend is still absolutely traumatised.
Find that alcoholic friend who makes fart jokes and tell them all the bad shit, or share it here. Try not to traumatise your loved ones.
My experience.</t>
        </is>
      </c>
      <c r="D1352" t="n">
        <v>1</v>
      </c>
      <c r="E1352" t="n">
        <v>6</v>
      </c>
      <c r="F1352">
        <f>HYPERLINK("https://www.reddit.com/r/COVID19positive/comments/gpmlg0/find_a_tough_friend_to_cry_to/")</f>
        <v/>
      </c>
      <c r="G1352" t="inlineStr">
        <is>
          <t>2020-05-24 02:09:16</t>
        </is>
      </c>
      <c r="H1352" t="inlineStr">
        <is>
          <t>Tested Positive - Me</t>
        </is>
      </c>
    </row>
    <row r="1353">
      <c r="A1353" t="inlineStr">
        <is>
          <t>gpmpay</t>
        </is>
      </c>
      <c r="B1353" t="inlineStr">
        <is>
          <t>2 Studies have been launched for lingering symptoms</t>
        </is>
      </c>
      <c r="C1353" t="inlineStr">
        <is>
          <t>M 22
DAY 70
FRANCE
I am not going to tell you what I went through these last 2 months because I think we all get this thing really SUCKS for long-termers.
I juste wanted to tell you that 2 studies have been launched this week in my country.
The first study will try to understand why symptoms linger for some people. I have heard they’ve tried treatments for loss of smell and taste...
And the second one will try to understand why symptoms reappear in some people even weeks after first symptoms.
Apparently at least 5% of infected people are concerned with this long-term form of the disease and mostly women.
Hope things are also moving forward in the US for our cases. We’ve created a new # on Twitter in France and thanks to this, now media are covering our cases and some doctors are starting to pay attention to us. 
I think if we don’t speak for ourselves, nobody will ever care unfortunately.
Stay strong !</t>
        </is>
      </c>
      <c r="D1353" t="n">
        <v>1</v>
      </c>
      <c r="E1353" t="n">
        <v>65</v>
      </c>
      <c r="F1353">
        <f>HYPERLINK("https://www.reddit.com/r/COVID19positive/comments/gpmpay/2_studies_have_been_launched_for_lingering/")</f>
        <v/>
      </c>
      <c r="G1353" t="inlineStr">
        <is>
          <t>2020-05-24 02:19:25</t>
        </is>
      </c>
      <c r="H1353" t="inlineStr">
        <is>
          <t>Presumed Positive - From Doctor</t>
        </is>
      </c>
    </row>
    <row r="1354">
      <c r="A1354" t="inlineStr">
        <is>
          <t>gpn01k</t>
        </is>
      </c>
      <c r="B1354" t="inlineStr">
        <is>
          <t>What causes confusion with corona virus?</t>
        </is>
      </c>
      <c r="C1354" t="inlineStr">
        <is>
          <t>For the last 3 days ive been getting really bad confusion and i want to understand what is causing this and if anyone has had something similar.
Like I frequently forget the day it is even after ive checked my phone like 5 minutes before hand.
I just feel bad disorientation.
Im not sure if its the cough medicine which i take, but im having confusion now and I havent had cough medicine for like 12 hrs</t>
        </is>
      </c>
      <c r="D1354" t="n">
        <v>1</v>
      </c>
      <c r="E1354" t="n">
        <v>2</v>
      </c>
      <c r="F1354">
        <f>HYPERLINK("https://www.reddit.com/r/COVID19positive/comments/gpn01k/what_causes_confusion_with_corona_virus/")</f>
        <v/>
      </c>
      <c r="G1354" t="inlineStr">
        <is>
          <t>2020-05-24 02:46:57</t>
        </is>
      </c>
      <c r="H1354" t="inlineStr">
        <is>
          <t>Presumed Positive - From Doctor</t>
        </is>
      </c>
    </row>
    <row r="1355">
      <c r="A1355" t="inlineStr">
        <is>
          <t>gpp9ee</t>
        </is>
      </c>
      <c r="B1355" t="inlineStr">
        <is>
          <t>Thermometer question</t>
        </is>
      </c>
      <c r="C1355" t="inlineStr">
        <is>
          <t>For those of you experiencing daily elevated temps (99.5-100.0), what type of thermometer are you using? I've been recording these temps daily for over 2 months now using a braun ear thermometer. Sometimes I feel feverish at 99.7 and other days I don't with the same temp. My doctor advised me to get an oral thermometer and the oral one is reading 98.0-98.9. Which one do I believe?
[View Poll](https://www.reddit.com/poll/gpp9ee)</t>
        </is>
      </c>
      <c r="D1355" t="n">
        <v>1</v>
      </c>
      <c r="E1355" t="n">
        <v>15</v>
      </c>
      <c r="F1355">
        <f>HYPERLINK("https://www.reddit.com/r/COVID19positive/comments/gpp9ee/thermometer_question/")</f>
        <v/>
      </c>
      <c r="G1355" t="inlineStr">
        <is>
          <t>2020-05-24 05:56:38</t>
        </is>
      </c>
      <c r="H1355" t="inlineStr">
        <is>
          <t>Presumed Positive - From Doctor</t>
        </is>
      </c>
    </row>
    <row r="1356">
      <c r="A1356" t="inlineStr">
        <is>
          <t>gpqcri</t>
        </is>
      </c>
      <c r="B1356" t="inlineStr">
        <is>
          <t>Sudden development of allergies</t>
        </is>
      </c>
      <c r="C1356" t="inlineStr">
        <is>
          <t>Pink has talked about getting COVID along with her son. I saw a blurb recently online where she talked about her son developing sudden food allergies. I thought that was interesting as my daughter had suspected COVID and she has suddenly developed a severe allergy to our dog. She never had a problem before, now she has an asthma attack when they’re in the same room.
I’m wondering if this has happened to anyone else.</t>
        </is>
      </c>
      <c r="D1356" t="n">
        <v>1</v>
      </c>
      <c r="E1356" t="n">
        <v>8</v>
      </c>
      <c r="F1356">
        <f>HYPERLINK("https://www.reddit.com/r/COVID19positive/comments/gpqcri/sudden_development_of_allergies/")</f>
        <v/>
      </c>
      <c r="G1356" t="inlineStr">
        <is>
          <t>2020-05-24 07:16:07</t>
        </is>
      </c>
      <c r="H1356" t="inlineStr">
        <is>
          <t>Presumed Positive - From Doctor</t>
        </is>
      </c>
    </row>
    <row r="1357">
      <c r="A1357" t="inlineStr">
        <is>
          <t>gpqesb</t>
        </is>
      </c>
      <c r="B1357" t="inlineStr">
        <is>
          <t>Can I hurt myself by singing while recovering?</t>
        </is>
      </c>
      <c r="C1357" t="inlineStr">
        <is>
          <t xml:space="preserve">
I apologize if this type of post is not allowed here.  Also, I’m not sure if anyone here is a singer, but if anyone can offer advice or thoughts from a covid perspective that would be awesome. 
Long story short, I had covid and am now testing negative for it, but I still don’t have my full lung capacity back and I have on-and-off chest pain and very mild shortness of breath. I also still get winded from stairs or standing for too long.
The problem is, I have a video audition that I have to film by may 31st. I know the songs a bit but they’re not polished yet. They’re both classical an about 2 minutes long each.
I know I’m capable of singing right now, but that my voice just might not be as full as usual. What I’m worried about is somehow permanently damaging my voice by pushing myself too hard right now. Does anyone have knowledge about this and whether or not it’s possible? This audition is really important to me and I don’t want to miss it, but I’m relatively new to singing (2 years) and I don’t know a ton about singing when sick or recovering.
Thank you for reading this and I appreciate any advice or thoughts you can offer!</t>
        </is>
      </c>
      <c r="D1357" t="n">
        <v>1</v>
      </c>
      <c r="E1357" t="n">
        <v>6</v>
      </c>
      <c r="F1357">
        <f>HYPERLINK("https://www.reddit.com/r/COVID19positive/comments/gpqesb/can_i_hurt_myself_by_singing_while_recovering/")</f>
        <v/>
      </c>
      <c r="G1357" t="inlineStr">
        <is>
          <t>2020-05-24 07:20:04</t>
        </is>
      </c>
      <c r="H1357" t="inlineStr">
        <is>
          <t>Tested Positive</t>
        </is>
      </c>
    </row>
    <row r="1358">
      <c r="A1358" t="inlineStr">
        <is>
          <t>gpqpvi</t>
        </is>
      </c>
      <c r="B1358" t="inlineStr">
        <is>
          <t>What where the first symptoms you experienced when you thought you could have covid?</t>
        </is>
      </c>
      <c r="C1358" t="inlineStr">
        <is>
          <t>My friend has been throwing up for a week and dehydrated.  I'm scared I might have the virus.</t>
        </is>
      </c>
      <c r="D1358" t="n">
        <v>1</v>
      </c>
      <c r="E1358" t="n">
        <v>13</v>
      </c>
      <c r="F1358">
        <f>HYPERLINK("https://www.reddit.com/r/COVID19positive/comments/gpqpvi/what_where_the_first_symptoms_you_experienced/")</f>
        <v/>
      </c>
      <c r="G1358" t="inlineStr">
        <is>
          <t>2020-05-24 07:39:29</t>
        </is>
      </c>
      <c r="H1358" t="inlineStr">
        <is>
          <t>Tested Positive - Friends</t>
        </is>
      </c>
    </row>
    <row r="1359">
      <c r="A1359" t="inlineStr">
        <is>
          <t>gpqtbx</t>
        </is>
      </c>
      <c r="B1359" t="inlineStr">
        <is>
          <t>Feel like head is not connected? Extreme Symptoms</t>
        </is>
      </c>
      <c r="C1359" t="inlineStr">
        <is>
          <t>Ive been tested positive then tested negative a few weeks later, but I feel way worse than I did when I had covid 19. It feels like my head and eyes arent connected to my body, I cant feel anything above my upper teeth. I breathe through my nose and everything feels hollow.  It's a strange feeling, its like im not in my body as if everything is numb. Has anyone else experienced this? Im also dealing with a stuffed nose, blocked ears, tooth pain, nausea, brain fog, insomnia, extreme fatigue. 
Ive been eating healthy and taking vitamins ( C &amp;amp; D3 ) but I feel worse everyday. Today I felt like I was in a dream state and got scared and went back into bed
I had a panic attack a few days ago, more and more everyday I feel like im going crazy.  I keep researching online my symptoms because I had a negative second result and I feel like im gonna die from something. It feels neverending.</t>
        </is>
      </c>
      <c r="D1359" t="n">
        <v>1</v>
      </c>
      <c r="E1359" t="n">
        <v>36</v>
      </c>
      <c r="F1359">
        <f>HYPERLINK("https://www.reddit.com/r/COVID19positive/comments/gpqtbx/feel_like_head_is_not_connected_extreme_symptoms/")</f>
        <v/>
      </c>
      <c r="G1359" t="inlineStr">
        <is>
          <t>2020-05-24 07:45:18</t>
        </is>
      </c>
      <c r="H1359" t="inlineStr">
        <is>
          <t>Tested Positive</t>
        </is>
      </c>
    </row>
    <row r="1360">
      <c r="A1360" t="inlineStr">
        <is>
          <t>gpt6v3</t>
        </is>
      </c>
      <c r="B1360" t="inlineStr">
        <is>
          <t>PSA - if tests are not limited in your area, get tested</t>
        </is>
      </c>
      <c r="C1360" t="inlineStr">
        <is>
          <t>They say you have to have symptoms or know you were exposed to get tested. The thing is, the Majority of people who have it are asymptomatic, but because of these testing guidelines it seems like symptoms are common and you’d know if you had it. Well, my aunt just had a semi sore throat and was tested, and was positive. Besides 2 days of sore throat she had no other symptoms and was living her best life. Family tested positive, we told our jobs and since jobs had been exposed they all got tested and everyone is positive. There’s about 15 people in this cluster (so far, who knows what they and their families have been doing) that tested positive and are asymptomatic. And this is just the people we know, not including their families. None of us would have known otherwise and my aunt doesn’t work so people at our works got it from us who are certainly asymptomatic (me, uncle, cousin). Considering they say asymptomatic people are less likely to be contagious is ridiculous. When we didn’t know we had it we were unknowingly spreading it to our family and coworkers even though at work we wear masks and practice social distancing. This thing is crazy and most people don’t get symptoms especially people under 65. Because of that and the requirement to have symptoms to get tested, who knows how bad it’s spread among normal population. One lady is 58 year old cancer survivor and she tested positive but is asymptomatic. There is also a 76 year old grandmother. Hence, if your area has an over abundance of tests like no chance of running out, I suggest getting tested and saying you were exposed by a coworker you are in close contact with (make up a name, they don’t check). So less people who have it will be out there spreading it around unknowingly. Especially if you live somewhere with lifted restrictions.
TLDR: Bad advice I’ll probably get attacked for. But try and get tested. Our family has 4 positive and the 3 asymptomatic ones apparently unknowingly spread it to their coworkers who are also positive and asymptomatic. None of us would have known we had it or had spread it if we hadn’t happened to get tested.</t>
        </is>
      </c>
      <c r="D1360" t="n">
        <v>1</v>
      </c>
      <c r="E1360" t="n">
        <v>39</v>
      </c>
      <c r="F1360">
        <f>HYPERLINK("https://www.reddit.com/r/COVID19positive/comments/gpt6v3/psa_if_tests_are_not_limited_in_your_area_get/")</f>
        <v/>
      </c>
      <c r="G1360" t="inlineStr">
        <is>
          <t>2020-05-24 10:02:58</t>
        </is>
      </c>
      <c r="H1360" t="inlineStr">
        <is>
          <t>Tested Positive - Me</t>
        </is>
      </c>
    </row>
    <row r="1361">
      <c r="A1361" t="inlineStr">
        <is>
          <t>gptogc</t>
        </is>
      </c>
      <c r="B1361" t="inlineStr">
        <is>
          <t>Relapse but no reactivation/reinfection</t>
        </is>
      </c>
      <c r="C1361" t="inlineStr">
        <is>
          <t>Hey there,  
I've read many stories about people relapsing and wondering wether they are still contagious or if it is something like post viral inflammation etc. I was wondering about the same thing.  
This is my timeline:  
\- symptoms started March 15 and lasted until March 27 (fever, headaches, dizziness, loss of smell, muscle pain, limb pain)  
\- started again at March 30 and lasted until April 11 (swollen lymph nodes, sore throat, subfebrile, heartburn - felt a lot like mono, but also like GERD, weird sleeping patterns and night sweats, increased pulse, usually around 50, now 80)  
\- another round of symptoms from May 11 ongoing (again swollen lymph nodes, sore throat, subfebrile, heartburn with a weird feeling of pressure in my chest so I have to cough only one time and the feeling is gone, weird sleeping patterns and night sweats, increased pulse, usually around 50, now 80)
After April 11 I felt really good for a long time so I started working out again. That was a mistake. It took some time for the smyptoms to come back, but inbetween I'd say April 27 and May 11 I had this weird fatigue where I would have to sleep at 4pm because I was so tired. And then after that the symptoms came back even worse. When I lay in bed my temperature is around 36.8 C, but if I get up it sometimes climbs to 37.6 C. So when I move the temperature goes up. It's not very high but for a person who used to be around 36.4 C before Covid-19 it is a change.  
Anyway. In the last five days I had to go to the ER twice because of the pain in my chest and the weird cough. They did some blood work and I got a CT for my thorax. Lungs and heart are fine (they also looked at parameters fo that in my blood), I have low potassium and phosphate (I guess my Vitamin D levels are low). The pain in the chest could be GERD (which I never had problems before with), my liver is enlarged which - with the pain in the lymph nodes - could indicate mono. They didn't test me for mono though, so I don't really know. But I believe a lot of people are having these issues with GERD, mono etc. after relapsing. It's really interesting. They swabbed my nose and throat and tested me for Influenza A and B, RSV and Covid-19, which all came back negative. I'm glad it's not a reactivation/reinfection. I guess it's really post viral inflammation. It sucks. But I'm feeling better just knowing that I am not contagious anymore.  
Of course there are also people out there still testing positive after a long time, I guess we really don't know that much about the virus right now. But I think that most of the time it's post viral stuff going on. I think even in the "mild" cases this virus does a lot to one's body. I usually never get sick, I was sick with Influenza only once in my puberty, never got it again even without being vaccinated, never get colds (I work with children and I never get sick when they're ill) never have a temperature, am healthy and athletic etc. bla bla. It doesn't really matter. My immune system used to be so good. And right now it feels like it's not there at all. The last weeks I had some weird ulcers on my tounge, had a hordeolum in my eye. It's crazy.
I think a lot of people have the same experience, right? I think this virus can really trigger post inflammation even in people who where healthy before. I think even for "milder" cases there are long-term effects and everyone who thinks they might not even catch it, or they'll might be symptomatic or only have a slight cough or sore throat etc. is just being cocky, arrogant and naive. I'm sorry, but it makes me really angry having to argue with people saying this is "just like the flu" (which is also dangerous, but there's at least vaccine and medication for it). I do understand the concept behind going through an illness to develop antibodies to not needing to be vaccinated. But seriously, if I had to choose between Coiv-19 and vaccine against it I would choose the latter. And I'm usually not too keen about vaccination in general.</t>
        </is>
      </c>
      <c r="D1361" t="n">
        <v>1</v>
      </c>
      <c r="E1361" t="n">
        <v>2</v>
      </c>
      <c r="F1361">
        <f>HYPERLINK("https://www.reddit.com/r/COVID19positive/comments/gptogc/relapse_but_no_reactivationreinfection/")</f>
        <v/>
      </c>
      <c r="G1361" t="inlineStr">
        <is>
          <t>2020-05-24 10:31:06</t>
        </is>
      </c>
      <c r="H1361" t="inlineStr">
        <is>
          <t>Tested Positive - Me</t>
        </is>
      </c>
    </row>
    <row r="1362">
      <c r="A1362" t="inlineStr">
        <is>
          <t>gpttqd</t>
        </is>
      </c>
      <c r="B1362" t="inlineStr">
        <is>
          <t>Increased heat aggravating recovery symptoms</t>
        </is>
      </c>
      <c r="C1362" t="inlineStr">
        <is>
          <t>Hello, I’ve had this since February 27th and am on the road to recovery but noticed with the hot weather my SOB has backslid a little. Anyone notice the summertime air making things a little more difficult during recovery?</t>
        </is>
      </c>
      <c r="D1362" t="n">
        <v>1</v>
      </c>
      <c r="E1362" t="n">
        <v>7</v>
      </c>
      <c r="F1362">
        <f>HYPERLINK("https://www.reddit.com/r/COVID19positive/comments/gpttqd/increased_heat_aggravating_recovery_symptoms/")</f>
        <v/>
      </c>
      <c r="G1362" t="inlineStr">
        <is>
          <t>2020-05-24 10:39:34</t>
        </is>
      </c>
      <c r="H1362" t="inlineStr">
        <is>
          <t>Presumed Positive - From Doctor</t>
        </is>
      </c>
    </row>
    <row r="1363">
      <c r="A1363" t="inlineStr">
        <is>
          <t>gpv4hc</t>
        </is>
      </c>
      <c r="B1363" t="inlineStr">
        <is>
          <t>COVID retest is positive, now what?</t>
        </is>
      </c>
      <c r="C1363" t="inlineStr">
        <is>
          <t>I got retested a full week after symptoms stopped and I'm still positive. What happens now?</t>
        </is>
      </c>
      <c r="D1363" t="n">
        <v>1</v>
      </c>
      <c r="E1363" t="n">
        <v>5</v>
      </c>
      <c r="F1363">
        <f>HYPERLINK("https://www.reddit.com/r/COVID19positive/comments/gpv4hc/covid_retest_is_positive_now_what/")</f>
        <v/>
      </c>
      <c r="G1363" t="inlineStr">
        <is>
          <t>2020-05-24 11:54:40</t>
        </is>
      </c>
      <c r="H1363" t="inlineStr">
        <is>
          <t>Tested Positive - Me</t>
        </is>
      </c>
    </row>
    <row r="1364">
      <c r="A1364" t="inlineStr">
        <is>
          <t>gpvpdo</t>
        </is>
      </c>
      <c r="B1364" t="inlineStr">
        <is>
          <t>Just ran three miles</t>
        </is>
      </c>
      <c r="C1364" t="inlineStr">
        <is>
          <t>Just ran three miles. Should I expect a relapse? What exactly happens during a relapse?</t>
        </is>
      </c>
      <c r="D1364" t="n">
        <v>1</v>
      </c>
      <c r="E1364" t="n">
        <v>2</v>
      </c>
      <c r="F1364">
        <f>HYPERLINK("https://www.reddit.com/r/COVID19positive/comments/gpvpdo/just_ran_three_miles/")</f>
        <v/>
      </c>
      <c r="G1364" t="inlineStr">
        <is>
          <t>2020-05-24 12:27:54</t>
        </is>
      </c>
      <c r="H1364" t="inlineStr">
        <is>
          <t>Tested Positive - Me</t>
        </is>
      </c>
    </row>
    <row r="1365">
      <c r="A1365" t="inlineStr">
        <is>
          <t>gpxcyc</t>
        </is>
      </c>
      <c r="B1365" t="inlineStr">
        <is>
          <t>Positive for Antibodies, Am I still contagious? Can I visit my parents?</t>
        </is>
      </c>
      <c r="C1365" t="inlineStr">
        <is>
          <t>I tested positive for antibodies on May 10th at CityMD in NY. My suspected symptoms began around April 19th when I lost my sense of smell, had a fever for 24 hours, and developed an annoying cough. 
It has been 5 weeks since onset of symptoms. I have not had a fever or any of the other Covid symptoms since then, my sense of smell is slowly coming back although I still can't smell poop. I still have that annoying lingering cough that slowly fades away but is still present today. 
I want to go to my grandfather's funeral that is scheduled for June and finally see my parents but I am afraid that I am still contagious in some way. Just because I tested positive for antibodies does not mean I am not contagious. Even though my Covid was very mild, does not mean I am not contagious. 
I'm so sad. I miss my parents so much. And I want to pay my respects to my grandfather who passed in a nursing home. But my inner voice says don't go....</t>
        </is>
      </c>
      <c r="D1365" t="n">
        <v>1</v>
      </c>
      <c r="E1365" t="n">
        <v>15</v>
      </c>
      <c r="F1365">
        <f>HYPERLINK("https://www.reddit.com/r/COVID19positive/comments/gpxcyc/positive_for_antibodies_am_i_still_contagious_can/")</f>
        <v/>
      </c>
      <c r="G1365" t="inlineStr">
        <is>
          <t>2020-05-24 14:03:08</t>
        </is>
      </c>
      <c r="H1365" t="inlineStr">
        <is>
          <t>Tested Positive - Me</t>
        </is>
      </c>
    </row>
    <row r="1366">
      <c r="A1366" t="inlineStr">
        <is>
          <t>gpyvac</t>
        </is>
      </c>
      <c r="B1366" t="inlineStr">
        <is>
          <t>Day 13. All is well in the world. We don’t all suffer long term.</t>
        </is>
      </c>
      <c r="C1366" t="inlineStr">
        <is>
          <t>On day 10 i felt better and tested negative! The past 3 days have been heaven! Went out of state for the long weekend. I’ve been hiking and swimming with my kids. 
I know I’ll get told “just wait! You’ll be sick again” but that doesn’t always happen. I have coworkers who have been good to go for 2 weeks now. I show absolutely no signs of relapse. 
I’ve done quite a few physically exhausting things in the past few days and i feel GREAT! I’m not saying a lot of you don’t suffer long term. I know that and I’m so sorry. But everyone is different. This doesn’t need to be a fear mongering group.</t>
        </is>
      </c>
      <c r="D1366" t="n">
        <v>1</v>
      </c>
      <c r="E1366" t="n">
        <v>123</v>
      </c>
      <c r="F1366">
        <f>HYPERLINK("https://www.reddit.com/r/COVID19positive/comments/gpyvac/day_13_all_is_well_in_the_world_we_dont_all/")</f>
        <v/>
      </c>
      <c r="G1366" t="inlineStr">
        <is>
          <t>2020-05-24 15:31:05</t>
        </is>
      </c>
      <c r="H1366" t="inlineStr">
        <is>
          <t>Tested Positive - Me</t>
        </is>
      </c>
    </row>
    <row r="1367">
      <c r="A1367" t="inlineStr">
        <is>
          <t>gq04rc</t>
        </is>
      </c>
      <c r="B1367" t="inlineStr">
        <is>
          <t>Trouble sleeping?</t>
        </is>
      </c>
      <c r="C1367" t="inlineStr">
        <is>
          <t>It's the worst feeling ever. I can't sleep even though i'm so fucking tired and sleepy.
As soon as i go to sleep, i wake up gasping for air, and wake up coughing or some shit, essentially just wake up restless countless times just as i finally fall asleep.
It feels like im sinking in to my bed and slowly losing control of my body.
LIKE I WANT TO FUCKING SLEEP, IM SO TIRED.</t>
        </is>
      </c>
      <c r="D1367" t="n">
        <v>1</v>
      </c>
      <c r="E1367" t="n">
        <v>14</v>
      </c>
      <c r="F1367">
        <f>HYPERLINK("https://www.reddit.com/r/COVID19positive/comments/gq04rc/trouble_sleeping/")</f>
        <v/>
      </c>
      <c r="G1367" t="inlineStr">
        <is>
          <t>2020-05-24 16:46:00</t>
        </is>
      </c>
      <c r="H1367" t="inlineStr">
        <is>
          <t>Presumed Positive - From Doctor</t>
        </is>
      </c>
    </row>
    <row r="1368">
      <c r="A1368" t="inlineStr">
        <is>
          <t>gq0es1</t>
        </is>
      </c>
      <c r="B1368" t="inlineStr">
        <is>
          <t>Symptom Timeline - 29F Healthy</t>
        </is>
      </c>
      <c r="C1368" t="inlineStr">
        <is>
          <t>NOTE: I have not been tested but have chosen to presume positive and self-isolate instead.
I am a 29F, healthy, former athlete with no autoimmune issues other than having recently frozen my eggs and am coming off of a ton of hormones.
Figured someone could use a timeline of symptoms because I always find them helpful to read.
**Day 1** (May 14th) :
* Sore throat
\* Thought this was allergies so didn't even think twice that I might have been sick.
**Day 2:**
* Sore throat
\*Went to social distance visit and thought to myself, maybe I shouldn't be going anywhere?
**Day 3:**
* Sore throat
* Burning in chest
\*Thought the burning was due to some vigorous walking I had done but it didn't go away later on in the day
**Day 4:**
* Chest pressure
* Acid reflux + belching
* Dizziness (almost passed out in my kitchen)
* Cheeks felt hot
* LOTS of anxiety
**Day 5:**
* Chest burning (sternum)
* More acid reflux
* Hot in the face
**Day 6:** 
* Chest/lung tickle
* Low-grade fever by afternoon (99.1 and I'm normally 97.1)
* Massive headache (likely due to cutting out coffee)
**Day 7:**
* Chest/lung tickle
* Acid reflux
**Day 8:**
* Less chest weirdness
* Little bit of congestion in throat
* Low-grade afternoon fever
* Heat/red in cheeks
**Day 9:**
* Barely any chest pressure
* More congestion in throat - no phlegm but still post-nasal drip?
* Low-grade afternoon fever
**Day 10:**
* Heart rate is high - 88-98 BPM at resting
* Congestion still remains bottom of throat/top of chest
* Low-grade afternoon fever
* Insane cabin fever
**Day 11** (Today, May 24th)**:**
* Sore throat more pronounced
* Heart rate has normalized
* Low-grade afternoon fever
* Feel like my skin is on fire at chest and cheeks
Looking back, I may have had some issues earlier on but I can't be sure. I definitely had some peculiar GI troubles, chills, and tingling in my extremities.
There are a few things that have helped me through:
* Forcing myself to sleep on my chest and side
* Lots and lots of tea
* Intentional breathing exercises
* Laying off the bed head first to angle the phlegm back out of my mouth and coughing (read somewhere awhile ago they did this at nursing homes with some success)
Biggest thing is that I don't know what to expect next and it's driving me a little crazy. I feel this is all very mild so far and I keep thinking some shoe is going to drop. I've been self-isolating now for 10 days in my bedroom and there's not much to do other than stew on your thoughts forever.
Anywho, I'll keep updating along the way since I'm in this for the foreseeable future.</t>
        </is>
      </c>
      <c r="D1368" t="n">
        <v>1</v>
      </c>
      <c r="E1368" t="n">
        <v>11</v>
      </c>
      <c r="F1368">
        <f>HYPERLINK("https://www.reddit.com/r/COVID19positive/comments/gq0es1/symptom_timeline_29f_healthy/")</f>
        <v/>
      </c>
      <c r="G1368" t="inlineStr">
        <is>
          <t>2020-05-24 17:03:30</t>
        </is>
      </c>
      <c r="H1368" t="inlineStr">
        <is>
          <t>Presumed Positive - From Doctor</t>
        </is>
      </c>
    </row>
    <row r="1369">
      <c r="A1369" t="inlineStr">
        <is>
          <t>gq15be</t>
        </is>
      </c>
      <c r="B1369" t="inlineStr">
        <is>
          <t>Gastro Covid</t>
        </is>
      </c>
      <c r="C1369" t="inlineStr">
        <is>
          <t>I had a light sniffle amd cough (barely anything to mention) a couple weeks ago. Went away and I assumed allergies. Then it came back, again light and I assumed allergies till last friday night. I got diarrhea. The next day my appetite was gone. I ended up puking because of not getting food in me. Diarrhea lasted until tuesday, it never got bad I started a brat diet right away. Drank watered down Gatorade and water and broth nibbled on what food I could. I was eating about 300 cals a day until wednesday when I was able to "eat" 500, the next day 600. Today I feel mostly hungry and have eaten over 1k, feels good. No fever ever. Felt dizzy, lightheaded, nausea once in awhile due to trying to eat. Anorexia sucks... got a sore throat wednesday, on one side. 
I got triage nurses saying it sounds like I have it. I'm feeling better though. So has anyone had an experience as mild? Or an experience like mine at all? I'm really worried I'm in the eye of the storm and will rapidly develop pneumonia... my anxiety has been going nutso.
I have been getting vitamin d in my backyard and taking vitamins. Taking care of my symptoms...</t>
        </is>
      </c>
      <c r="D1369" t="n">
        <v>1</v>
      </c>
      <c r="E1369" t="n">
        <v>14</v>
      </c>
      <c r="F1369">
        <f>HYPERLINK("https://www.reddit.com/r/COVID19positive/comments/gq15be/gastro_covid/")</f>
        <v/>
      </c>
      <c r="G1369" t="inlineStr">
        <is>
          <t>2020-05-24 17:49:36</t>
        </is>
      </c>
      <c r="H1369" t="inlineStr">
        <is>
          <t>Presumed Positive - From Doctor</t>
        </is>
      </c>
    </row>
    <row r="1370">
      <c r="A1370" t="inlineStr">
        <is>
          <t>gq3xtx</t>
        </is>
      </c>
      <c r="B1370" t="inlineStr">
        <is>
          <t>Distancing and children.</t>
        </is>
      </c>
      <c r="C1370" t="inlineStr">
        <is>
          <t>I'm not sure if this has been covered at all but I'm genuinely curious how people here are caring for infants and children while sick with c19?
I have 3 children and no one to help me watch them. My husband is a first responder and C19+. He was given a week to recover and return to work in isolation. I haven't been tested but I also exhibit symptoms: loss of smell entirely, cough, heavy chest. A doctor friend informed me that with my symptoms and my husband's diagnosis I am infected. It's been a couple weeks, I'm feeling better but still mildly symptomatic. When this all startedmy children were uncomfortable for 3 to 4 days, swollen lymph, restless sleep, runny nose, slight cough and sore throat. I'm not sure if they got c19 like we did, but I would presume that they did. The baby was restless but asymptomatic? 
My question is what are other parents who are self isolating at home with c19 doing? What are you doing to keep the kids safe and make sure they don't get c19? I feel stuck and I'm worried about my 1 year old who is all over me all of the time.
Thanks.</t>
        </is>
      </c>
      <c r="D1370" t="n">
        <v>1</v>
      </c>
      <c r="E1370" t="n">
        <v>10</v>
      </c>
      <c r="F1370">
        <f>HYPERLINK("https://www.reddit.com/r/COVID19positive/comments/gq3xtx/distancing_and_children/")</f>
        <v/>
      </c>
      <c r="G1370" t="inlineStr">
        <is>
          <t>2020-05-24 20:56:32</t>
        </is>
      </c>
      <c r="H1370" t="inlineStr">
        <is>
          <t>Presumed Positive - From Doctor</t>
        </is>
      </c>
    </row>
    <row r="1371">
      <c r="A1371" t="inlineStr">
        <is>
          <t>gq70vy</t>
        </is>
      </c>
      <c r="B1371" t="inlineStr">
        <is>
          <t>Can i have coffee with CoronaVirus?</t>
        </is>
      </c>
      <c r="C1371" t="inlineStr">
        <is>
          <t xml:space="preserve">
Just asking as im not sure what makes it worse and what makes it better from a drug standpoint.
I know ibuprofen and dxm make it worse and possibly dph as its a immune suppressant I believe but not sure about coffee.
Also is dph a immune suppressant because i know its used for allergies so probably suppresses the immune system if im gonna think about it logically.
15/16 days into coronavirus and i feel like im starting to recover abit but not sure because i keep on having bad and good days , as i feel like im slowly recovering i dont wanna jeopardise it by taking coffee or something which would make it worse</t>
        </is>
      </c>
      <c r="D1371" t="n">
        <v>1</v>
      </c>
      <c r="E1371" t="n">
        <v>13</v>
      </c>
      <c r="F1371">
        <f>HYPERLINK("https://www.reddit.com/r/COVID19positive/comments/gq70vy/can_i_have_coffee_with_coronavirus/")</f>
        <v/>
      </c>
      <c r="G1371" t="inlineStr">
        <is>
          <t>2020-05-25 01:06:15</t>
        </is>
      </c>
      <c r="H1371" t="inlineStr">
        <is>
          <t>Presumed Positive - From Doctor</t>
        </is>
      </c>
    </row>
    <row r="1372">
      <c r="A1372" t="inlineStr">
        <is>
          <t>gq73cp</t>
        </is>
      </c>
      <c r="B1372" t="inlineStr">
        <is>
          <t>Just tested positive to Corona Virus.</t>
        </is>
      </c>
      <c r="C1372" t="inlineStr">
        <is>
          <t>Just tested positive to covid and I am not in the right mental state to quarantine. I’ve been on an amphetamine binge for at least 4 days now and I don’t think I can stop the meth for others safety. About to hop on the city bus to grab my fix what’s the best way to stop spread of virus for positive people</t>
        </is>
      </c>
      <c r="D1372" t="n">
        <v>1</v>
      </c>
      <c r="E1372" t="n">
        <v>13</v>
      </c>
      <c r="F1372">
        <f>HYPERLINK("https://www.reddit.com/r/COVID19positive/comments/gq73cp/just_tested_positive_to_corona_virus/")</f>
        <v/>
      </c>
      <c r="G1372" t="inlineStr">
        <is>
          <t>2020-05-25 01:11:38</t>
        </is>
      </c>
      <c r="H1372" t="inlineStr">
        <is>
          <t>Tested Positive</t>
        </is>
      </c>
    </row>
    <row r="1373">
      <c r="A1373" t="inlineStr">
        <is>
          <t>gq8pxm</t>
        </is>
      </c>
      <c r="B1373" t="inlineStr">
        <is>
          <t>Vision Issue</t>
        </is>
      </c>
      <c r="C1373" t="inlineStr">
        <is>
          <t>Week 12, since week 6/7 I have developed a vision issue like everything has gone a bit dim(no blurred vision)? It is more noticeable at night as it is harder to see due to lower light. Has anyone experienced the same? would it improve over time or it will be the permanent damage? thanks</t>
        </is>
      </c>
      <c r="D1373" t="n">
        <v>1</v>
      </c>
      <c r="E1373" t="n">
        <v>18</v>
      </c>
      <c r="F1373">
        <f>HYPERLINK("https://www.reddit.com/r/COVID19positive/comments/gq8pxm/vision_issue/")</f>
        <v/>
      </c>
      <c r="G1373" t="inlineStr">
        <is>
          <t>2020-05-25 03:31:21</t>
        </is>
      </c>
      <c r="H1373" t="inlineStr">
        <is>
          <t>Presumed Positive - From Doctor</t>
        </is>
      </c>
    </row>
    <row r="1374">
      <c r="A1374" t="inlineStr">
        <is>
          <t>gq92zd</t>
        </is>
      </c>
      <c r="B1374" t="inlineStr">
        <is>
          <t>Yet another diagnosed positive with negative antibodies</t>
        </is>
      </c>
      <c r="C1374" t="inlineStr">
        <is>
          <t>A little back story. I tested positive for COVID back in March. Symptoms lasted forever, my last major flair up or wave ended near the end of April. Went to the lab at my local clinic on Thursday morning to have the Abbott blood test (igg). Results today came back negative.
Not sure what to think at this point. Doctor recommended retesting in two weeks.</t>
        </is>
      </c>
      <c r="D1374" t="n">
        <v>1</v>
      </c>
      <c r="E1374" t="n">
        <v>64</v>
      </c>
      <c r="F1374">
        <f>HYPERLINK("https://www.reddit.com/r/COVID19positive/comments/gq92zd/yet_another_diagnosed_positive_with_negative/")</f>
        <v/>
      </c>
      <c r="G1374" t="inlineStr">
        <is>
          <t>2020-05-25 04:03:06</t>
        </is>
      </c>
      <c r="H1374" t="inlineStr">
        <is>
          <t>Tested Positive - Me</t>
        </is>
      </c>
    </row>
    <row r="1375">
      <c r="A1375" t="inlineStr">
        <is>
          <t>gqc3sg</t>
        </is>
      </c>
      <c r="B1375" t="inlineStr">
        <is>
          <t>My mom recently got diagnosed positive and I want to know what she can eat?</t>
        </is>
      </c>
      <c r="C1375" t="inlineStr">
        <is>
          <t>So this past week my mom got diagnosed positive with COVID-19. I'm trying to figure out what foods I should he giving her. She said spices upset her stomach now and she just wants plain food. I was wondering if anyone knows good plain foods I can buy or make for her?</t>
        </is>
      </c>
      <c r="D1375" t="n">
        <v>1</v>
      </c>
      <c r="E1375" t="n">
        <v>9</v>
      </c>
      <c r="F1375">
        <f>HYPERLINK("https://www.reddit.com/r/COVID19positive/comments/gqc3sg/my_mom_recently_got_diagnosed_positive_and_i_want/")</f>
        <v/>
      </c>
      <c r="G1375" t="inlineStr">
        <is>
          <t>2020-05-25 07:41:53</t>
        </is>
      </c>
      <c r="H1375" t="inlineStr">
        <is>
          <t>Tested Positive - Family</t>
        </is>
      </c>
    </row>
    <row r="1376">
      <c r="A1376" t="inlineStr">
        <is>
          <t>gqcpol</t>
        </is>
      </c>
      <c r="B1376" t="inlineStr">
        <is>
          <t>Loss of smell for a second time after getting better?</t>
        </is>
      </c>
      <c r="C1376" t="inlineStr">
        <is>
          <t>I tested positive May 8, but I was sick for a week prior. It began with awful aches, but then mild cold like symptoms. Then over the next few days I lost my sense of smell and got REALLY sick. I ended up in the ER where I tested postive. Over the next week I was very sick, the sickest I've been in my life. I think it took a week to start feeling improvement and it came daily after that full week of being bed ridden. My sense of smell returned.
I'm freaking out a little right now as I realized last night and this morning my sense of smell is gone again. This happened right before my body absolutely crashed. Has anyone had it happen like this? My concern is the first wave was bad, the second worse. I worry the third would be worse than those and my blood pressure was 154/118 last time. I dont know if I can handle worse. I am 37, no comorbid conditions. Mom of 3. Help me relax or prepare. The ER did nothing other than blood work and Covid testing and once my chest xray was clear the doctor made me leave and said they would call if they needed too when blood work came back. He wouldnt even enter the room. He just yelled from the hallway. The doctor call I did after was ridiculous. She only wanted to talk about my ADHD and just said the Covid would run its course and refused an antibiotic for the sinus infection I had because I am allergic to penicillin. She said she didnt want me to develop a resistance. Even though I have taken maybe 3 antinitoics in my adult life. My neighbor is a doctor and he is very old and he gave me the BEST advice. (He also offered to call in a Zpack haha) He had me quit my allergy medicine, steam my nasal passages multiple times a day, and then had me doing exercises that open the lungs. I did that and began to feel better. 
It's just losing my sense of smell for a second time has me worried but hopefully others have had this and can help me relax. And to be clear, my nasal passages are clear. This isn't from a stuffy nose. I cant smell tuna or coffee or food cooking. Nada.</t>
        </is>
      </c>
      <c r="D1376" t="n">
        <v>1</v>
      </c>
      <c r="E1376" t="n">
        <v>6</v>
      </c>
      <c r="F1376">
        <f>HYPERLINK("https://www.reddit.com/r/COVID19positive/comments/gqcpol/loss_of_smell_for_a_second_time_after_getting/")</f>
        <v/>
      </c>
      <c r="G1376" t="inlineStr">
        <is>
          <t>2020-05-25 08:15:17</t>
        </is>
      </c>
      <c r="H1376" t="inlineStr">
        <is>
          <t>Tested Positive - Me</t>
        </is>
      </c>
    </row>
    <row r="1377">
      <c r="A1377" t="inlineStr">
        <is>
          <t>gqcpr8</t>
        </is>
      </c>
      <c r="B1377" t="inlineStr">
        <is>
          <t>Anybody have LOW body temperature? (not low grade fever). Mine is suddenly in hypothermia range and I'm concerned.</t>
        </is>
      </c>
      <c r="C1377" t="inlineStr">
        <is>
          <t>Hi all.  I tested positive in March.  Last fever March 27th, cough lasted a long time but went away about two weeks ago. Thursday I had an appointment to donate convalescent plasma at the Red Cross but they turned me away because I had a 99.6 temperature.  I was shocked because I felt fine and assumed it was a fluke.  I got home and took my temp and it was 99.9, so I took two Tylenol and went about my day.    
Friday morning I woke up feeling very achy, like I had the flu.  My hands and left leg were so cold it was painful, and I was sweating.  I got up and took my temperature (orally) and it was 94.5 degrees.  I thought that cant possibly be right so I took it again and it was 95.  I borrowed my mother's temporal thermometer thinking mine was broken, but same thing.  So I called my doctor, the infectious disease specialist who treated us for Covid-19.  He said he doesnt think its Covid related because Ive been recovered for so long, and could possibly be a bacterial infection or "other things".  He put me on Cipro, which Ive been taking since Friday afternoon, and ordered a blood workup.  I'm waiting for the requisition in the mail, but its labor day weekend so I probably wont get it until Wednesday.  I should have picked it up but I was so tired I told him to just mail it.  
Since Friday my temperature hasnt gotten above 97, but stays mostly in the 95-96 range.  Today I woke up and it was 94.6.  That is literally hypothermia. I took a hot shower it went up to 97.  Now Im back at 96.  I feel a lot less achy but am tired and have bouts of dizziness.  My oxygen has been perfect, my heart rate a slightly high but nothing crazy.    
I trust my doctor.  He is well known in the Infectious Disease community, and is on the front lines here in NYC.  Yet, I have a nagging feeling he is wrong about this (Or possibly just corona-paranoid at this point).  
Has anybody else had this issue?</t>
        </is>
      </c>
      <c r="D1377" t="n">
        <v>1</v>
      </c>
      <c r="E1377" t="n">
        <v>46</v>
      </c>
      <c r="F1377">
        <f>HYPERLINK("https://www.reddit.com/r/COVID19positive/comments/gqcpr8/anybody_have_low_body_temperature_not_low_grade/")</f>
        <v/>
      </c>
      <c r="G1377" t="inlineStr">
        <is>
          <t>2020-05-25 08:15:23</t>
        </is>
      </c>
      <c r="H1377" t="inlineStr">
        <is>
          <t>Tested Positive - Me</t>
        </is>
      </c>
    </row>
    <row r="1378">
      <c r="A1378" t="inlineStr">
        <is>
          <t>gqdhfq</t>
        </is>
      </c>
      <c r="B1378" t="inlineStr">
        <is>
          <t>Looking for other people/families who have had covid, recovered, and are living in a reopened area or are otherwise returning to normal life</t>
        </is>
      </c>
      <c r="C1378" t="inlineStr">
        <is>
          <t>Sorry for the long title. I feel sort of alone in this and I wish I could talk with someone who can relate.
My husband is a front line healthcare worker and even though diagnosed covid rates where we live are very low, and thankfully hospitalization rates and death rates are extremely low, my husband got sick and was diagnosed with covid early on in the pandemic. He was very sick but thankfully never needed to be hospitalized. He was symptomatic for several days before we knew he was covid+ so our kids and I were all very much exposed, but we never got ill.
My husband has recovered and has been back at work for several weeks. Many things in our area have reopened. Everyone I know here has a different opinion on how to react. I have some friends who continue to self quarantine. Others are pretty much back to living life normally. I don't judge anyone's choice. Do what you need to do for peace of mind.
Anyway after careful consideration, we decided that next week we're going to travel as a family to a hotel with a really nice pool for the weekend, just for a break from it all, and so the kids can enjoy the pool time. The area we are driving to, is not very far from us and also has very low covid rates.
What I am finding is that those of us that are resuming normal life activities, are getting a lot of negative judgement from those who aren't. It makes me feel bad. I don't judge my friends who haven't had covid for their choices, and I feel like, being that we have had it, we're likely (I know not definitely) the safest people to be going out right now.
Anyway I wondered if there were others in a similar situation.</t>
        </is>
      </c>
      <c r="D1378" t="n">
        <v>1</v>
      </c>
      <c r="E1378" t="n">
        <v>7</v>
      </c>
      <c r="F1378">
        <f>HYPERLINK("https://www.reddit.com/r/COVID19positive/comments/gqdhfq/looking_for_other_peoplefamilies_who_have_had/")</f>
        <v/>
      </c>
      <c r="G1378" t="inlineStr">
        <is>
          <t>2020-05-25 08:57:59</t>
        </is>
      </c>
      <c r="H1378" t="inlineStr">
        <is>
          <t>Tested Positive - Family</t>
        </is>
      </c>
    </row>
    <row r="1379">
      <c r="A1379" t="inlineStr">
        <is>
          <t>gqf3jw</t>
        </is>
      </c>
      <c r="B1379" t="inlineStr">
        <is>
          <t>Covid 19 Journey</t>
        </is>
      </c>
      <c r="C1379" t="inlineStr">
        <is>
          <t>Happy Memorial Day first and foremost to our veterans  and those who died for our freedom. 
&amp;amp;#x200B;
I tested positive 4/24/2020. Felt body pains, aches and lost taste of smell and sense for a week. 
Experienced chest pains, headaches, and legs issues for a week. This virus doesn't discriminate; young or old. 
My doctor told me that two weeks is NOT ENOUGH to get over the virus. Usually, it takes 3-4 weeks to completely feel like you are turning a corner. 
&amp;amp;#x200B;
Stay in the fight guys! My sleep pattern was completely shattered for 2 weeks. The last three days, i've gotten amazing rest as the virus is beginning to lose the battle. KEEP FIGHTING!!!!</t>
        </is>
      </c>
      <c r="D1379" t="n">
        <v>1</v>
      </c>
      <c r="E1379" t="n">
        <v>3</v>
      </c>
      <c r="F1379">
        <f>HYPERLINK("https://www.reddit.com/r/COVID19positive/comments/gqf3jw/covid_19_journey/")</f>
        <v/>
      </c>
      <c r="G1379" t="inlineStr">
        <is>
          <t>2020-05-25 10:23:06</t>
        </is>
      </c>
      <c r="H1379" t="inlineStr">
        <is>
          <t>Tested Positive</t>
        </is>
      </c>
    </row>
    <row r="1380">
      <c r="A1380" t="inlineStr">
        <is>
          <t>gqf574</t>
        </is>
      </c>
      <c r="B1380" t="inlineStr">
        <is>
          <t>95 years old grand mother recovered without even showing one tiny symptom</t>
        </is>
      </c>
      <c r="C1380" t="inlineStr">
        <is>
          <t>I wanted to share a bit of positive news for the ones of you worrying for your loved ones. There was an outbreak in our grand mother's nursing home and she was tested positive 3 weeks ago. She is 95 and a bit confused so they decided not to tell her. She is now covid free, never knew she even had it and never had even a runny nose. It can happen and it can be super mild! :)</t>
        </is>
      </c>
      <c r="D1380" t="n">
        <v>1</v>
      </c>
      <c r="E1380" t="n">
        <v>58</v>
      </c>
      <c r="F1380">
        <f>HYPERLINK("https://www.reddit.com/r/COVID19positive/comments/gqf574/95_years_old_grand_mother_recovered_without_even/")</f>
        <v/>
      </c>
      <c r="G1380" t="inlineStr">
        <is>
          <t>2020-05-25 10:25:29</t>
        </is>
      </c>
      <c r="H1380" t="inlineStr">
        <is>
          <t>Tested Positive - Family</t>
        </is>
      </c>
    </row>
    <row r="1381">
      <c r="A1381" t="inlineStr">
        <is>
          <t>gqfiv0</t>
        </is>
      </c>
      <c r="B1381" t="inlineStr">
        <is>
          <t>Cognitive decline, I mix up dates and forget words</t>
        </is>
      </c>
      <c r="C1381" t="inlineStr">
        <is>
          <t>Has someone here noticed cognitive decline? Some of the neurological symptoms I've been having 6 weeks from symptom onset is that I mix up dates and forget certain words. As someone who is an engineer this scares the shit out of me because my cognitive abilities are important for my work</t>
        </is>
      </c>
      <c r="D1381" t="n">
        <v>1</v>
      </c>
      <c r="E1381" t="n">
        <v>27</v>
      </c>
      <c r="F1381">
        <f>HYPERLINK("https://www.reddit.com/r/COVID19positive/comments/gqfiv0/cognitive_decline_i_mix_up_dates_and_forget_words/")</f>
        <v/>
      </c>
      <c r="G1381" t="inlineStr">
        <is>
          <t>2020-05-25 10:46:13</t>
        </is>
      </c>
      <c r="H1381" t="inlineStr">
        <is>
          <t>Presumed Positive - From Doctor</t>
        </is>
      </c>
    </row>
    <row r="1382">
      <c r="A1382" t="inlineStr">
        <is>
          <t>gqfjro</t>
        </is>
      </c>
      <c r="B1382" t="inlineStr">
        <is>
          <t>How long does GI symptoms last?</t>
        </is>
      </c>
      <c r="C1382" t="inlineStr">
        <is>
          <t>I was sick with covid in mid March. I’ve been better for over a month now but I still have upset stomach, stomach aches, and feel a bit nauseated after eating. I never did have diarrhea. 
For those of you who are better, how long did it take for GI symptoms to resolve?</t>
        </is>
      </c>
      <c r="D1382" t="n">
        <v>1</v>
      </c>
      <c r="E1382" t="n">
        <v>28</v>
      </c>
      <c r="F1382">
        <f>HYPERLINK("https://www.reddit.com/r/COVID19positive/comments/gqfjro/how_long_does_gi_symptoms_last/")</f>
        <v/>
      </c>
      <c r="G1382" t="inlineStr">
        <is>
          <t>2020-05-25 10:47:38</t>
        </is>
      </c>
      <c r="H1382" t="inlineStr">
        <is>
          <t>Presumed Positive - From Doctor</t>
        </is>
      </c>
    </row>
    <row r="1383">
      <c r="A1383" t="inlineStr">
        <is>
          <t>gqfvt7</t>
        </is>
      </c>
      <c r="B1383" t="inlineStr">
        <is>
          <t>Thx all</t>
        </is>
      </c>
      <c r="C1383" t="inlineStr">
        <is>
          <t>Thx all for the updates !    Having some of the same symptoms —really helps me understand. where I am.</t>
        </is>
      </c>
      <c r="D1383" t="n">
        <v>1</v>
      </c>
      <c r="E1383" t="n">
        <v>6</v>
      </c>
      <c r="F1383">
        <f>HYPERLINK("https://www.reddit.com/r/COVID19positive/comments/gqfvt7/thx_all/")</f>
        <v/>
      </c>
      <c r="G1383" t="inlineStr">
        <is>
          <t>2020-05-25 11:05:43</t>
        </is>
      </c>
      <c r="H1383" t="inlineStr">
        <is>
          <t>Presumed Positive - From Doctor</t>
        </is>
      </c>
    </row>
    <row r="1384">
      <c r="A1384" t="inlineStr">
        <is>
          <t>gqhtpf</t>
        </is>
      </c>
      <c r="B1384" t="inlineStr">
        <is>
          <t>anybody else who was sick with covid-like illness in late 2019 get a positive antibody test?</t>
        </is>
      </c>
      <c r="C1384" t="inlineStr">
        <is>
          <t>my houseguest and i were sick with covid-like illness in mid-late december 2019. 
i'd been living in chicago, in and out of the italian consulate building (which houses many other consulates as well), i flew through a couple of intl airports, and i was also in and out of the major medical center of the city several times... all of this in the week or two before falling ill.
i had symptoms similar to covid, most notably that i was having drenching night sweats, loss of taste and smell (i remember weeks later saying to family that i still couldn't taste anything), and the illness came in waves (i felt i'd recovered with one set of symptoms for a day and then respiratory symptoms developed and worsened).
well, the houseguest decided to get an antibody test, and it was just confirmed positive. i've now got one scheduled for thursday. they tested positive for the longterm antibodies too (i forget what they're called).
of course it's possible that they were exposed more recently and were asymptomatic or very lightly symptomatic... but i have my doubts.
interested to see what my results are. if i'm positive as well, i don't think it's a coincidence.
&amp;amp;#x200B;
anyone else have a similar experience?</t>
        </is>
      </c>
      <c r="D1384" t="n">
        <v>1</v>
      </c>
      <c r="E1384" t="n">
        <v>3</v>
      </c>
      <c r="F1384">
        <f>HYPERLINK("https://www.reddit.com/r/COVID19positive/comments/gqhtpf/anybody_else_who_was_sick_with_covidlike_illness/")</f>
        <v/>
      </c>
      <c r="G1384" t="inlineStr">
        <is>
          <t>2020-05-25 12:44:46</t>
        </is>
      </c>
      <c r="H1384" t="inlineStr">
        <is>
          <t>Tested Positive - Friends</t>
        </is>
      </c>
    </row>
    <row r="1385">
      <c r="A1385" t="inlineStr">
        <is>
          <t>gqkqpj</t>
        </is>
      </c>
      <c r="B1385" t="inlineStr">
        <is>
          <t>Stepdad tested positive; daughter exposed</t>
        </is>
      </c>
      <c r="C1385" t="inlineStr">
        <is>
          <t>I’m taking my daughter to get tested tomorrow. She’s 8 years old and had minimal contact with my stepdad while she was at my moms this weekend. 
What can I expect as far as after she’s tested? It took them 48 hours to get back with my stepdads test. I’m out of work until I get the results of her test. My son is at his fathers and we agreed for him to stay there until the test results are back.</t>
        </is>
      </c>
      <c r="D1385" t="n">
        <v>1</v>
      </c>
      <c r="E1385" t="n">
        <v>5</v>
      </c>
      <c r="F1385">
        <f>HYPERLINK("https://www.reddit.com/r/COVID19positive/comments/gqkqpj/stepdad_tested_positive_daughter_exposed/")</f>
        <v/>
      </c>
      <c r="G1385" t="inlineStr">
        <is>
          <t>2020-05-25 15:26:55</t>
        </is>
      </c>
      <c r="H1385" t="inlineStr">
        <is>
          <t>Tested Positive - Family</t>
        </is>
      </c>
    </row>
    <row r="1386">
      <c r="A1386" t="inlineStr">
        <is>
          <t>gqldsk</t>
        </is>
      </c>
      <c r="B1386" t="inlineStr">
        <is>
          <t>I am so confused as to how I’m the only one who really got any symptoms in my house. My husband is in kidney failure and the definition of vulnerable, yet nothing...such a strange virus.</t>
        </is>
      </c>
      <c r="C1386" t="inlineStr">
        <is>
          <t>35 F and tested positive. Day 12, seem to really be turning the corner into recovery now. My 34-yr old husband hasn’t had a single symptom (he wasn’t tested so not sure if he ever “got it.”) My 2.5 yr old had the worst/strangest diarrhea I’ve ever seen starting in day one of my symptoms (which started with shortness of breath only, flu symptoms came on day 4.) He had a low-grade temp and loss of appetite but other then that played and seemed ok. On day 4 he woke up totally normal. My 6-yr old daughter, who funny enough is a huge daddies girl and spends most of her time up his butt hasn’t shown symptoms either. This was the EXACT same pattern we had I. January with flu B. I had it, my son had it, my husband and daughter did not. It boggles my mind that he is asymptomatic it escaped it and he’s literally the definition of “vulnerable.” What on earth. Any similar, strange stories about who did/didn’t get it?</t>
        </is>
      </c>
      <c r="D1386" t="n">
        <v>1</v>
      </c>
      <c r="E1386" t="n">
        <v>10</v>
      </c>
      <c r="F1386">
        <f>HYPERLINK("https://www.reddit.com/r/COVID19positive/comments/gqldsk/i_am_so_confused_as_to_how_im_the_only_one_who/")</f>
        <v/>
      </c>
      <c r="G1386" t="inlineStr">
        <is>
          <t>2020-05-25 16:06:09</t>
        </is>
      </c>
      <c r="H1386" t="inlineStr">
        <is>
          <t>Tested Positive</t>
        </is>
      </c>
    </row>
    <row r="1387">
      <c r="A1387" t="inlineStr">
        <is>
          <t>gqljbx</t>
        </is>
      </c>
      <c r="B1387" t="inlineStr">
        <is>
          <t>Anyone else feel like they're high on life since recovery?</t>
        </is>
      </c>
      <c r="C1387" t="inlineStr">
        <is>
          <t>11 days from diagnosis, 16 days from initial symptoms. Louisiana. 
First of all, holy shit. 
Living and breathing are my most favorite things.  Body aches aren't that great, so I'll leave those at the door.
----------
Story begins 2/23/20: I convinced myself that I caught a mild case of something because I traveled a lot for work and contracted an unknown respiratory illness.
I diagnosed myself with walking pneumonia or bronchitis without seeing a doctor, due to previous bouts. 
I attempted to get a test for Covid on 3/7/20 and was denied over the phone because I didn't have a fever. So I chalked my symptoms up to allergies/exhaustion from travel and wasn't angry with the denial of a test. 
Then the United States shutdown. I got better,
no worries, definitely just allergies and not covid.
5/11/20:  There isn't enough air in the room. It's stressful but I don't feel "sick".  I keep telling myself this is a new anxiety disorder I've developed and I just can't cope. 
Except I can cope, I cope all the time and I still feel like I can't breathe. 
My husband decides its time to go to the only place near us with drive-through tests.  Test comes back positive, no surprise there.
For 7 days I am death: Barely leave the bed. Nausea when I move. Body aches. Cough at night. Chest pressure. Extremely claustrophobic during the whole thing.  Also very angry, uncharacteristically.
5/25/20 Today: I feel like I just smoked a bunch of cocoaine.  I could build a house by myself with the energy I have. Maybe, possibly.  
So I'd say this is a good feeling and a fantastic day. My symptoms other than fatigue are pretty much gone. 
I'm so happy about feeling better that I'll continue to stay in my house until I'm not contagious anymore. 
Keep getting well world! 
🧡</t>
        </is>
      </c>
      <c r="D1387" t="n">
        <v>1</v>
      </c>
      <c r="E1387" t="n">
        <v>22</v>
      </c>
      <c r="F1387">
        <f>HYPERLINK("https://www.reddit.com/r/COVID19positive/comments/gqljbx/anyone_else_feel_like_theyre_high_on_life_since/")</f>
        <v/>
      </c>
      <c r="G1387" t="inlineStr">
        <is>
          <t>2020-05-25 16:16:03</t>
        </is>
      </c>
      <c r="H1387" t="inlineStr">
        <is>
          <t>Tested Positive - Me</t>
        </is>
      </c>
    </row>
    <row r="1388">
      <c r="A1388" t="inlineStr">
        <is>
          <t>gqmlg8</t>
        </is>
      </c>
      <c r="B1388" t="inlineStr">
        <is>
          <t>Longterm elevated temps in children??</t>
        </is>
      </c>
      <c r="C1388" t="inlineStr">
        <is>
          <t>Has anyone heard of children having elevated temps for weeks after having been possibly sick with covid?</t>
        </is>
      </c>
      <c r="D1388" t="n">
        <v>1</v>
      </c>
      <c r="E1388" t="n">
        <v>16</v>
      </c>
      <c r="F1388">
        <f>HYPERLINK("https://www.reddit.com/r/COVID19positive/comments/gqmlg8/longterm_elevated_temps_in_children/")</f>
        <v/>
      </c>
      <c r="G1388" t="inlineStr">
        <is>
          <t>2020-05-25 17:21:16</t>
        </is>
      </c>
      <c r="H1388" t="inlineStr">
        <is>
          <t>Presumed Positive - From Doctor</t>
        </is>
      </c>
    </row>
    <row r="1389">
      <c r="A1389" t="inlineStr">
        <is>
          <t>gqmyuh</t>
        </is>
      </c>
      <c r="B1389" t="inlineStr">
        <is>
          <t>When am I “out of the woods?”</t>
        </is>
      </c>
      <c r="C1389" t="inlineStr">
        <is>
          <t>That is, in your experience, about what days does one take a turn for the worse, if it’s going to happen? I’m on day 8 with very mild symptoms so far. I know I can’t expect recovery or even improvement yet, but on what day can I breathe a sigh of relief that at least it won’t get significantly worse?</t>
        </is>
      </c>
      <c r="D1389" t="n">
        <v>1</v>
      </c>
      <c r="E1389" t="n">
        <v>10</v>
      </c>
      <c r="F1389">
        <f>HYPERLINK("https://www.reddit.com/r/COVID19positive/comments/gqmyuh/when_am_i_out_of_the_woods/")</f>
        <v/>
      </c>
      <c r="G1389" t="inlineStr">
        <is>
          <t>2020-05-25 17:45:12</t>
        </is>
      </c>
      <c r="H1389" t="inlineStr">
        <is>
          <t>Tested Positive - Me</t>
        </is>
      </c>
    </row>
    <row r="1390">
      <c r="A1390" t="inlineStr">
        <is>
          <t>gqngsq</t>
        </is>
      </c>
      <c r="B1390" t="inlineStr">
        <is>
          <t>Has anyone here who has tested positive been reinfected?</t>
        </is>
      </c>
      <c r="C1390" t="inlineStr">
        <is>
          <t>I’m 2 months out from my mild case (no symptoms since) and I’m feeling a tickle in my throat again that feels a lot like the first time, and I’m wondering if it’s even possible for me to have gotten it again. Also, i would love if anyone knows any good articles on the topic. I’ve googled, of course, but I’m not sure how useful that is because it was mostly news stuff (not academic or medical). Thanks.</t>
        </is>
      </c>
      <c r="D1390" t="n">
        <v>1</v>
      </c>
      <c r="E1390" t="n">
        <v>7</v>
      </c>
      <c r="F1390">
        <f>HYPERLINK("https://www.reddit.com/r/COVID19positive/comments/gqngsq/has_anyone_here_who_has_tested_positive_been/")</f>
        <v/>
      </c>
      <c r="G1390" t="inlineStr">
        <is>
          <t>2020-05-25 18:17:35</t>
        </is>
      </c>
      <c r="H1390" t="inlineStr">
        <is>
          <t>Tested Positive - Me</t>
        </is>
      </c>
    </row>
    <row r="1391">
      <c r="A1391" t="inlineStr">
        <is>
          <t>gqobke</t>
        </is>
      </c>
      <c r="B1391" t="inlineStr">
        <is>
          <t>Early 30s healthy female sick for 2+ months. Currently weighing options for persistent sinus symptoms. Bacterial or Viral Sinusitis? Or Post-Viral Syndrome? Anyone else been here?</t>
        </is>
      </c>
      <c r="C1391" t="inlineStr">
        <is>
          <t>Hi sweet friends, I come to you after two months of sickness, two urgent care visits, two hospital visits, and, oh my stars, so many ups and downs.  I am an otherwise healthy, active early thirties female on a plant-based diet with no pre-existing conditions, was going to the gym every other day before all this.  Can't count the number of times in the last two months that I felt I might not survive this thing.  
My primary care doctor basically would not see me ("If the DOCTORS get sick, they can't help you") and was dismissive of the possibility of my having Covid.  I consulted with a second physician remotely whose assessment was Covid, possibly followed by post-viral sinusitis.  My wild grab bag of symptoms has included: shortness of breath, heaviness in the lungs/chest, headache, lightheadedness/weakness/near-fainting, feeling dry/thirsty, sore throat, shaking, chills, fever, diarrhea.  Everything but the cough, and the kitchen sink.  Despite being almost excessively hydrated, I also experienced a brief period of UTI symptoms with unusually yellow urine, accompanied by severe leg pain and muscle weakness, which prompted ER docs to check for clots (none detected) and my consulting physician to suggest testing for rhabdomyolysis, but by the time I got labs, it had mostly resolved itself, and testing did not show signs of rhabdo.  
I received my first Covid test (nasal swab) just a week after the onset of symptoms, and the test returned negative.  I was negative for flu and strep as well.  First hospital visit, about a week later, I arrived shaking and struggling to breathe.  They acknowledged I had shortness of breath but could not explain it.  I was tachycardic, my temperature fluctuated from normal to 100 while there and my potassium was slightly low.  Bloodwork, EKG, and X-rays appeared fine, so they gave me potassium and sent me home.  Diagnosis: Dispnea, Hypokalemia.
...  
Second hospital visit, about three weeks later, again came shaking and struggling to breathe.  They repeated bloodwork, EKG, and X-rays, in addition to a second Covid test.  They wouldn't perform a CT scan of my lungs, as they felt the radiation exposure was not worth the risk.  I had a normal temp but couldn't stop shaking and felt cold with two blankets on.  They felt all the tests looked fine, did not know what to tell me, (except hinting at anxiety having something to do with this, nice!) and sent me home.  Diagnosis: Near syncope.  My second Covid test came back negative as well.  It goes without saying, like so many of you, I've felt confounded and gaslighted and powerless beyond description so many times in this process.  I have not been able to get an antibody test as I continue to have symptoms, but I look forward to some kind of proof that I've endured this.  
Ultimately, I have muscled through this trashfire, and currently I'm doing much better overall, but have been coping with pronounced sinus symptoms for a month - nasal congestion with facial pressure, which seems to be a moving target - moved to my throat, leading to a "lump" feeling, followed by post-nasal drip, sore throat, excessive saliva production, then spread to the ears, which briefly caused dizziness, and now, back to the nose and face with a general feeling of fogginess.  
Urgent Care has now prescribed a course of antibiotics with an oral steroid - 10 days of Augmentin (Amoxycilin + Clavulanate) with 10mg of Prednisone for 4 days.  This was based on a quick conversation and a peek in the nose/ears, no imaging or testing, and they are not approaching this as being in the context of Covid recovery.  
Consulting doc is "not thrilled about the Prednisone" but concedes that this a fairly benign dosage/duration, and does recommend taking both the 'roid and the antibiotic if I am gonna do this.  
I can't help but wonder if my sinus symptoms are a part of a post-viral syndrome, which would make more sense than a post-Covid bacterial sinus infection, in which case, I wonder if antibiotics and steroids would do more harm than good.  
Has anyone had a similar experience or taken these drugs post-Covid?   Does it seem worth the risks?</t>
        </is>
      </c>
      <c r="D1391" t="n">
        <v>1</v>
      </c>
      <c r="E1391" t="n">
        <v>18</v>
      </c>
      <c r="F1391">
        <f>HYPERLINK("https://www.reddit.com/r/COVID19positive/comments/gqobke/early_30s_healthy_female_sick_for_2_months/")</f>
        <v/>
      </c>
      <c r="G1391" t="inlineStr">
        <is>
          <t>2020-05-25 19:13:48</t>
        </is>
      </c>
      <c r="H1391" t="inlineStr">
        <is>
          <t>Presumed Positive - From Doctor</t>
        </is>
      </c>
    </row>
    <row r="1392">
      <c r="A1392" t="inlineStr">
        <is>
          <t>gqoqlv</t>
        </is>
      </c>
      <c r="B1392" t="inlineStr">
        <is>
          <t>Anyone else got this sharp stabby pins/glass shards type lung pain when breathing in?</t>
        </is>
      </c>
      <c r="C1392" t="inlineStr">
        <is>
          <t>It feels like sharp stabs in random places in my lungs when I breathe in sometimes stopping me in my tracks, most frequently it’s towards the back and lower parts of my lungs. 
It’s been 76 days and this pain has been there the entire time even as other symptoms came and went. Almost everything else has resolved except this. Anyone else got this? Anyone had it and it resolved?</t>
        </is>
      </c>
      <c r="D1392" t="n">
        <v>1</v>
      </c>
      <c r="E1392" t="n">
        <v>9</v>
      </c>
      <c r="F1392">
        <f>HYPERLINK("https://www.reddit.com/r/COVID19positive/comments/gqoqlv/anyone_else_got_this_sharp_stabby_pinsglass/")</f>
        <v/>
      </c>
      <c r="G1392" t="inlineStr">
        <is>
          <t>2020-05-25 19:42:25</t>
        </is>
      </c>
      <c r="H1392" t="inlineStr">
        <is>
          <t>Presumed Positive - From Doctor</t>
        </is>
      </c>
    </row>
    <row r="1393">
      <c r="A1393" t="inlineStr">
        <is>
          <t>gqor3x</t>
        </is>
      </c>
      <c r="B1393" t="inlineStr">
        <is>
          <t>I have developed shortness of breath and other symptoms</t>
        </is>
      </c>
      <c r="C1393" t="inlineStr">
        <is>
          <t>My dad tested positive for COVID-19 two weeks ago, his symptoms weren't severe (he only developed a mild cough and was sweating a lot). I had warned him to stay in his room but he wouldn't listen and would use the kitchen frequently without gloves. That left a majority of the cleaning to me, this wouldn't have been so worrisome except for the fact that I have had asthma since I was a child and I was a bit paranoid of catching the virus. Around the 19th I started developing a sore throat as well as muscle pain and fatigue and it was around 3 days ago that I started developing wheezing and feeling out of breath, and recently it has turned into a wet feeling whenever I breathe (no cough has developed). I have already gotten tested but am currently awaiting the results, does anyone have any advice with how to deal with these symptoms till then? (the breathing issues have sort of ruined my sleep).</t>
        </is>
      </c>
      <c r="D1393" t="n">
        <v>1</v>
      </c>
      <c r="E1393" t="n">
        <v>3</v>
      </c>
      <c r="F1393">
        <f>HYPERLINK("https://www.reddit.com/r/COVID19positive/comments/gqor3x/i_have_developed_shortness_of_breath_and_other/")</f>
        <v/>
      </c>
      <c r="G1393" t="inlineStr">
        <is>
          <t>2020-05-25 19:43:22</t>
        </is>
      </c>
      <c r="H1393" t="inlineStr">
        <is>
          <t>Tested Positive - Family</t>
        </is>
      </c>
    </row>
    <row r="1394">
      <c r="A1394" t="inlineStr">
        <is>
          <t>gqou7u</t>
        </is>
      </c>
      <c r="B1394" t="inlineStr">
        <is>
          <t>Where to get Antibody Tests?</t>
        </is>
      </c>
      <c r="C1394" t="inlineStr">
        <is>
          <t>I caught covid back at the end of march, took about 7 weeks to recover. My parents were the only ones who came into my room, but now that my state is completely reopened and nobody is wearing a mask anymore, I want to know if my parents have the antibodies and will be safe when grocery shopping. I’m turning 16 in less than a month, my hope is that worst case scenario I’ll donate my antibodies to them. 
That brings me to my question- where can you get an antibody test and how? I’m not concerned about getting one for myself- I know I had it and I must have the antibodies, but my parents do everything for the family and I want to know if they’re going to be safe now that the state is open.</t>
        </is>
      </c>
      <c r="D1394" t="n">
        <v>1</v>
      </c>
      <c r="E1394" t="n">
        <v>5</v>
      </c>
      <c r="F1394">
        <f>HYPERLINK("https://www.reddit.com/r/COVID19positive/comments/gqou7u/where_to_get_antibody_tests/")</f>
        <v/>
      </c>
      <c r="G1394" t="inlineStr">
        <is>
          <t>2020-05-25 19:49:30</t>
        </is>
      </c>
      <c r="H1394" t="inlineStr">
        <is>
          <t>Presumed Positive - From Doctor</t>
        </is>
      </c>
    </row>
    <row r="1395">
      <c r="A1395" t="inlineStr">
        <is>
          <t>gqp1d4</t>
        </is>
      </c>
      <c r="B1395" t="inlineStr">
        <is>
          <t>Update on my dad(70; diabetic; hypertension) - SURVIVED!</t>
        </is>
      </c>
      <c r="C1395" t="inlineStr">
        <is>
          <t>After almost 1.5 months since my father (70; diabetic + hypertension) tested positive, I feel ready to give an update: my dad's health improved in the ICU, was eventually "graduated" to a regular ward, and recently returned home! So I am happy to share a recovery story. 
To recap: my dad's COVID symptoms began with muscle pain (it wasn't considered a sign back in early April), then he gradually developed a low fever, slight cough, and fatigue. When he tested positive, the doctors told him to stay home and only go to the ER if he experiences SBD. We were fortunate enough to have access to an oximeter (this was a few days before a lot of people started to realize its utility, and stores started to sell out), and one night we saw his O2 sat levels drop to 70 even though he was still walking, talking, and not exhibiting physical SBD. While we were super confused about his physiological state vs. what the oximeter showed, my family decided to call 911; he was intubated immediately upon arriving at the hospital. I will never forget that day; the floor just dropped and the fear / anger felt insurmountable. But after 4 days on the vent his condition improved until the doctor's felt comfortable enough to take it off. He spent 1.5 weeks in the ICU with a high-flow nasal cannula (we were all so worried he would relapse and be re-intubated!); then another 1.5 weeks in the regular ward until he was deemed stable enough to be discharged (he still retested positive, but his doctors were not so concerned about it). He's been home for the past week and is beginning to walk without a walker. 
I am still reflecting on a lot of this (and still fighting the paranoia that he might turn for the worse all of a sudden), but I just want to reaffirm that \*\*getting this virus is not an automatic death sentence.\*\* It was extremely difficult on the body (and the psychology of my family; we are all still pretty broken), but survival happens. I've also seen threads on here talking about loved ones being on the vent for weeks, and also making it. I don't dismiss the high-risk statistics, but when it comes down to it -- you / your family just have to wage a battle with it and not lose sight of survival as a possibility. You have to give it your best shot. 
I am also very emotional about seeing / hearing people not give a damn about this virus, those who say it is fake or believe that their individual freedoms (at least here in the US) are being threatened for the sake of public safety. It's such a faulty comparison. My dad got sick because he is an essential worker, and so when I see folks in groups not wearing a mask I can't help but take it personally. 
I have met so many other people on here who have generously shared their painful experiences about taking care of older family members while they are in the hospital. I still think about all of you, and hold your parents / grandparents in my hearts. I absolutely hate how this illness is so arbitrary -- some surviving, while not others -- and I am having a hard time processing what made my dad's situation different. But I am happy to answer any questions if it helps someone think through practical issues (what to ask doctors; the combo of meds he received; what discharge looked like) or to share a sense of positivity and comfort.</t>
        </is>
      </c>
      <c r="D1395" t="n">
        <v>1</v>
      </c>
      <c r="E1395" t="n">
        <v>63</v>
      </c>
      <c r="F1395">
        <f>HYPERLINK("https://www.reddit.com/r/COVID19positive/comments/gqp1d4/update_on_my_dad70_diabetic_hypertension_survived/")</f>
        <v/>
      </c>
      <c r="G1395" t="inlineStr">
        <is>
          <t>2020-05-25 20:03:09</t>
        </is>
      </c>
      <c r="H1395" t="inlineStr">
        <is>
          <t>Tested Positive - Family</t>
        </is>
      </c>
    </row>
    <row r="1396">
      <c r="A1396" t="inlineStr">
        <is>
          <t>gqp33v</t>
        </is>
      </c>
      <c r="B1396" t="inlineStr">
        <is>
          <t>Should I do Endoscopy if I suspect Covid?</t>
        </is>
      </c>
      <c r="C1396" t="inlineStr">
        <is>
          <t>So i was sick from mid-Feb until the first week of April with covid like symptoms (was diagnosed with upper respiratory disease back when people couldn’t get tested). I tested negative April 16th. Mind you I had a Flu shot this year and my chest x ray showed no pneumonia. Well a few days ago I just recently started getting low grade fevers and stomach pains/loss of appetite again. My xray only showed that I was constipated and the doctors keep saying i have gastritis. I just took another covid test today and am waiting for the results. My stomach is in pain and I wanted to do an endoscopy this week. Do I have to wait to get another negative covid test or just go straight for the endoscopy?</t>
        </is>
      </c>
      <c r="D1396" t="n">
        <v>1</v>
      </c>
      <c r="E1396" t="n">
        <v>13</v>
      </c>
      <c r="F1396">
        <f>HYPERLINK("https://www.reddit.com/r/COVID19positive/comments/gqp33v/should_i_do_endoscopy_if_i_suspect_covid/")</f>
        <v/>
      </c>
      <c r="G1396" t="inlineStr">
        <is>
          <t>2020-05-25 20:06:23</t>
        </is>
      </c>
      <c r="H1396" t="inlineStr">
        <is>
          <t>Presumed Positive - From Test</t>
        </is>
      </c>
    </row>
    <row r="1397">
      <c r="A1397" t="inlineStr">
        <is>
          <t>gqp92j</t>
        </is>
      </c>
      <c r="B1397" t="inlineStr">
        <is>
          <t>Should I do endoscopy even if I suspect covid</t>
        </is>
      </c>
      <c r="C1397" t="inlineStr">
        <is>
          <t>Ive been sick from mid-February to first week of April with covid-like symptoms. Back in March before testing was widely available, I went to the ER to get a chest x-ray. I had no pneumonia or Bronchitis and I even got a Flu shot that year so it most likely wasnt the Flu. On April 16th my covid test came back negative to my surprise. I was fine for the rest of April and majority of May but now my loss of appetite and low grade fever have come back. No idea if its covid but I just took another covid test today and the results will be back in a few days. So my question is, wouldn’t it be smart to do an endoscopy this week as to prevent any serious stomach issues? Or is it bad to have surgery when I’m feeling a bit sick? Thanks</t>
        </is>
      </c>
      <c r="D1397" t="n">
        <v>1</v>
      </c>
      <c r="E1397" t="n">
        <v>4</v>
      </c>
      <c r="F1397">
        <f>HYPERLINK("https://www.reddit.com/r/COVID19positive/comments/gqp92j/should_i_do_endoscopy_even_if_i_suspect_covid/")</f>
        <v/>
      </c>
      <c r="G1397" t="inlineStr">
        <is>
          <t>2020-05-25 20:17:40</t>
        </is>
      </c>
      <c r="H1397" t="inlineStr">
        <is>
          <t>Presumed Positive - From Test</t>
        </is>
      </c>
    </row>
    <row r="1398">
      <c r="A1398" t="inlineStr">
        <is>
          <t>gqpsn8</t>
        </is>
      </c>
      <c r="B1398" t="inlineStr">
        <is>
          <t>My oldest sister, who is pregnant, tested positive</t>
        </is>
      </c>
      <c r="C1398" t="inlineStr">
        <is>
          <t>My oldest sister is 31 years old. She’s a frontline worker taking care of elderly patients. From what she informed us, the infected patient was transported there from another nursing home on May 12th, and she felt a bit of a dry throat on Saturday, May 22nd. She and other workers were told to test for the virus, and her results came back today. Positive.
I’m really scared for her. She has a husband with asthma and a four year old daughter. Not only that, but she is pregnant too, and I’m not sure if this will affect the baby.
On top of it all, since she’s a frontline worker and her husband is also working, she had a lot of trouble finding a babysitter for my niece, so my younger sister volunteered to babysit. Now I scheduled a testing appointment for her too, since we live with our parents (who are in their 50s; Mom has high blood pressure). 
This is super terrifying and stressful! We suspect that Mom and I had caught the virus back in January when testing wasn’t as available, but then again, we can’t make assumptions, and we won’t find out until we all get tested. My sister’s appointment is this week, but the anxiety and waiting is killing me. I don’t know what to do.</t>
        </is>
      </c>
      <c r="D1398" t="n">
        <v>1</v>
      </c>
      <c r="E1398" t="n">
        <v>20</v>
      </c>
      <c r="F1398">
        <f>HYPERLINK("https://www.reddit.com/r/COVID19positive/comments/gqpsn8/my_oldest_sister_who_is_pregnant_tested_positive/")</f>
        <v/>
      </c>
      <c r="G1398" t="inlineStr">
        <is>
          <t>2020-05-25 20:56:12</t>
        </is>
      </c>
      <c r="H1398" t="inlineStr">
        <is>
          <t>Tested Positive - Family</t>
        </is>
      </c>
    </row>
    <row r="1399">
      <c r="A1399" t="inlineStr">
        <is>
          <t>gqswi4</t>
        </is>
      </c>
      <c r="B1399" t="inlineStr">
        <is>
          <t>Anyone started off with only 1 symptom for a week and then it hit them?</t>
        </is>
      </c>
      <c r="C1399" t="inlineStr">
        <is>
          <t>For a week, i only had shortness of breath and then out of nowhere, it hit me. Chills, coldness, tingling, loss of smell and taste, but it happened a week later.
For a week i only had shortness of breath
Any1 share a similar story?</t>
        </is>
      </c>
      <c r="D1399" t="n">
        <v>1</v>
      </c>
      <c r="E1399" t="n">
        <v>8</v>
      </c>
      <c r="F1399">
        <f>HYPERLINK("https://www.reddit.com/r/COVID19positive/comments/gqswi4/anyone_started_off_with_only_1_symptom_for_a_week/")</f>
        <v/>
      </c>
      <c r="G1399" t="inlineStr">
        <is>
          <t>2020-05-26 01:07:27</t>
        </is>
      </c>
      <c r="H1399" t="inlineStr">
        <is>
          <t>Presumed Positive - From Doctor</t>
        </is>
      </c>
    </row>
    <row r="1400">
      <c r="A1400" t="inlineStr">
        <is>
          <t>gqtwqe</t>
        </is>
      </c>
      <c r="B1400" t="inlineStr">
        <is>
          <t>I Have Tested Positive For COVID-19, it’s been 2 weeks since my first test date and I have yet to feel any symptoms. Should I be worried?</t>
        </is>
      </c>
      <c r="C1400" t="inlineStr">
        <is>
          <t>Hello everyone,
I am just going to jump into it. I underwent a COVID-19 test on May 8, the test was ordered by my surgeon in order to undergo a surgery. When I underwent the test I was asymptomatic. I received my results back on May 13, I was told I was positive for COVID-19. Since then I have yet to “feel” any symptoms of the virus. The only “symptoms” I might have felt are a runny nose at times and sneezing(I don’t have allergies). I have continued to label myself as asymptomatic. I recently underwent a follow up test on May 23rd, the test results came back today and stated that I was positive. I guess what I am asking is, should I be worried about my heath and consult my doctor? Should I take an antibodies test? Were the tests false positives? For more information, before the test I stayed in my house and followed the rules of self-quarantine(I can not say the same for my family as many of them are essential workers). My family and I are surely still following these rules. For any questions I will be sure to answer them in the comments. 
Thank you for your time.</t>
        </is>
      </c>
      <c r="D1400" t="n">
        <v>1</v>
      </c>
      <c r="E1400" t="n">
        <v>9</v>
      </c>
      <c r="F1400">
        <f>HYPERLINK("https://www.reddit.com/r/COVID19positive/comments/gqtwqe/i_have_tested_positive_for_covid19_its_been_2/")</f>
        <v/>
      </c>
      <c r="G1400" t="inlineStr">
        <is>
          <t>2020-05-26 02:36:08</t>
        </is>
      </c>
      <c r="H1400" t="inlineStr">
        <is>
          <t>Tested Positive - Me</t>
        </is>
      </c>
    </row>
    <row r="1401">
      <c r="A1401" t="inlineStr">
        <is>
          <t>gqud84</t>
        </is>
      </c>
      <c r="B1401" t="inlineStr">
        <is>
          <t>I had alot of a sugary cake last night as i was feeling better it was a terrible idea</t>
        </is>
      </c>
      <c r="C1401" t="inlineStr">
        <is>
          <t>I know sugar can somehow make it worse but today after eating alot of a sugary cake i feel like 100x worse as if im back in the peak again.
Its been about 17 days and i just want this to end .</t>
        </is>
      </c>
      <c r="D1401" t="n">
        <v>1</v>
      </c>
      <c r="E1401" t="n">
        <v>20</v>
      </c>
      <c r="F1401">
        <f>HYPERLINK("https://www.reddit.com/r/COVID19positive/comments/gqud84/i_had_alot_of_a_sugary_cake_last_night_as_i_was/")</f>
        <v/>
      </c>
      <c r="G1401" t="inlineStr">
        <is>
          <t>2020-05-26 03:15:27</t>
        </is>
      </c>
      <c r="H1401" t="inlineStr">
        <is>
          <t>Presumed Positive - From Doctor</t>
        </is>
      </c>
    </row>
    <row r="1402">
      <c r="A1402" t="inlineStr">
        <is>
          <t>gqv046</t>
        </is>
      </c>
      <c r="B1402" t="inlineStr">
        <is>
          <t>Nervous about doctor visit</t>
        </is>
      </c>
      <c r="C1402" t="inlineStr">
        <is>
          <t>I lost 4 extended family members in NY during the peak but, miraculously, one survived after a month on a ventilator and is recovering well at home.  The original infections came from a large family gathering with one super spreader who didnt know they were positive. 
I have a question about a non covid doctors visit.  I need to go in for minor skin surgery, just a 30 minute procedure, but am nervous about going into any medical facility.  I might be able to hold off but eventually it will develop into a skin infection.  Has anyone here contacted covid just from a visit to the doctor?</t>
        </is>
      </c>
      <c r="D1402" t="n">
        <v>1</v>
      </c>
      <c r="E1402" t="n">
        <v>3</v>
      </c>
      <c r="F1402">
        <f>HYPERLINK("https://www.reddit.com/r/COVID19positive/comments/gqv046/nervous_about_doctor_visit/")</f>
        <v/>
      </c>
      <c r="G1402" t="inlineStr">
        <is>
          <t>2020-05-26 04:08:37</t>
        </is>
      </c>
      <c r="H1402" t="inlineStr">
        <is>
          <t>Tested Positive - Family</t>
        </is>
      </c>
    </row>
    <row r="1403">
      <c r="A1403" t="inlineStr">
        <is>
          <t>gqvd1j</t>
        </is>
      </c>
      <c r="B1403" t="inlineStr">
        <is>
          <t>Dryness?</t>
        </is>
      </c>
      <c r="C1403" t="inlineStr">
        <is>
          <t>My hands have been dry as hell, and i've had a lot of dandruff. Any1 have the same thing?</t>
        </is>
      </c>
      <c r="D1403" t="n">
        <v>1</v>
      </c>
      <c r="E1403" t="n">
        <v>11</v>
      </c>
      <c r="F1403">
        <f>HYPERLINK("https://www.reddit.com/r/COVID19positive/comments/gqvd1j/dryness/")</f>
        <v/>
      </c>
      <c r="G1403" t="inlineStr">
        <is>
          <t>2020-05-26 04:35:03</t>
        </is>
      </c>
      <c r="H1403" t="inlineStr">
        <is>
          <t>Presumed Positive - From Doctor</t>
        </is>
      </c>
    </row>
    <row r="1404">
      <c r="A1404" t="inlineStr">
        <is>
          <t>gqvwvp</t>
        </is>
      </c>
      <c r="B1404" t="inlineStr">
        <is>
          <t>Do you think my family has had it?</t>
        </is>
      </c>
      <c r="C1404" t="inlineStr">
        <is>
          <t>December  2019 my mothers friend came back from a holiday in Turkey to England. A  few days later started showing the symptoms of a cold/chest infection  that then progressed to peumonia by the middle of December. She was put  on anti-biotics and everyone thought thatd be it cos no one knew about  COVID then.
Christmas day she  comes to visit my parents house where myself, my parter and our then 4  month old daughter were also visiting. My daughter got lots of cuddles  and kisses as you do with babies and my mothers friend was told she  wasn't contagious anymore etc.
1  day after new years my daughter is lethargic, high temp, pulling in at  her chest cos shes breathing heavy and generally a very unwell baby but  she was in good spirits. We took her to the hospital anyway because you  dont take chances with your kids. They listened to her chest and heard  congestion and had an 02 saturation in the high 80's - low 90's so was  taken in.
At first she was under  observation in a private room which lead up to a nose mask to a whole  face mast giving her oxygen and a feeding tube. A few times a day people  would come in to move her around and loosen the congestion which worked  wonders for her and after 5 days she was off oxygen and fine.
During  this time, me and my partner had been giving her lots of cuddles and  kisses and obviously spending a lot of time in the room with her and a  week after we got back we got ill. I dont remember much of being ill but  I remember having a cold from hell. Coughing fits that wouldnt stop  even when my lungs were empty, rib pain, having to breathe more and  harder and I could barely navigate stairs. After about 2 weeks though I  was fine. My parter also got ill during this time and recovered fine  too.
A few days ago I was talking  to my mother and her friend who vistited at Christmas got an antibody  test and it came back positive... Which means that COVID-19 was in the  UK from as early as early December. We don't qualify for the antibody  test right now, and private is £80 per test which I can't afford for the  three of us.
What scares me is  people are being taken out in their prime. Im 22 yeah but im also obese  and a smoker. Is it safe to assume we've had it?</t>
        </is>
      </c>
      <c r="D1404" t="n">
        <v>1</v>
      </c>
      <c r="E1404" t="n">
        <v>5</v>
      </c>
      <c r="F1404">
        <f>HYPERLINK("https://www.reddit.com/r/COVID19positive/comments/gqvwvp/do_you_think_my_family_has_had_it/")</f>
        <v/>
      </c>
      <c r="G1404" t="inlineStr">
        <is>
          <t>2020-05-26 05:15:48</t>
        </is>
      </c>
      <c r="H1404" t="inlineStr">
        <is>
          <t>Tested Positive - Friends</t>
        </is>
      </c>
    </row>
    <row r="1405">
      <c r="A1405" t="inlineStr">
        <is>
          <t>gqw7x5</t>
        </is>
      </c>
      <c r="B1405" t="inlineStr">
        <is>
          <t>Getting bad, week 5.</t>
        </is>
      </c>
      <c r="C1405" t="inlineStr">
        <is>
          <t>Not sure if I want to post this or not.  Seem to have gbs.  Very bad case of post viral fatigue.  Don’t think I’m going to make it.  It’s s horrible feeling.  
I go to er, tell them I’m starting to get paralyzed.  They don’t believe me.  Send me home, follow up with pcp.  I don’t have a pcp.  Have apt today.  No way they will help me.  Everyday I get a little more paralyzed.  It’s in my face, tongue, stomach, legs and esp arms and hands.  
Everyday I have to wait in this god forsaken room.  I have to ask myself, am I clearly in distress yet?  It’s closed my Throat a bit, is that enough?
It’s in my chest now, it’ll be in my lungs soon.  It might be alreadynits hard to say.
I still don’t have a neurologist appointment.  By the end of the week I won’t be able to walk.  Will that be enough er doctors?  I went in, I think they have me pegged as an anxiety case.  I’m doomed.
I wonder how bad it’ll have to get before I get help.  If I get on a vent, which is very common with gbs, I won’t survive.  My post viral fatigue is so bad I can barely walk to the bathroom, much less get vented.  And I’ll prob get vented because nobody will help me.  I’m dying, and nobody can help me.  Well they could but hey won’t.
I’ve literally thought about flying to Mayo Clinic, that’s how desperate I am.  I’ve also thought about just ending it, but I’m too scared and want to live.
I wish I hadn’t gone down this dark road.  Why will doctors not help people, what is wrong with them.</t>
        </is>
      </c>
      <c r="D1405" t="n">
        <v>1</v>
      </c>
      <c r="E1405" t="n">
        <v>50</v>
      </c>
      <c r="F1405">
        <f>HYPERLINK("https://www.reddit.com/r/COVID19positive/comments/gqw7x5/getting_bad_week_5/")</f>
        <v/>
      </c>
      <c r="G1405" t="inlineStr">
        <is>
          <t>2020-05-26 05:36:39</t>
        </is>
      </c>
      <c r="H1405" t="inlineStr">
        <is>
          <t>Presumed Positive - From Doctor</t>
        </is>
      </c>
    </row>
    <row r="1406">
      <c r="A1406" t="inlineStr">
        <is>
          <t>gqwj6o</t>
        </is>
      </c>
      <c r="B1406" t="inlineStr">
        <is>
          <t>I’m getting tested for Covid</t>
        </is>
      </c>
      <c r="C1406" t="inlineStr">
        <is>
          <t>I told my family i had a sore throat yesterday but that was the end of that they gave me medicine and I thought I would be fine. This is also a really horrible sore throat. I’ve never had anything like this sore throat wise. Then i woke up today feeling super hot and i took my temperature and it was at 100 so now I’m getting my test. I just feel horrible because now the people I’ve been around might have Covid. I work at a restaurant but the inside (where i work) is closed to the public. And I go to my mom’s house, girlfriends house and my dad’s house. Other than that I don’t go anywhere else so I have no clue where this came from. I just feel terrible. I don’t want anything bad to happen to me or anyone that I love wish me luck and if I have Covid please just wish me a speedy recovery.</t>
        </is>
      </c>
      <c r="D1406" t="n">
        <v>1</v>
      </c>
      <c r="E1406" t="n">
        <v>6</v>
      </c>
      <c r="F1406">
        <f>HYPERLINK("https://www.reddit.com/r/COVID19positive/comments/gqwj6o/im_getting_tested_for_covid/")</f>
        <v/>
      </c>
      <c r="G1406" t="inlineStr">
        <is>
          <t>2020-05-26 05:56:56</t>
        </is>
      </c>
      <c r="H1406" t="inlineStr">
        <is>
          <t>Tested Positive - Me</t>
        </is>
      </c>
    </row>
    <row r="1407">
      <c r="A1407" t="inlineStr">
        <is>
          <t>gqxgv7</t>
        </is>
      </c>
      <c r="B1407" t="inlineStr">
        <is>
          <t>Post viral recovery + inflammation</t>
        </is>
      </c>
      <c r="C1407" t="inlineStr">
        <is>
          <t>**What is everyone here doing for lingering chest pain and inflammation?**
**Also, is anybody getting feedback from their doctors on this?**
I am on Day 76.
Seemingly 90% over the fever, fatigue, cough, etc *(fingers crossed)*.
However, still enduring a good amount of chest pain, and what seems like bronchospasm. I have read about post viral bronchial hyperreactivity and wondering if that's happening.
I am doing an anti inflammatory stack per my function medicine doctor:
* Turmuric/curcumin
* Arnica montana tablets
* Quercetin
* NAC
My doctors just keep telling me "give it time", which may be correct.... but wanted to get everyone's comments on what they're also hearing, and what they're also *doing* \- if having similar issues.
Adding: chest x ray was normal, and bloodwork (CBC) was normal.
Thanks!</t>
        </is>
      </c>
      <c r="D1407" t="n">
        <v>1</v>
      </c>
      <c r="E1407" t="n">
        <v>37</v>
      </c>
      <c r="F1407">
        <f>HYPERLINK("https://www.reddit.com/r/COVID19positive/comments/gqxgv7/post_viral_recovery_inflammation/")</f>
        <v/>
      </c>
      <c r="G1407" t="inlineStr">
        <is>
          <t>2020-05-26 06:53:20</t>
        </is>
      </c>
      <c r="H1407" t="inlineStr">
        <is>
          <t>Presumed Positive - From Doctor</t>
        </is>
      </c>
    </row>
    <row r="1408">
      <c r="A1408" t="inlineStr">
        <is>
          <t>gqxm5w</t>
        </is>
      </c>
      <c r="B1408" t="inlineStr">
        <is>
          <t>When do blood clots/DVT usually happen?</t>
        </is>
      </c>
      <c r="C1408" t="inlineStr">
        <is>
          <t>I'm on Day 69 of symptoms and the latest is really uncomfortable cramping in my left leg, mostly in the calf but also the Achilles area and below the knee. It started about a week ago. I don't notice swelling or hot/cold skin anywhere in the area. I have been trying to go out for short walks lately so it could just be my body reacting to being somewhat active again.
Early on I had really bad leg soreness but that mostly went away once the shortness of breath and persistent cough came along. This new feeling is different though. Are people developing clots 2 months after initial onset of symptoms? I couldn't get a diagnostic test until late-April and my result was negative, as I assumed it would be considering I already had symptoms for about 5 weeks at that point.</t>
        </is>
      </c>
      <c r="D1408" t="n">
        <v>1</v>
      </c>
      <c r="E1408" t="n">
        <v>39</v>
      </c>
      <c r="F1408">
        <f>HYPERLINK("https://www.reddit.com/r/COVID19positive/comments/gqxm5w/when_do_blood_clotsdvt_usually_happen/")</f>
        <v/>
      </c>
      <c r="G1408" t="inlineStr">
        <is>
          <t>2020-05-26 07:02:09</t>
        </is>
      </c>
      <c r="H1408" t="inlineStr">
        <is>
          <t>Presumed Positive - From Doctor</t>
        </is>
      </c>
    </row>
    <row r="1409">
      <c r="A1409" t="inlineStr">
        <is>
          <t>gqxnai</t>
        </is>
      </c>
      <c r="B1409" t="inlineStr">
        <is>
          <t>I'm showing some symptoms and I'm scared</t>
        </is>
      </c>
      <c r="C1409" t="inlineStr">
        <is>
          <t>My mother is a veterinarian and She tells me i might have covid19 because i have dry cough, throat sore like I've never drunk water but i have no fever. For now.
Also mom has asthma and she goes out more than i do although she doesn't show any symptoms.
I'm not afraid of getting sick I'm afraid of my mother getting sick so should i quarantine myself for a while?
Please help i don't want anyone to get sick because of me :(</t>
        </is>
      </c>
      <c r="D1409" t="n">
        <v>1</v>
      </c>
      <c r="E1409" t="n">
        <v>5</v>
      </c>
      <c r="F1409">
        <f>HYPERLINK("https://www.reddit.com/r/COVID19positive/comments/gqxnai/im_showing_some_symptoms_and_im_scared/")</f>
        <v/>
      </c>
      <c r="G1409" t="inlineStr">
        <is>
          <t>2020-05-26 07:03:56</t>
        </is>
      </c>
      <c r="H1409" t="inlineStr">
        <is>
          <t>Presumed Positive - From Doctor</t>
        </is>
      </c>
    </row>
    <row r="1410">
      <c r="A1410" t="inlineStr">
        <is>
          <t>gqys2o</t>
        </is>
      </c>
      <c r="B1410" t="inlineStr">
        <is>
          <t>Advice for getting compensated for positive test results greater than 14 days in NYS.</t>
        </is>
      </c>
      <c r="C1410" t="inlineStr">
        <is>
          <t>I was tested positive on 04/25/20. My symptoms resolved after 2 1/2 weeks and I returned to work (nursing home) after 3 weeks off. I was back to work for 1 week and, due to new twice weekly mandatory testing in NYS, I was tested positive again (despite having no symptoms) and required to quarantine for 2 more weeks. My employer just told me they are only obligated to compensate me for 14 days under the current laws. I am able to use my PTO, which will only cover 17 hours. I have searched around the internet for any advice with this circumstance to no avail. Does anyone here have any knowledge or information on potential recourse for compensation either with my employer or some other entity (short-term disability, etc.)? Thanks!</t>
        </is>
      </c>
      <c r="D1410" t="n">
        <v>1</v>
      </c>
      <c r="E1410" t="n">
        <v>5</v>
      </c>
      <c r="F1410">
        <f>HYPERLINK("https://www.reddit.com/r/COVID19positive/comments/gqys2o/advice_for_getting_compensated_for_positive_test/")</f>
        <v/>
      </c>
      <c r="G1410" t="inlineStr">
        <is>
          <t>2020-05-26 08:08:58</t>
        </is>
      </c>
      <c r="H1410" t="inlineStr">
        <is>
          <t>Tested Positive</t>
        </is>
      </c>
    </row>
    <row r="1411">
      <c r="A1411" t="inlineStr">
        <is>
          <t>gqz6i3</t>
        </is>
      </c>
      <c r="B1411" t="inlineStr">
        <is>
          <t>Second week of symptoms, second day since positive preliminary results</t>
        </is>
      </c>
      <c r="C1411" t="inlineStr">
        <is>
          <t>Two weeks ago I got a double ear infection that just has not gone away. It was super weird because I haven’t gotten ear infections since I was 19 (I’m 25). I went to two urgent care clinics in a week and a half because the antibiotics just weren’t working. The whole time I have had ear pain and throat pain and I can’t really taste things, on top of a nagging dry cough, muscle aches, nausea (tums and pepto aren’t even helping the nausea and acid in my throat), fatigue, and a low grade fever. I went to the emergency department on Sunday where, after testing, the rapid test came back positive so it was sent for further testing to be certain I have covid-19. My lung ct and xrays also showed I have a spot of pneumonia in my right lung. In the emergency room the medical staff was in full PPE and my room had biohazard and droplet warning signs on the entrance. I felt so bad when the nurse was doing the nasal swab and I kept coughing and gagging because of it. She was wearing a face shield and gowns and was completely covered but I still felt like I was going to get her sick and I kept apologizing and she was reassuring me that I was okay and she would be okay but I still felt so bad :( and seeing how the drs were around me freaked me out. They would stand near the door unless they needed to come near me to examine me, which they would ask me to hold my breath/minimally breathe if they had to get that close to me. I was given a ton of medication prescriptions for supportive care and I am under mandatory quarantine and I was reported to the health department. I am still waiting on the official results (I live in New York so you can imagine) but the doctor is certain I have it. 
It’s so...strange to think I have it. It feels surreal. I never thought I would become a statistic during this. I am getting more and more sick everyday and I don’t know what I’m going to do. I have heart problems and I was seriously ill in September/October from influenza that turned into double pneumonia and resulted in a lengthy hospital stay with me on oxygen. If that almost killed me and it was basic bacterial pneumonia, I feel there is no way I’m going to fare well against this.
Thank you all for reading my venting. I hope everyone is doing well.</t>
        </is>
      </c>
      <c r="D1411" t="n">
        <v>1</v>
      </c>
      <c r="E1411" t="n">
        <v>4</v>
      </c>
      <c r="F1411">
        <f>HYPERLINK("https://www.reddit.com/r/COVID19positive/comments/gqz6i3/second_week_of_symptoms_second_day_since_positive/")</f>
        <v/>
      </c>
      <c r="G1411" t="inlineStr">
        <is>
          <t>2020-05-26 08:30:22</t>
        </is>
      </c>
      <c r="H1411" t="inlineStr">
        <is>
          <t>Presumed Positive - From Test</t>
        </is>
      </c>
    </row>
    <row r="1412">
      <c r="A1412" t="inlineStr">
        <is>
          <t>gr2dmq</t>
        </is>
      </c>
      <c r="B1412" t="inlineStr">
        <is>
          <t>Tested Positive 23 F BBW</t>
        </is>
      </c>
      <c r="C1412" t="inlineStr">
        <is>
          <t>Got a positive at the end of April, my only symptom at first was tightness in my chest on the day I tested positive fever of 100.2. I had a fever two days kept down by Tylenol. The worst part was the nausea, I love food and the idea of eating anything was HORRIBLE. Even when I did make myself eat on day 4 I had very little taste and smell. By day 6 nausea lessened. Day 7 smell and taste started to come back and finally day 10 I retested and came back negative and returned to work after my 2 week quarantine. My mother also had it and had similar symptoms. I live with my fiancé and cousin as well and they never had any symptoms.</t>
        </is>
      </c>
      <c r="D1412" t="n">
        <v>1</v>
      </c>
      <c r="E1412" t="n">
        <v>9</v>
      </c>
      <c r="F1412">
        <f>HYPERLINK("https://www.reddit.com/r/COVID19positive/comments/gr2dmq/tested_positive_23_f_bbw/")</f>
        <v/>
      </c>
      <c r="G1412" t="inlineStr">
        <is>
          <t>2020-05-26 11:17:02</t>
        </is>
      </c>
      <c r="H1412" t="inlineStr">
        <is>
          <t>Tested Positive</t>
        </is>
      </c>
    </row>
    <row r="1413">
      <c r="A1413" t="inlineStr">
        <is>
          <t>gr46oi</t>
        </is>
      </c>
      <c r="B1413" t="inlineStr">
        <is>
          <t>Immunity/contagious with lingering symptom?</t>
        </is>
      </c>
      <c r="C1413" t="inlineStr">
        <is>
          <t>Hi everyone, I just want to start by saying I was NOT tested due to when I was sick, loss of smell/taste was not considered a symptom and my area would not test me. I started with a “presumed” case of Covid19 in April, the Thursday after Easter Sunday. I got it from my father, who also had all similar symptoms. Since “recovering” I have gained (almost) my sense of smell/taste back completely - I would say I’m at 80%, 90% on a good day. I would say that I’m 100%, but there’s something missing when I smell/taste things. It’s a weird phenomenon and difficult to explain, and sometimes I get strange nasal sensation. My question is this: does anyone know if there is any correlation with how long immunity lasts after symptoms are cleared? Would my loss of smell/taste not being 100% be considered a lingering symptom? Would I also be considered no longer contagious? Would love to get a test, but I don’t think at this stage I could get one. It’s been over a month since initial symptoms. 
I wish I could’ve been tested. With my college reopening (possibly) next month, I would love to know for certain i’m confirmed positive. i’m at this stage of not knowing what to do or if I can be around people or if I even had it!
26/F/O+
Symptoms were mild:
Shortness of breath
Chest pressure
Cough
Loss of smell/taste
Diarrhea
Loss of appetite 
1 day of fever, chills, body aches
8 days of delirium &amp;amp; body “vibrations.”
Anyone else going through the same thing?</t>
        </is>
      </c>
      <c r="D1413" t="n">
        <v>1</v>
      </c>
      <c r="E1413" t="n">
        <v>11</v>
      </c>
      <c r="F1413">
        <f>HYPERLINK("https://www.reddit.com/r/COVID19positive/comments/gr46oi/immunitycontagious_with_lingering_symptom/")</f>
        <v/>
      </c>
      <c r="G1413" t="inlineStr">
        <is>
          <t>2020-05-26 12:48:17</t>
        </is>
      </c>
      <c r="H1413" t="inlineStr">
        <is>
          <t>Presumed Positive - From Doctor</t>
        </is>
      </c>
    </row>
    <row r="1414">
      <c r="A1414" t="inlineStr">
        <is>
          <t>gr565l</t>
        </is>
      </c>
      <c r="B1414" t="inlineStr">
        <is>
          <t>Getting my Torax Rx today</t>
        </is>
      </c>
      <c r="C1414" t="inlineStr">
        <is>
          <t>15 days with mild to moderate symtpoms and today I'm finally getting a Chest x-ray to see how my lungs are. Kinda nervous about it, I feel ok but it's always the fear of lung damage with this thing or somekind of pneumonia. I've had my SP numbers in the low 90s sometimes but mostly they're 94 to 97. I'll keep you posted with the results, keep me in your prayers for a positive outcome of the test! Thanks for all the support guys, can't wait to change my flair to survivor.</t>
        </is>
      </c>
      <c r="D1414" t="n">
        <v>1</v>
      </c>
      <c r="E1414" t="n">
        <v>2</v>
      </c>
      <c r="F1414">
        <f>HYPERLINK("https://www.reddit.com/r/COVID19positive/comments/gr565l/getting_my_torax_rx_today/")</f>
        <v/>
      </c>
      <c r="G1414" t="inlineStr">
        <is>
          <t>2020-05-26 13:39:52</t>
        </is>
      </c>
      <c r="H1414" t="inlineStr">
        <is>
          <t>Tested Positive</t>
        </is>
      </c>
    </row>
    <row r="1415">
      <c r="A1415" t="inlineStr">
        <is>
          <t>gr60h3</t>
        </is>
      </c>
      <c r="B1415" t="inlineStr">
        <is>
          <t>Can hear my own heartbeats loudly in my ears, pulsative tinnitus?</t>
        </is>
      </c>
      <c r="C1415" t="inlineStr">
        <is>
          <t>Just wondering if someone else is having this symptom. It came rather late in the illness. I'm 6 weeks in and this started happening a couple of days ago although I've had pain my ears and felt a strange pressure with ringing sounds now and then.
So basically I can hear my own heartbeats in my ears and it's LOUD. Feels like something is pulsating in my whole head. Never had this before. When I put pressure on my ears it stops. When I release I can hear it again loudly and clearly.
 It's really messing with my sleep and I can't relax.
If anyone here has it, what have you done to make it go away?</t>
        </is>
      </c>
      <c r="D1415" t="n">
        <v>1</v>
      </c>
      <c r="E1415" t="n">
        <v>20</v>
      </c>
      <c r="F1415">
        <f>HYPERLINK("https://www.reddit.com/r/COVID19positive/comments/gr60h3/can_hear_my_own_heartbeats_loudly_in_my_ears/")</f>
        <v/>
      </c>
      <c r="G1415" t="inlineStr">
        <is>
          <t>2020-05-26 14:25:12</t>
        </is>
      </c>
      <c r="H1415" t="inlineStr">
        <is>
          <t>Presumed Positive - From Test</t>
        </is>
      </c>
    </row>
    <row r="1416">
      <c r="A1416" t="inlineStr">
        <is>
          <t>gr6hmd</t>
        </is>
      </c>
      <c r="B1416" t="inlineStr">
        <is>
          <t>Dad (60M) has The Unholy Trinity: Parkinson's, Covid-19, and Alpha Gal</t>
        </is>
      </c>
      <c r="C1416" t="inlineStr">
        <is>
          <t>I haven't seen anything on here about people with Parkinson's Disease and Covid, so I thought I'd share my dad's experience so far:
First of all, the past few weeks have been terrifying. I'll go in a lot more detail if people want me to but since this subreddit is mainly for Covid-19, I'll focus on what's relevant. So, my dad has three conditions that we're worried about: Covid-19, Parkinson's Disease (a progressive nervous system disorder), and Alpha Gal (a tickborne disease that causes weird allergies, particularly to red meat.) Around the end of April, Dad started having these episodes with breathing difficulties that almost mimicked asthma attacks. He was in and out of the emergency room and eventually, after two negative Covid-19 tests, it was determined that his issues were likely the result of not taking his medication regularly (which would cause stiffness and difficulty moving muscles) and anxiety. Basically, he'd have an issue with his airway and then he'd panic to the point where he couldn't breathe. 
It was decided a few weeks ago that he would live with my brother and his fiancee while we were trying to decide what was wrong with him. At this point we had an idea, but we were pretty far away from knowing how to help him manage it and at this point, he couldn't really live alone. Then a week ago, I was taking him to physical therapy when he had another one of these attacks. At this point, I had never actually seen him go through these before and I decided to have him taken to the hospital. It was there we realized he has Alpha Gal, a tickborne disease that causes him to have some really weird allergies that he's never experienced before. Basically, what we know now is that some of his episodes are triggered by allergic reactions but they're made much, much worse by panicking. Then, the last time he was at the hospital he tested positive for covid. Honestly, it's kind of a mystery as to how he got it because none of the people around him- my brother, brother's fiancee, mom, or me- tested positive or showed symptoms lately. Our best guess is that he got it on one of these trips to the emergency room. 
As of now, he's staying with me because my brother's fiancee takes medication that suppresses her immune system, so I've gotten a pretty good idea of what his symptoms are. Overall, they've been especially mild. The only symptoms I've noticed that specifically seems like it could be traced back to Covid are fatigue and runny nose. I'm extremely thankful for this because honestly, if Dad even had a moderate case, we'd have a lot more cause to worry. Now, due to his Parkinson's he has pretty noticeable mobility issues and hallucinations and honestly, they're much more of an issue than anything Covid-related. The good news for that is that we obviously have medication to manage the effects, versus a virus that we have no specific treatment for yet. 
Anyway, I know this is a very super-specific case but if anyone has any similar experience or knows anyone with similar experiences, I'd like to hear about it. Apologies if this was a bit confusing to read- I'm not used to posting things with this much detail.</t>
        </is>
      </c>
      <c r="D1416" t="n">
        <v>1</v>
      </c>
      <c r="E1416" t="n">
        <v>10</v>
      </c>
      <c r="F1416">
        <f>HYPERLINK("https://www.reddit.com/r/COVID19positive/comments/gr6hmd/dad_60m_has_the_unholy_trinity_parkinsons_covid19/")</f>
        <v/>
      </c>
      <c r="G1416" t="inlineStr">
        <is>
          <t>2020-05-26 14:51:36</t>
        </is>
      </c>
      <c r="H1416" t="inlineStr">
        <is>
          <t>Tested Positive - Family</t>
        </is>
      </c>
    </row>
    <row r="1417">
      <c r="A1417" t="inlineStr">
        <is>
          <t>gr6xxk</t>
        </is>
      </c>
      <c r="B1417" t="inlineStr">
        <is>
          <t>Pollen allergy more severe now than before Corona</t>
        </is>
      </c>
      <c r="C1417" t="inlineStr">
        <is>
          <t>I'm 6 weeks in and I feel fairly normal, just more tired etc. However I've noticed that my pollen allergy is much more severe than before I got sick. I had very mild symptoms before, but now I have watery eyes and runny nose, my nose itch like crazy, I have phlehm in my throat (didn't even have this when I was sick) etc.
Have you also noticed increased allergy symptoms after your Corona infection?</t>
        </is>
      </c>
      <c r="D1417" t="n">
        <v>1</v>
      </c>
      <c r="E1417" t="n">
        <v>6</v>
      </c>
      <c r="F1417">
        <f>HYPERLINK("https://www.reddit.com/r/COVID19positive/comments/gr6xxk/pollen_allergy_more_severe_now_than_before_corona/")</f>
        <v/>
      </c>
      <c r="G1417" t="inlineStr">
        <is>
          <t>2020-05-26 15:16:39</t>
        </is>
      </c>
      <c r="H1417" t="inlineStr">
        <is>
          <t>Presumed Positive - From Test</t>
        </is>
      </c>
    </row>
    <row r="1418">
      <c r="A1418" t="inlineStr">
        <is>
          <t>gr7kjy</t>
        </is>
      </c>
      <c r="B1418" t="inlineStr">
        <is>
          <t>Post viral fatigue syndrome - Has anyone here successfully attained a Doctor’s note to excuse themselves from work due to Post viral fatigue Syndrome? Or be given the permission to progressively return to work?</t>
        </is>
      </c>
      <c r="C1418" t="inlineStr">
        <is>
          <t>Hi, 
31F here. I tested positive for the first time on March 23rd and 4 more times after that before finally getting two negatives and getting the all clear from my work’s Health and Prevention department to return to work. 
Unfortunately it hasn’t been going well as I still have symptoms lurking such as head aches, sore throat, ear aches, dizziness and overall fatigue. On my first day back yesterday I started re-experiencing chest pains when I walked to the Metro/Subway. Same thing happened when I walked back. Today I woke up with another bad head ache and at the advice of a Doctor, I went to the ER. Chest Xray, blood work and EKG came back clear. 
The ER doctor suggested I see a family doctor and get a doctor’s note for post viral fatigue syndrome so that I can gradually return to work instead of being thrown right back. My work is giving me a hard time. They wanted me back to work asap and made me get tested every 3 days until I was able to get a Doctor’s note telling them to wait a couple weeks. This doctor is just a random doctor who isn’t taking new patients. 
So Here I am wondering if anyone was granted the permission to gradually return to work and if so how you did it. 
Having to explain how bad I still feel has been a struggle. It feels like most people just don’t understand the impact covid19 has on people until they get it themselves or have a loved one infected.</t>
        </is>
      </c>
      <c r="D1418" t="n">
        <v>1</v>
      </c>
      <c r="E1418" t="n">
        <v>59</v>
      </c>
      <c r="F1418">
        <f>HYPERLINK("https://www.reddit.com/r/COVID19positive/comments/gr7kjy/post_viral_fatigue_syndrome_has_anyone_here/")</f>
        <v/>
      </c>
      <c r="G1418" t="inlineStr">
        <is>
          <t>2020-05-26 15:52:06</t>
        </is>
      </c>
      <c r="H1418" t="inlineStr">
        <is>
          <t>Tested Positive - Me</t>
        </is>
      </c>
    </row>
    <row r="1419">
      <c r="A1419" t="inlineStr">
        <is>
          <t>gr7ue0</t>
        </is>
      </c>
      <c r="B1419" t="inlineStr">
        <is>
          <t>Had a "mild" case (no O2 or hospitalization) and was sickest I've been in my life. Recovered a month ago. Been back to work. Had total loss of taste and smell, mostly recovered. But just after recovering.. Random eye pains?</t>
        </is>
      </c>
      <c r="C1419" t="inlineStr">
        <is>
          <t>Still have them. Not severe, just noticeable and uncomfortable. Anyone else run into this?</t>
        </is>
      </c>
      <c r="D1419" t="n">
        <v>1</v>
      </c>
      <c r="E1419" t="n">
        <v>11</v>
      </c>
      <c r="F1419">
        <f>HYPERLINK("https://www.reddit.com/r/COVID19positive/comments/gr7ue0/had_a_mild_case_no_o2_or_hospitalization_and_was/")</f>
        <v/>
      </c>
      <c r="G1419" t="inlineStr">
        <is>
          <t>2020-05-26 16:07:57</t>
        </is>
      </c>
      <c r="H1419" t="inlineStr">
        <is>
          <t>Tested Positive</t>
        </is>
      </c>
    </row>
    <row r="1420">
      <c r="A1420" t="inlineStr">
        <is>
          <t>gr9a9a</t>
        </is>
      </c>
      <c r="B1420" t="inlineStr">
        <is>
          <t>Depression and nonchalance in a COVID-19 person. Is it normal?</t>
        </is>
      </c>
      <c r="C1420" t="inlineStr">
        <is>
          <t>It seems like I have no energy to do anything anymore. Like, no motivation or drive. I go to my online meetings for my awesome dream job, I do my work for class (college student), but other than that I’m just hella tired and depressed. I no longer wanna do fun stuff. I don’t wanna watch TV or such. I just wanna sit in bed and cry for some reason. I just am burnt out. I have a class project to finish but I’m too tired to do anything. I’m waiting for the hospital to call me back for my swab and antibody test appointment tomorrow. My partner was trying to talk nicely to me and be cutesy and affectionate (verbally) and I was having none of it. I was so burnt out and tired I don’t want to feel anything anymore. Sometimes I just wanna spend the entire day asleep.
I have diagnosed depression and I’m on Lexapro + therapy (have been for one year) and my progress was immense. I’m just tired. Very very very tired. And emotionally drained.
Does any other COVID-19 positive person feel this way, like they’re emotionally burnt out and depressed/sad/emotionless?</t>
        </is>
      </c>
      <c r="D1420" t="n">
        <v>1</v>
      </c>
      <c r="E1420" t="n">
        <v>21</v>
      </c>
      <c r="F1420">
        <f>HYPERLINK("https://www.reddit.com/r/COVID19positive/comments/gr9a9a/depression_and_nonchalance_in_a_covid19_person_is/")</f>
        <v/>
      </c>
      <c r="G1420" t="inlineStr">
        <is>
          <t>2020-05-26 17:34:48</t>
        </is>
      </c>
      <c r="H1420" t="inlineStr">
        <is>
          <t>Presumed Positive - From Doctor</t>
        </is>
      </c>
    </row>
    <row r="1421">
      <c r="A1421" t="inlineStr">
        <is>
          <t>gr9o8j</t>
        </is>
      </c>
      <c r="B1421" t="inlineStr">
        <is>
          <t>COVID positive person does not stay inside their room and invites boyfriend over</t>
        </is>
      </c>
      <c r="C1421" t="inlineStr">
        <is>
          <t xml:space="preserve">
I live with my bf’s family and one of his sisters is COVID positive. We are a lot of people in the same house (7 + 5 dogs) and I am really scared that she is not following the necessary precautions and may be putting us at risk. 
She felt sick around Saturday and was walking around the house with no gloves or mask on. Once she was officially told she was positive she has not stayed in her room, and has been hanging out with her boyfriend who later pets the dogs and spends times around us. They both spend most of their day outside in the yard. Both use their masks but I am not sure about gloves. She walks in and out the house no matter of who is around and as she passes by the dogs she touches them.
She works for the county so her family has been interviewed and we are quarantines until June 5. But how high is the risk of also getting the virus?</t>
        </is>
      </c>
      <c r="D1421" t="n">
        <v>1</v>
      </c>
      <c r="E1421" t="n">
        <v>5</v>
      </c>
      <c r="F1421">
        <f>HYPERLINK("https://www.reddit.com/r/COVID19positive/comments/gr9o8j/covid_positive_person_does_not_stay_inside_their/")</f>
        <v/>
      </c>
      <c r="G1421" t="inlineStr">
        <is>
          <t>2020-05-26 17:59:33</t>
        </is>
      </c>
      <c r="H1421" t="inlineStr">
        <is>
          <t>Tested Positive - Family</t>
        </is>
      </c>
    </row>
    <row r="1422">
      <c r="A1422" t="inlineStr">
        <is>
          <t>graocs</t>
        </is>
      </c>
      <c r="B1422" t="inlineStr">
        <is>
          <t>Anyone visit an Infectious Disease Dr.?</t>
        </is>
      </c>
      <c r="C1422" t="inlineStr">
        <is>
          <t>Wondering if anyone has visited an Infectious Disease Doctor. If so, did you find it helpful, and what were your symptoms? I'm mostly experiencing Neuro stuff now, and am most curious about how an ID Dr. could possibly treat that.
&amp;amp;#x200B;
I am trying to get referred to an ID, but my PCP says it probably won't do me any good, due to there being no real treatment protocol. My PCP is probably right. But wondering what others' experience might be.</t>
        </is>
      </c>
      <c r="D1422" t="n">
        <v>1</v>
      </c>
      <c r="E1422" t="n">
        <v>5</v>
      </c>
      <c r="F1422">
        <f>HYPERLINK("https://www.reddit.com/r/COVID19positive/comments/graocs/anyone_visit_an_infectious_disease_dr/")</f>
        <v/>
      </c>
      <c r="G1422" t="inlineStr">
        <is>
          <t>2020-05-26 19:04:03</t>
        </is>
      </c>
      <c r="H1422" t="inlineStr">
        <is>
          <t>Presumed Positive - From Doctor</t>
        </is>
      </c>
    </row>
    <row r="1423">
      <c r="A1423" t="inlineStr">
        <is>
          <t>grav1k</t>
        </is>
      </c>
      <c r="B1423" t="inlineStr">
        <is>
          <t>I have a temperature of 105?</t>
        </is>
      </c>
      <c r="C1423" t="inlineStr">
        <is>
          <t>I went to the dentist today for an appointment. I waited for 20 minutes inside wearing a face mask, when they called me up they took my forehead temperature and said I had a temperature of 104.5, I asked if they could check again and they said it was now 105. 
Should I be worried? 
What should I do? 
I don’t feel sick?
My dad has heart disease and I want to make sure that me and him are safe so any help would be much appreciated.</t>
        </is>
      </c>
      <c r="D1423" t="n">
        <v>1</v>
      </c>
      <c r="E1423" t="n">
        <v>12</v>
      </c>
      <c r="F1423">
        <f>HYPERLINK("https://www.reddit.com/r/COVID19positive/comments/grav1k/i_have_a_temperature_of_105/")</f>
        <v/>
      </c>
      <c r="G1423" t="inlineStr">
        <is>
          <t>2020-05-26 19:16:10</t>
        </is>
      </c>
      <c r="H1423" t="inlineStr">
        <is>
          <t>Presumed Positive - From Test</t>
        </is>
      </c>
    </row>
    <row r="1424">
      <c r="A1424" t="inlineStr">
        <is>
          <t>grb5w8</t>
        </is>
      </c>
      <c r="B1424" t="inlineStr">
        <is>
          <t>My entire family is infected. We are on day 7/8</t>
        </is>
      </c>
      <c r="C1424" t="inlineStr">
        <is>
          <t>So, we came out as positive for COVID-19. My dad (57) had a fever and some rough coughing after day 2 but has been feeling better after 8 days, with just some headaches and lost of smell and taste. My mom, also 57, lost only her smell at first and now has some ugly cough. Me, 30, I have some cough and constipation. My youngest brother is 25 and has cough. I lost my smell and taste today, while my brother only lost his smell.
We are on day 7 while my dad is on day 8. We are so scared about it getting worst, even when we have been feeling better day by day. My dad suffers from high blood pressure while my mom is good at getting sick but I'm sure it doesn't suffer from any chronic disease.
Are we gonna be alright? I'm not scared for me but for my parents. Stay at home and stay safe if you can.</t>
        </is>
      </c>
      <c r="D1424" t="n">
        <v>1</v>
      </c>
      <c r="E1424" t="n">
        <v>35</v>
      </c>
      <c r="F1424">
        <f>HYPERLINK("https://www.reddit.com/r/COVID19positive/comments/grb5w8/my_entire_family_is_infected_we_are_on_day_78/")</f>
        <v/>
      </c>
      <c r="G1424" t="inlineStr">
        <is>
          <t>2020-05-26 19:36:17</t>
        </is>
      </c>
      <c r="H1424" t="inlineStr">
        <is>
          <t>Tested Positive - Family</t>
        </is>
      </c>
    </row>
    <row r="1425">
      <c r="A1425" t="inlineStr">
        <is>
          <t>grbcgp</t>
        </is>
      </c>
      <c r="B1425" t="inlineStr">
        <is>
          <t>How long on average it takes to recover?</t>
        </is>
      </c>
      <c r="C1425" t="inlineStr">
        <is>
          <t>I'm on my day 5, symptoms haven't worsened but I still have my fever which doesn't seems to be going, how long will it be until I recover if going by the average?</t>
        </is>
      </c>
      <c r="D1425" t="n">
        <v>1</v>
      </c>
      <c r="E1425" t="n">
        <v>6</v>
      </c>
      <c r="F1425">
        <f>HYPERLINK("https://www.reddit.com/r/COVID19positive/comments/grbcgp/how_long_on_average_it_takes_to_recover/")</f>
        <v/>
      </c>
      <c r="G1425" t="inlineStr">
        <is>
          <t>2020-05-26 19:48:52</t>
        </is>
      </c>
      <c r="H1425" t="inlineStr">
        <is>
          <t>Presumed Positive - From Doctor</t>
        </is>
      </c>
    </row>
    <row r="1426">
      <c r="A1426" t="inlineStr">
        <is>
          <t>grcoeg</t>
        </is>
      </c>
      <c r="B1426" t="inlineStr">
        <is>
          <t>I’m a hypochondriac - was I exposed?</t>
        </is>
      </c>
      <c r="C1426" t="inlineStr">
        <is>
          <t>I was in contact with my immunosuppressed mom (in her car, she was driving with her window down, no mask, I was in the back seat diagonal from her, wearing a mask).
My mom was in contact with her friend a few days before, they went on a walk together (neither wore masks but apparently they social distanced...)
Her friend was in contact with her own mom, not sure the details on that but definitely no masks but probably more or less 6 ft apart,
and that mom was in contact with a confirmed case. 
So it was COVID &amp;gt; PERSON &amp;gt; PERSON &amp;gt; PERSON &amp;gt; ME.
So far,nobody in this chain is symptomatic, but the original person was only diagnosed about a week ago, so if my mom got it, I don’t know if she would be symptomatic right away due to being immunosuppressed, or if it would still take 2 weeks to incubate?
but anyway, when I was around my mom I wore a mask, and she wore a mask for only part of the time. Like I said when we were in the car, she had the window down driving and I was in the back furthest from her with a mask. I didn’t touch my face or anything around her, and when I got back to my house I cleaned my hands with alcohol and washed them.
Do you think I’m good or should I freak out</t>
        </is>
      </c>
      <c r="D1426" t="n">
        <v>1</v>
      </c>
      <c r="E1426" t="n">
        <v>8</v>
      </c>
      <c r="F1426">
        <f>HYPERLINK("https://www.reddit.com/r/COVID19positive/comments/grcoeg/im_a_hypochondriac_was_i_exposed/")</f>
        <v/>
      </c>
      <c r="G1426" t="inlineStr">
        <is>
          <t>2020-05-26 21:21:00</t>
        </is>
      </c>
      <c r="H1426" t="inlineStr">
        <is>
          <t>Tested Positive - Friends</t>
        </is>
      </c>
    </row>
    <row r="1427">
      <c r="A1427" t="inlineStr">
        <is>
          <t>grcx8j</t>
        </is>
      </c>
      <c r="B1427" t="inlineStr">
        <is>
          <t>Was your second wave of symptoms worse or better than the first one?</t>
        </is>
      </c>
      <c r="C1427" t="inlineStr">
        <is>
          <t>My mom tested positive, positive, then negative.  She’s been symptom free for 3 weeks now. Today she complained of a mild cough coming back and we’re getting scared if this is a second wave and she got a false negative. We really thought it was the end, but now I’m scared to do it all over again. I’m just wondering if this time around will be even harder for her, or a little better.</t>
        </is>
      </c>
      <c r="D1427" t="n">
        <v>1</v>
      </c>
      <c r="E1427" t="n">
        <v>16</v>
      </c>
      <c r="F1427">
        <f>HYPERLINK("https://www.reddit.com/r/COVID19positive/comments/grcx8j/was_your_second_wave_of_symptoms_worse_or_better/")</f>
        <v/>
      </c>
      <c r="G1427" t="inlineStr">
        <is>
          <t>2020-05-26 21:38:37</t>
        </is>
      </c>
      <c r="H1427" t="inlineStr">
        <is>
          <t>Tested Positive - Family</t>
        </is>
      </c>
    </row>
    <row r="1428">
      <c r="A1428" t="inlineStr">
        <is>
          <t>grcxts</t>
        </is>
      </c>
      <c r="B1428" t="inlineStr">
        <is>
          <t>I have a friend test positive and she's complaining of hunger</t>
        </is>
      </c>
      <c r="C1428" t="inlineStr">
        <is>
          <t>So basically my friend tested positive 5 days ago and for the past 2 days she's been complaining of extreme hunger and she's been eating regularly. I've tried google but it hasn't given any results so does anybody know what to do?</t>
        </is>
      </c>
      <c r="D1428" t="n">
        <v>1</v>
      </c>
      <c r="E1428" t="n">
        <v>7</v>
      </c>
      <c r="F1428">
        <f>HYPERLINK("https://www.reddit.com/r/COVID19positive/comments/grcxts/i_have_a_friend_test_positive_and_shes/")</f>
        <v/>
      </c>
      <c r="G1428" t="inlineStr">
        <is>
          <t>2020-05-26 21:39:51</t>
        </is>
      </c>
      <c r="H1428" t="inlineStr">
        <is>
          <t>Tested Positive - Friends</t>
        </is>
      </c>
    </row>
    <row r="1429">
      <c r="A1429" t="inlineStr">
        <is>
          <t>grddvz</t>
        </is>
      </c>
      <c r="B1429" t="inlineStr">
        <is>
          <t>Positive for Pneunonia, not feeling really bad...</t>
        </is>
      </c>
      <c r="C1429" t="inlineStr">
        <is>
          <t>Hi, sorry for all the post but it seems every week there's something new with this thing. So I'm on week 2 (day 15) feeling better since yesterday, symptoms are night sweats and mild fatigue, I barely cough or sneeze now, no more headache or diarreah, no more sense of being completely ill, I really thought I was out of it and my doctor ordered torax Rx to see my lungs. There's no liquid but some Pulmonary Infiltrates and my right diaphragm is higher than it should be, so my doctor says I have Pneumonia. I can't beleive it  but saw the xray and my lungs aren't clear at all. 
I'm frightened again, thinking of those times my SP went down to 93 or 92 and being more aware of my breathing. I really thought I was out of this and now I'm getting more tests tomorrow and a CT on my lungs. 
If I don't feel like shit can I still have Pneumonia? I'm not even coughing and I can breathe without pain.</t>
        </is>
      </c>
      <c r="D1429" t="n">
        <v>1</v>
      </c>
      <c r="E1429" t="n">
        <v>9</v>
      </c>
      <c r="F1429">
        <f>HYPERLINK("https://www.reddit.com/r/COVID19positive/comments/grddvz/positive_for_pneunonia_not_feeling_really_bad/")</f>
        <v/>
      </c>
      <c r="G1429" t="inlineStr">
        <is>
          <t>2020-05-26 22:13:28</t>
        </is>
      </c>
      <c r="H1429" t="inlineStr">
        <is>
          <t>Tested Positive</t>
        </is>
      </c>
    </row>
    <row r="1430">
      <c r="A1430" t="inlineStr">
        <is>
          <t>grh36s</t>
        </is>
      </c>
      <c r="B1430" t="inlineStr">
        <is>
          <t>50 year old step dad and his 95 year old dad both beat the coronavirus.</t>
        </is>
      </c>
      <c r="C1430" t="inlineStr">
        <is>
          <t>They both first got diagnosed 3 and a half weeks back. 
Mom's boyfriend (50) who doesn't live with us, caught it from his work and had to avoid seeing us. He had a cough and a fever to start with. Got tested with a posstive result coming back. 
Then by about  the 7th day he his body ached from head to toe and could hardly move. He said he felt like he'd been hit by car. His fever was so bad he was "too hot to touch". He was considering taking himself into hospital because there wasn't much he could do. (he lives in a shared house currently). So he ended up just facetiming my mom and eating nothing but drinking water all the days. 
After about day 11 his aches were reduced, but only felt tired and dizzy. His cough and fever dropped dramatically, and was able to carry on tasks he'd usually do. 
From about then he's been extremely well with only a slight cough. He's currently back at work and nothing is getting in his way. He's currently on day 24 and he just got tested negative.
And for his dad (95) his symptoms were a little worse. He got tested about 2 days after my mom's. bf and came back positive too. (I don't know the full ins and outs from this) 
So his dad lives on his own as well, he's 95 and he has no underlying health conditions. He can do most of his daily tasks without a problem anyway. His case of the virus he said was "fine". Hes a stubborn person and always says this. But in this situation we believed him. 
My mom's bf usually sees him every Wednesday and Saturday and spends time with him. This is how we think he caught it. Because he doesn't see anybody else but him and he hardly goes outside at all.
As my mom's bf couldn't leave the house due to covid &amp;amp; it set his dad crazy. He started worrying about the virus, he didn't look after himself and to be fair he got quite depressed about it. My mom's. Bf would call him everyday at 1pm until one day he didn't answer the phone.
He got extremely worried about his dad not answering the phone so he called his daughter to go and check on him, despite him having coronavirus. Plus she was the only other person who had the key to his place. 
When she got in he was lay unconscious on the floor. He'd been that way for at least 20 hours.
He got rushed into hospital and he was severely dehydrated. And got diagnosed with coronavirus related puemonia.
(from this point I have no idea in detail what went on)
But all what I do know now is, he's been discharged from hospital and he's back to his normal self. (presuming he's over the worse) and he's symptom free up to this day. He will be tested soon, but everyone's very sure he's going to be okay. 
My mom's bf daughter and her family got tested after this and they all came back negative. 
It's been a dramatic month for everybody in this family. But never lose hope. If these 2 men can get through it (and by god they're so stubborn most of the time) then there's hope. Hope for everyone.
I wanted to spread the good news because there is a lot of worrying posts here that can heighten people's anxiety. (I'm one of them.)
If you have any questions feel free to ask. I can sometimes leave detail out the story without realising. If I know the answers to them I will answer them happily.</t>
        </is>
      </c>
      <c r="D1430" t="n">
        <v>1</v>
      </c>
      <c r="E1430" t="n">
        <v>4</v>
      </c>
      <c r="F1430">
        <f>HYPERLINK("https://www.reddit.com/r/COVID19positive/comments/grh36s/50_year_old_step_dad_and_his_95_year_old_dad_both/")</f>
        <v/>
      </c>
      <c r="G1430" t="inlineStr">
        <is>
          <t>2020-05-27 03:16:22</t>
        </is>
      </c>
      <c r="H1430" t="inlineStr">
        <is>
          <t>Tested Positive - Family</t>
        </is>
      </c>
    </row>
    <row r="1431">
      <c r="A1431" t="inlineStr">
        <is>
          <t>griywj</t>
        </is>
      </c>
      <c r="B1431" t="inlineStr">
        <is>
          <t>Long illness Antibody test Negative</t>
        </is>
      </c>
      <c r="C1431" t="inlineStr">
        <is>
          <t>Ok I don’t like sounding like I am a nut job. What if something else is spreading and they aren’t looking for it because of Corona? What if this disease isn’t what they think it is? A lot of people had to get 3+ pcr tests before testing positive. I feel like we are being duped. Tested positive in March still have symptoms. Same with my daughter. NO antibodies. I see a lot of people don’t have them but the asymptomatic people test for them. How is this possible? This virus is not cut and dry. Something else is going on. I know I sound insane but I have never been more terrified in my life. Like what if I have caught a different virus they don’t even know to look for that is killing me slowly?  I’m tired maybe that’s why I’m so paranoid. But what are the chances there is something else going on?!</t>
        </is>
      </c>
      <c r="D1431" t="n">
        <v>1</v>
      </c>
      <c r="E1431" t="n">
        <v>27</v>
      </c>
      <c r="F1431">
        <f>HYPERLINK("https://www.reddit.com/r/COVID19positive/comments/griywj/long_illness_antibody_test_negative/")</f>
        <v/>
      </c>
      <c r="G1431" t="inlineStr">
        <is>
          <t>2020-05-27 05:39:42</t>
        </is>
      </c>
      <c r="H1431" t="inlineStr">
        <is>
          <t>Tested Positive</t>
        </is>
      </c>
    </row>
    <row r="1432">
      <c r="A1432" t="inlineStr">
        <is>
          <t>grk0uh</t>
        </is>
      </c>
      <c r="B1432" t="inlineStr">
        <is>
          <t>Its day 18 and the virus cycle has changes in the last 4 days .</t>
        </is>
      </c>
      <c r="C1432" t="inlineStr">
        <is>
          <t>So i feel extremely ill in the morning but it clears up mid day (2pm) where i feel alot better until about 5-6pm where i start to feel very ill again but not as bad as the morning wave , and that lasts until i go to sleep.
Has anyone experienced this?</t>
        </is>
      </c>
      <c r="D1432" t="n">
        <v>1</v>
      </c>
      <c r="E1432" t="n">
        <v>19</v>
      </c>
      <c r="F1432">
        <f>HYPERLINK("https://www.reddit.com/r/COVID19positive/comments/grk0uh/its_day_18_and_the_virus_cycle_has_changes_in_the/")</f>
        <v/>
      </c>
      <c r="G1432" t="inlineStr">
        <is>
          <t>2020-05-27 06:46:33</t>
        </is>
      </c>
      <c r="H1432" t="inlineStr">
        <is>
          <t>Presumed Positive - From Doctor</t>
        </is>
      </c>
    </row>
    <row r="1433">
      <c r="A1433" t="inlineStr">
        <is>
          <t>grki2g</t>
        </is>
      </c>
      <c r="B1433" t="inlineStr">
        <is>
          <t>Mehhhhh still positive 23 days after initial positive</t>
        </is>
      </c>
      <c r="C1433" t="inlineStr">
        <is>
          <t>I feel good, my case was mild. Only thing is I still have some stomach issues. My test is still positive. The doctor said some people test positive up to 2 months after initial test, and that its probably viral shedding. She said they don’t think people like me are contagious at a level to infect anyone else. I have no problem being cautious to not infect anyone else, but I have to wonder how many people are in the same situation but never know it bc they don’t go for a retest? How long have any of you tested positive after your symptoms resolved?</t>
        </is>
      </c>
      <c r="D1433" t="n">
        <v>1</v>
      </c>
      <c r="E1433" t="n">
        <v>27</v>
      </c>
      <c r="F1433">
        <f>HYPERLINK("https://www.reddit.com/r/COVID19positive/comments/grki2g/mehhhhh_still_positive_23_days_after_initial/")</f>
        <v/>
      </c>
      <c r="G1433" t="inlineStr">
        <is>
          <t>2020-05-27 07:14:47</t>
        </is>
      </c>
      <c r="H1433" t="inlineStr">
        <is>
          <t>Tested Positive - Me</t>
        </is>
      </c>
    </row>
    <row r="1434">
      <c r="A1434" t="inlineStr">
        <is>
          <t>grn6zf</t>
        </is>
      </c>
      <c r="B1434" t="inlineStr">
        <is>
          <t>I see a lot of people posting about lingering symptoms well heres my story</t>
        </is>
      </c>
      <c r="C1434" t="inlineStr">
        <is>
          <t>This virus effected me very differently as i was tested positive where my really on symptoms where tightness in chest and heart palpitations and an overall brain frog, ive been going through symptoms from March 25 to now. And was tested positive April 3rd. What i’ve been realizing is you need to be very headstrong and have an positive outlook the more I worry about my disease and your health the more it seems to bother me. I recommend going back to normalcy try doing things you usually would do even stay off these subreddits if you can. Trust I was getting hit hard with symptoms i was causing myself it almost seems like. I may be wrong since we don’t know about this virus truly but meditate relax talk with your friends get out and do things if you’re able too I feel the covid caused serious anxiety in many people which doesn’t allow them to return to normalcy the mind can really affect your physical health and thats something people don’t really get stress and anxiety can cause stomach problems headaches wheezing heart palpitations its even made me feel extremely heavy just learn to relax live life like everything is normal of course get checked out by a doctor ASAP but for those coming back hearing their fine try living life like nothing happened.</t>
        </is>
      </c>
      <c r="D1434" t="n">
        <v>1</v>
      </c>
      <c r="E1434" t="n">
        <v>21</v>
      </c>
      <c r="F1434">
        <f>HYPERLINK("https://www.reddit.com/r/COVID19positive/comments/grn6zf/i_see_a_lot_of_people_posting_about_lingering/")</f>
        <v/>
      </c>
      <c r="G1434" t="inlineStr">
        <is>
          <t>2020-05-27 09:42:46</t>
        </is>
      </c>
      <c r="H1434" t="inlineStr">
        <is>
          <t>Tested Positive - Me</t>
        </is>
      </c>
    </row>
    <row r="1435">
      <c r="A1435" t="inlineStr">
        <is>
          <t>gro0z8</t>
        </is>
      </c>
      <c r="B1435" t="inlineStr">
        <is>
          <t>Chris cuomo CNN</t>
        </is>
      </c>
      <c r="C1435" t="inlineStr">
        <is>
          <t>He also is reporting weird after effects</t>
        </is>
      </c>
      <c r="D1435" t="n">
        <v>1</v>
      </c>
      <c r="E1435" t="n">
        <v>43</v>
      </c>
      <c r="F1435">
        <f>HYPERLINK("https://www.reddit.com/r/COVID19positive/comments/gro0z8/chris_cuomo_cnn/")</f>
        <v/>
      </c>
      <c r="G1435" t="inlineStr">
        <is>
          <t>2020-05-27 10:23:44</t>
        </is>
      </c>
      <c r="H1435" t="inlineStr">
        <is>
          <t>Tested Positive</t>
        </is>
      </c>
    </row>
    <row r="1436">
      <c r="A1436" t="inlineStr">
        <is>
          <t>grrmdf</t>
        </is>
      </c>
      <c r="B1436" t="inlineStr">
        <is>
          <t>My apartment vicinity/complex just managed to avoid a covid spread.</t>
        </is>
      </c>
      <c r="C1436" t="inlineStr">
        <is>
          <t>There's a roach problem at the bottom levels of my apartment.  I live on the top floor, so I don't see them much.  However, they sometimes manage to creep to the top levels, though I keep them out pretty effectively.  Anyways, last week, I told my rental office lady about the roach problem, and she said that an exterminator would be coming over to take care of the problem in a week.  He wouldn't be visiting rooms, but rather spraying around the building perimieters, since that's how the roaches are getting in. 
One week later today, and I called the rental office lady. Turns out the exterminator can't come over.  He decided to test himself. Turns out he's positive for covid, and he's now ill.  Thank goodness he decided to test himself.  The rental office lady would have been infected if he had visited her, as well as those who would have visited her office, and even those taking a walk around the building, etc.</t>
        </is>
      </c>
      <c r="D1436" t="n">
        <v>1</v>
      </c>
      <c r="E1436" t="n">
        <v>4</v>
      </c>
      <c r="F1436">
        <f>HYPERLINK("https://www.reddit.com/r/COVID19positive/comments/grrmdf/my_apartment_vicinitycomplex_just_managed_to/")</f>
        <v/>
      </c>
      <c r="G1436" t="inlineStr">
        <is>
          <t>2020-05-27 13:27:39</t>
        </is>
      </c>
      <c r="H1436" t="inlineStr">
        <is>
          <t>Tested Positive</t>
        </is>
      </c>
    </row>
    <row r="1437">
      <c r="A1437" t="inlineStr">
        <is>
          <t>grrsa2</t>
        </is>
      </c>
      <c r="B1437" t="inlineStr">
        <is>
          <t>Anyone else peeing all the time?</t>
        </is>
      </c>
      <c r="C1437" t="inlineStr">
        <is>
          <t>36/F/Non-smoker/No previous health issues 
I’m on day 10 and doing ok. Not really coughing or having respiratory symptoms thankfully, just achy, wiped out, dizzy and nauseated. The most puzzling symptom to me if that I’m peeing constantly. I feel like I have to go all the time. It doesn’t feel like a UTI and I’m not dehydrated, just peeing more. Is anybody else that’s confirmed positive dealing with this?</t>
        </is>
      </c>
      <c r="D1437" t="n">
        <v>1</v>
      </c>
      <c r="E1437" t="n">
        <v>24</v>
      </c>
      <c r="F1437">
        <f>HYPERLINK("https://www.reddit.com/r/COVID19positive/comments/grrsa2/anyone_else_peeing_all_the_time/")</f>
        <v/>
      </c>
      <c r="G1437" t="inlineStr">
        <is>
          <t>2020-05-27 13:36:14</t>
        </is>
      </c>
      <c r="H1437" t="inlineStr">
        <is>
          <t>Tested Positive</t>
        </is>
      </c>
    </row>
    <row r="1438">
      <c r="A1438" t="inlineStr">
        <is>
          <t>grrvp2</t>
        </is>
      </c>
      <c r="B1438" t="inlineStr">
        <is>
          <t>What’s next?</t>
        </is>
      </c>
      <c r="C1438" t="inlineStr">
        <is>
          <t>Hey guys.  I tested positive and i was showing symptoms from the 11th-16th of may but I’ve been feeling ok since then.  
My question is what happens to me if i keep testing positive but i keep showing no symptoms?
I’ve read a few posts on here about how people still test positive after a few months and I’m wondering if I really can’t work until i test negative?</t>
        </is>
      </c>
      <c r="D1438" t="n">
        <v>1</v>
      </c>
      <c r="E1438" t="n">
        <v>2</v>
      </c>
      <c r="F1438">
        <f>HYPERLINK("https://www.reddit.com/r/COVID19positive/comments/grrvp2/whats_next/")</f>
        <v/>
      </c>
      <c r="G1438" t="inlineStr">
        <is>
          <t>2020-05-27 13:41:11</t>
        </is>
      </c>
      <c r="H1438" t="inlineStr">
        <is>
          <t>Tested Positive</t>
        </is>
      </c>
    </row>
    <row r="1439">
      <c r="A1439" t="inlineStr">
        <is>
          <t>grtn9v</t>
        </is>
      </c>
      <c r="B1439" t="inlineStr">
        <is>
          <t>Day 15. Although I got a LOT of backlash for my last post...I wanted to update again.</t>
        </is>
      </c>
      <c r="C1439" t="inlineStr">
        <is>
          <t>So I tested positive the 11th, and negative the 21st. Posted 2 days ago about how I was great! I may have been a bit excited and also on a mini vacation with my family. 
I’m still doing really good! Let me start with that. 
I went back to work today (healthcare) and have some lingering symptoms such as pain in my chest and some fatigue, but only if I do a little too much. I don’t think I realized what symptoms kind of stuck around until I got back to my normal life. Again, I’m ok though. I’m using my inhaler as needed. No coughing, no fever, no more weird symptoms. Just the chest pain here and there, some shortness of breath If im walking to go visit a resident, and i was tired by the end of my shift. 
I had one coworker come back today too and we had been through literally the same thing. We chatted all day on and off and seemed like Covid twins lol. We left work initially within 2 days of one another. He also felt exactly like I did all day. 
I think these are pretty manageable things considering what I WAS like. I can live with this. I’m really happy to be back to work, but realizing I may not be 100% for a bit. I’m glad I went back mid-week so I can have the first few days to ease back in before the weekend. 
I would still like to continue my positive message (hopefully better said and better received this time) that not all cases are hard core for a long time, and not all symptoms stick around for months on end. I’m working. I’m living. 
I want to end this by saying i am SO fortunate and I know that. I have a couple more coworkers still out but don’t seem far behind me. Should be back within a few days too. I really hope each and every one of you recover well. Eat well. Sleep well. And also try your best! Don’t give up.</t>
        </is>
      </c>
      <c r="D1439" t="n">
        <v>1</v>
      </c>
      <c r="E1439" t="n">
        <v>10</v>
      </c>
      <c r="F1439">
        <f>HYPERLINK("https://www.reddit.com/r/COVID19positive/comments/grtn9v/day_15_although_i_got_a_lot_of_backlash_for_my/")</f>
        <v/>
      </c>
      <c r="G1439" t="inlineStr">
        <is>
          <t>2020-05-27 15:17:05</t>
        </is>
      </c>
      <c r="H1439" t="inlineStr">
        <is>
          <t>Tested Positive - Me</t>
        </is>
      </c>
    </row>
    <row r="1440">
      <c r="A1440" t="inlineStr">
        <is>
          <t>grv0oq</t>
        </is>
      </c>
      <c r="B1440" t="inlineStr">
        <is>
          <t>Energy level</t>
        </is>
      </c>
      <c r="C1440" t="inlineStr">
        <is>
          <t>How did you guys get your energy back up, I feel so tired and all I’ve been doing is sleeping , I’m a nurse and I go back to work soon and idk how I’m going to do it 😫</t>
        </is>
      </c>
      <c r="D1440" t="n">
        <v>1</v>
      </c>
      <c r="E1440" t="n">
        <v>13</v>
      </c>
      <c r="F1440">
        <f>HYPERLINK("https://www.reddit.com/r/COVID19positive/comments/grv0oq/energy_level/")</f>
        <v/>
      </c>
      <c r="G1440" t="inlineStr">
        <is>
          <t>2020-05-27 16:38:50</t>
        </is>
      </c>
      <c r="H1440" t="inlineStr">
        <is>
          <t>Tested Positive - Me</t>
        </is>
      </c>
    </row>
    <row r="1441">
      <c r="A1441" t="inlineStr">
        <is>
          <t>grv97k</t>
        </is>
      </c>
      <c r="B1441" t="inlineStr">
        <is>
          <t>Retesting COVID</t>
        </is>
      </c>
      <c r="C1441" t="inlineStr">
        <is>
          <t>Is retesting necessary after 14 days to go back to work? I still have symptoms but starting to feel better.</t>
        </is>
      </c>
      <c r="D1441" t="n">
        <v>1</v>
      </c>
      <c r="E1441" t="n">
        <v>3</v>
      </c>
      <c r="F1441">
        <f>HYPERLINK("https://www.reddit.com/r/COVID19positive/comments/grv97k/retesting_covid/")</f>
        <v/>
      </c>
      <c r="G1441" t="inlineStr">
        <is>
          <t>2020-05-27 16:52:54</t>
        </is>
      </c>
      <c r="H1441" t="inlineStr">
        <is>
          <t>Tested Positive - Me</t>
        </is>
      </c>
    </row>
    <row r="1442">
      <c r="A1442" t="inlineStr">
        <is>
          <t>grvtvf</t>
        </is>
      </c>
      <c r="B1442" t="inlineStr">
        <is>
          <t>My whole family is sick and it is probably from COVID-19</t>
        </is>
      </c>
      <c r="C1442" t="inlineStr">
        <is>
          <t>I(17M) had a fever and a headache so I stayed away from all of my family but then I vomited and now my fever is gone but i’m still tired and the headache is kinda there,my sister(21) has a headache so does my mother(52),my brother(18M) and my sister(19) have a fever and so does my dad(63). We have been taking precautions and wearing masks and gloves everytime we go out. My dad had a heart attack last year and he had to go through a triple bypass surgery,he has only gone out once ever since the pandemic began. We are really worried right now so I could use all the advice there is. 
Please and thank you. 
I’m posting here because the corona virus community doesn’t allow text posts.</t>
        </is>
      </c>
      <c r="D1442" t="n">
        <v>1</v>
      </c>
      <c r="E1442" t="n">
        <v>6</v>
      </c>
      <c r="F1442">
        <f>HYPERLINK("https://www.reddit.com/r/COVID19positive/comments/grvtvf/my_whole_family_is_sick_and_it_is_probably_from/")</f>
        <v/>
      </c>
      <c r="G1442" t="inlineStr">
        <is>
          <t>2020-05-27 17:28:17</t>
        </is>
      </c>
      <c r="H1442" t="inlineStr">
        <is>
          <t>Tested Positive - Family</t>
        </is>
      </c>
    </row>
    <row r="1443">
      <c r="A1443" t="inlineStr">
        <is>
          <t>grw93u</t>
        </is>
      </c>
      <c r="B1443" t="inlineStr">
        <is>
          <t>My COVID Experience this far</t>
        </is>
      </c>
      <c r="C1443" t="inlineStr">
        <is>
          <t>Started with body aches late Sunday night and chills while sleeping. Started getting a fever and a headache, which progressed to a 102 fever by Monday night. Felt better Tuesday morning, but fever was still hovering around 100, but then spiked to 103 as the evening wore on. Woke up last night to pee and fainted halfway through. Finally reached out to a doctor today and was told I am presumed to have Covid. However, fever is doing much better today- in the 98 range this morning, but has now gone up to 101.5. I think it is progressively getting better, but I sure do have brain fog right now.</t>
        </is>
      </c>
      <c r="D1443" t="n">
        <v>1</v>
      </c>
      <c r="E1443" t="n">
        <v>2</v>
      </c>
      <c r="F1443">
        <f>HYPERLINK("https://www.reddit.com/r/COVID19positive/comments/grw93u/my_covid_experience_this_far/")</f>
        <v/>
      </c>
      <c r="G1443" t="inlineStr">
        <is>
          <t>2020-05-27 17:54:59</t>
        </is>
      </c>
      <c r="H1443" t="inlineStr">
        <is>
          <t>Presumed Positive - From Doctor</t>
        </is>
      </c>
    </row>
    <row r="1444">
      <c r="A1444" t="inlineStr">
        <is>
          <t>grwbhr</t>
        </is>
      </c>
      <c r="B1444" t="inlineStr">
        <is>
          <t>6 weeks of hell, and I'm still going</t>
        </is>
      </c>
      <c r="C1444" t="inlineStr">
        <is>
          <t>So I am confirmed positive. I went to the ER bc my chest was in so much pain and it didn't feel right (this was during the second week). This is where they tested and diagnosed me. I currently have lower lung/rib pain which doctor confirmed is common in covid patients and just fluid built up at the bottom due to inflammation. I'm still in pain and its so fucking annoying. I know people are dying and it's really sad but even for the people who make it out the other end, it's a terrible, terrible experience. Tylenol and Ibuprofen did NOTHING. I'd say it was 20x worse than when I go h1n1 and 7x worse than when I had surgery. I'm 21, male, non smoker, and no pre existing conditions btw. Healthy bmi. I was curious does anyone know if they are giving patients in the hospital pain relievers other than Tylenol/Nsaid's? I'm baffled at how much pain I was in and my blood oxygen levels were fine. I had difficulty breathing and chest pain which were the worst two symptoms. It seems my body became extremely inflamed and fluid must of built up around the sac of my lungs and the sac of my heart (I'm assuming) bc I didn't have a cough or fever (crazy, i know) so no pneumonia. I'm glad I didn't have a stroke or pulmonary embolism. I probably could of had a minor one and thatd explain the tightness in the chest and shortness of breatu but most blood clots go away on their own, especially if your young. The ER doctor didn't bother looking which I mean I'm young and the whole blood clot story broke a few days after I was at the hospital.  Anyways, so how did y'all deal with the pain? Has anyone been hospitalized for it? I'm still having panic attacks bc of it so I'm trying to avoid other people's stories and the news right now bc I'm still having symptoms . In a few weeks I'll be more active here if anyone needs help or words of encouragement ❤️ I'm praying for y'all! Thanks</t>
        </is>
      </c>
      <c r="D1444" t="n">
        <v>1</v>
      </c>
      <c r="E1444" t="n">
        <v>22</v>
      </c>
      <c r="F1444">
        <f>HYPERLINK("https://www.reddit.com/r/COVID19positive/comments/grwbhr/6_weeks_of_hell_and_im_still_going/")</f>
        <v/>
      </c>
      <c r="G1444" t="inlineStr">
        <is>
          <t>2020-05-27 17:59:19</t>
        </is>
      </c>
      <c r="H1444" t="inlineStr">
        <is>
          <t>Tested Positive - Me</t>
        </is>
      </c>
    </row>
    <row r="1445">
      <c r="A1445" t="inlineStr">
        <is>
          <t>grx8ze</t>
        </is>
      </c>
      <c r="B1445" t="inlineStr">
        <is>
          <t>Has anyone tested negative for antibodies (IgG) only to test positive later on?</t>
        </is>
      </c>
      <c r="C1445" t="inlineStr">
        <is>
          <t>Just wondering the odds of this. I know the tests aren't the best.
I tested negative at Quest for IgG antibodies on Day 43.
This was shocking to me at the time. But I ended up having a relapse in symptoms around Day 50, which lasted about a week.
On Day 77 now with lingering chest pain my remaining concern. The rest is probably 85-90% better.
I am planning to get retested as I seemingly wasn't over the disease when I went on Day 43 (if this is indeed COVID), so possibly I didn't have antibodies yet?</t>
        </is>
      </c>
      <c r="D1445" t="n">
        <v>1</v>
      </c>
      <c r="E1445" t="n">
        <v>13</v>
      </c>
      <c r="F1445">
        <f>HYPERLINK("https://www.reddit.com/r/COVID19positive/comments/grx8ze/has_anyone_tested_negative_for_antibodies_igg/")</f>
        <v/>
      </c>
      <c r="G1445" t="inlineStr">
        <is>
          <t>2020-05-27 18:59:39</t>
        </is>
      </c>
      <c r="H1445" t="inlineStr">
        <is>
          <t>Presumed Positive - From Doctor</t>
        </is>
      </c>
    </row>
    <row r="1446">
      <c r="A1446" t="inlineStr">
        <is>
          <t>grxqek</t>
        </is>
      </c>
      <c r="B1446" t="inlineStr">
        <is>
          <t>While sick I didn’t quarantine from my husband and today we got his surprising antibody results</t>
        </is>
      </c>
      <c r="C1446" t="inlineStr">
        <is>
          <t>So I was sick in April (tested positive for COVID April 11th and then positive for antibodies on May 1st) with symptoms for the whole month of April. I live with my husband in a small NYC apartment and so we didn’t quarantine from each other- we slept in the same bed, shared the same thermometer, made out the whole time, didn’t wear masks inside, etc. Last week on 5/22 we went to citymd to get him tested (they use the Abbot test) and both his COVID swab and antibody test were negative!! We are super surprised by this because we assumed he was an asymptomatic carrier based on his high level of exposure to me. Also this specific test is supposed to have very good specificity based on recent study so unlikely false negative. So I wonder if he got sick and didn’t develop antibodies (my current theory although not a lot of studies yet on what percent of people actually got sick but didn’t develop measurable antibodies) or just didn’t get sick at all (seems unlikely to me based on how much he was exposed).</t>
        </is>
      </c>
      <c r="D1446" t="n">
        <v>1</v>
      </c>
      <c r="E1446" t="n">
        <v>135</v>
      </c>
      <c r="F1446">
        <f>HYPERLINK("https://www.reddit.com/r/COVID19positive/comments/grxqek/while_sick_i_didnt_quarantine_from_my_husband_and/")</f>
        <v/>
      </c>
      <c r="G1446" t="inlineStr">
        <is>
          <t>2020-05-27 19:31:30</t>
        </is>
      </c>
      <c r="H1446" t="inlineStr">
        <is>
          <t>Tested Positive - Me</t>
        </is>
      </c>
    </row>
    <row r="1447">
      <c r="A1447" t="inlineStr">
        <is>
          <t>grxsim</t>
        </is>
      </c>
      <c r="B1447" t="inlineStr">
        <is>
          <t>Need some reassurance about chest pain</t>
        </is>
      </c>
      <c r="C1447" t="inlineStr">
        <is>
          <t>For background I am 39F, virus free since 5/13. Last week I backtracked in my recovery, had stomach upset and loss of appetite, congestion and renewed sinus pressure. Started eating again but two days later had SOB and palpitations. Dr prescribed inhalers and sent me for a chest x-ray, which was clear, and put me on a waiting list for holter monitor. 
Meanwhile, I've been experiencing chest tightness and mild aches, as well as arm, armpit and shoulder/upper back pain.
Thing is I often have pain in my left arm due to a bad back/pinched nerve, but the pain has never been in the chest area and usually only down the outer arm. So I don't know what to think - should I be worried about the tightness? From earlier posts here it seems to be a common symptom and resolves itself without intervention.
The PA I spoke with today didn't sound worried and said to wait for the holter.</t>
        </is>
      </c>
      <c r="D1447" t="n">
        <v>1</v>
      </c>
      <c r="E1447" t="n">
        <v>6</v>
      </c>
      <c r="F1447">
        <f>HYPERLINK("https://www.reddit.com/r/COVID19positive/comments/grxsim/need_some_reassurance_about_chest_pain/")</f>
        <v/>
      </c>
      <c r="G1447" t="inlineStr">
        <is>
          <t>2020-05-27 19:35:18</t>
        </is>
      </c>
      <c r="H1447" t="inlineStr">
        <is>
          <t>Tested Positive - Me</t>
        </is>
      </c>
    </row>
    <row r="1448">
      <c r="A1448" t="inlineStr">
        <is>
          <t>grymy4</t>
        </is>
      </c>
      <c r="B1448" t="inlineStr">
        <is>
          <t>Tested Negative!</t>
        </is>
      </c>
      <c r="C1448" t="inlineStr">
        <is>
          <t>Good Evening all, 
&amp;amp;#x200B;
Tested positive on April 24th followed by two consecutive positive tests (may 7th/14th).
Finally tested negative this evening! Keep fighting guys and never give up. This reddit has helped me on many sleepless nights. 
&amp;amp;#x200B;
Be positive and never quit</t>
        </is>
      </c>
      <c r="D1448" t="n">
        <v>1</v>
      </c>
      <c r="E1448" t="n">
        <v>5</v>
      </c>
      <c r="F1448">
        <f>HYPERLINK("https://www.reddit.com/r/COVID19positive/comments/grymy4/tested_negative/")</f>
        <v/>
      </c>
      <c r="G1448" t="inlineStr">
        <is>
          <t>2020-05-27 20:32:42</t>
        </is>
      </c>
      <c r="H1448" t="inlineStr">
        <is>
          <t>Tested Positive</t>
        </is>
      </c>
    </row>
    <row r="1449">
      <c r="A1449" t="inlineStr">
        <is>
          <t>grz0s8</t>
        </is>
      </c>
      <c r="B1449" t="inlineStr">
        <is>
          <t>Anxiety and covid 19</t>
        </is>
      </c>
      <c r="C1449" t="inlineStr">
        <is>
          <t>If you are struggling with covid-19, the best thing to do is to stop thinking about it. I would ruminate and go on reddit, read news, worry of the chest tightness was about to kill me. However, I'm seeing the most improvement by meditating, going on walks, and focusing on work. This whole situation is scary but most people recover and if you are young, you have very little to worry about. It might take months to recover to like you were before, and that's normal of pneumonia. If you make it past 4 weeks and improve every week you have no reason to worry about getting seriously ill or dying, you are going to be ok. I worried for 2 whole months after getting sick and I really think it just made my recovery slower. 
Main point: most of us are going to be ok.</t>
        </is>
      </c>
      <c r="D1449" t="n">
        <v>1</v>
      </c>
      <c r="E1449" t="n">
        <v>8</v>
      </c>
      <c r="F1449">
        <f>HYPERLINK("https://www.reddit.com/r/COVID19positive/comments/grz0s8/anxiety_and_covid_19/")</f>
        <v/>
      </c>
      <c r="G1449" t="inlineStr">
        <is>
          <t>2020-05-27 20:59:21</t>
        </is>
      </c>
      <c r="H1449" t="inlineStr">
        <is>
          <t>Presumed Positive - From Doctor</t>
        </is>
      </c>
    </row>
    <row r="1450">
      <c r="A1450" t="inlineStr">
        <is>
          <t>gs09cq</t>
        </is>
      </c>
      <c r="B1450" t="inlineStr">
        <is>
          <t>Has any long term sufferer tested positive for antibodies (IgG) in the end?</t>
        </is>
      </c>
      <c r="C1450" t="inlineStr">
        <is>
          <t>If no, my assumption is that our bodies just don’t make antibodies, that’s why we are in for the long haul...</t>
        </is>
      </c>
      <c r="D1450" t="n">
        <v>1</v>
      </c>
      <c r="E1450" t="n">
        <v>21</v>
      </c>
      <c r="F1450">
        <f>HYPERLINK("https://www.reddit.com/r/COVID19positive/comments/gs09cq/has_any_long_term_sufferer_tested_positive_for/")</f>
        <v/>
      </c>
      <c r="G1450" t="inlineStr">
        <is>
          <t>2020-05-27 22:33:07</t>
        </is>
      </c>
      <c r="H1450" t="inlineStr">
        <is>
          <t>Presumed Positive - From Doctor</t>
        </is>
      </c>
    </row>
    <row r="1451">
      <c r="A1451" t="inlineStr">
        <is>
          <t>gs1577</t>
        </is>
      </c>
      <c r="B1451" t="inlineStr">
        <is>
          <t>On my 12th week and I finally feel near normal. Long term sufferers— it WILL eventually end</t>
        </is>
      </c>
      <c r="C1451" t="inlineStr">
        <is>
          <t>I’m cautiously optimistic posting this , bc this thing has a way of improving then coming back with a vengeance. However, I wanted to post rather than disappear off this forum so that all us long timers can see some light at the end of the tunnel. 
Im a previously healthy and active 30/M, and I have had a rough ride with this virus. I initially started feeling ill around March 11th. My symptoms developed from a burning sensation in my lungs to a mild cough, to shortness of breath, random tachycardia, vertigo, headaches, change in smell/taste, GI symptoms, and then it turned to SEVERE chest pain at times radiating to left arm, which landed me in the ED twice. My pulse ox dropped to low 90s at the lowest, but I was very out of breath even walking or talking. 
It has been incredibly difficult and disheartening at times, and as more and more lab tests, EKGs and CT scans came back negative, you start to worry that this is going to be your new normal. Even my IgG antibody came back negative. 
However I’m here to tell you that IT DOES GET BETTER, even for us long term sufferers. I first started feeling better on day 77, 11 full weeks after this started, and frankly after I had resigned myself to long term residual symptoms. It’s now day 79 and I only have very minimal chest soreness remaining. 
Hang in there, this thing WILL go away</t>
        </is>
      </c>
      <c r="D1451" t="n">
        <v>1</v>
      </c>
      <c r="E1451" t="n">
        <v>62</v>
      </c>
      <c r="F1451">
        <f>HYPERLINK("https://www.reddit.com/r/COVID19positive/comments/gs1577/on_my_12th_week_and_i_finally_feel_near_normal/")</f>
        <v/>
      </c>
      <c r="G1451" t="inlineStr">
        <is>
          <t>2020-05-27 23:46:11</t>
        </is>
      </c>
      <c r="H1451" t="inlineStr">
        <is>
          <t>Presumed Positive - From Doctor</t>
        </is>
      </c>
    </row>
    <row r="1452">
      <c r="A1452" t="inlineStr">
        <is>
          <t>gs4fza</t>
        </is>
      </c>
      <c r="B1452" t="inlineStr">
        <is>
          <t>What is with this OBSESSION to say it's something else?</t>
        </is>
      </c>
      <c r="C1452" t="inlineStr">
        <is>
          <t>Now, dealing with a probable Corona infection is bad enough. The symptoms seem to vary to a huge degree for some people and everyone has to fend for themselves. But what I find most unbearable is this constant questioning and doubt I find myself exposed to whenever interacting with another human being.
"Did you get tested?" "This doesnt sound like COVID" "A few years ago I had..."
Then comes the advice.
"I think you should talk to another doctor" "Anxiety meds have really helped me when I feel like that" "This isn't normal, there might be something really wrong with you"
The amount of energy people put into conjuring up stories that fit into their worthless frame of perception is exhausting. It honestly feel other people are the single most painfull aspect about this experience.
Here's some advice for those know-it-alls:
* This virus spreads more easily than almost any other sickness. If you just theorize you got it, chances are good that you do. It is more likely then a flu, to a ridiculous degree, so I don't know why you have to go out of your way to tell each and every patient they got a flu. Logarythmic thinking is hard, we know.
* Antibody tests seem to be questionable. We have proof that not everyone makes antibodies. Many people, like myself, were refused other tests when they were needed. Noone needs a test result for you to approve of their condition.
* Even doctors themselves aren't safe from contracting it and from these very doctors we know first hand that the symptoms are way more complex then the media and government like to pretend to keep the story simple. I know it feels good at night to buy into a simple narrative, but your personal laziness gives you no right to judge people who don't fit into it.
* Thankfully we have a lot of doctors who take this very seriously. But in reality there are also a lot of doctors who dont care to keep themselves informed, who lack access to proper information and who are generally overwhelmed by the chaos. Most Corona cases in my personal space were treated with antibiotics and hospitals still pump oxygen into dysfunctional lungs. So even if it comes from a doctors, as far as COVID19 is concerned, it can and should be questioned.
* If someone who knows their own body very well tells you there is something really unusual going on, shut up and listen. Your personal experiences are of no concern to anyone, every human works differently.
* Noone is talking about how unwell they feel for attention. Noone is trying to say "I think I'm going to die", which seems to be the first association. There is no reason to go out of your way to try and "expose" people who are just hypochondriacs with a virus that you can contract by sitting next to the wrong person for a few seconds.
* A large amount of people will have and had the virus without even knowing. I know of probable cases as early as November. Stop confusing media hype with reality. The virus was sneaking around way earlier then you read and as such there are way more infections then you assume.
* Nothing about this virus is simple or easy. Our best scientists and doctors openly admit they don't understand how this disease works in detail, so what makes you think you're so clever?
And because that's so much to say, I have opted not to talk to anyone anymore until I'm symptom free. It's just pointless. And as my personal doctor is supportive, but clueless, I get my medical treatment from reddit and youtube now. Welcome to 2020.</t>
        </is>
      </c>
      <c r="D1452" t="n">
        <v>1</v>
      </c>
      <c r="E1452" t="n">
        <v>34</v>
      </c>
      <c r="F1452">
        <f>HYPERLINK("https://www.reddit.com/r/COVID19positive/comments/gs4fza/what_is_with_this_obsession_to_say_its_something/")</f>
        <v/>
      </c>
      <c r="G1452" t="inlineStr">
        <is>
          <t>2020-05-28 04:20:51</t>
        </is>
      </c>
      <c r="H1452" t="inlineStr">
        <is>
          <t>Presumed Positive - From Doctor</t>
        </is>
      </c>
    </row>
    <row r="1453">
      <c r="A1453" t="inlineStr">
        <is>
          <t>gs7378</t>
        </is>
      </c>
      <c r="B1453" t="inlineStr">
        <is>
          <t>My 67 year-old dad died</t>
        </is>
      </c>
      <c r="C1453" t="inlineStr">
        <is>
          <t xml:space="preserve"> My dad died due to covid a 15ish days ago (can't even tell how much now since all days look the same for me).
Pardon me for eventual mistakes bc I'm an ESL.
At first, my dad didn't even tell me he was covid+.  I found out through my sister, who in turn learned about it through my aunt.
My dad was at first experiencing mild symptoms, such as low fever and fatigue. He went to the hospital to undergo a seried of exams and was clinically diagnosed with covid. Drugs were prescribed like azitromicine. Ans he was told to rest at home.
 This took me by surprise because I thought he was strictly following the self-isolation/social distancing rules since he was in the risk group.
I feel angry at his wife and stepdaughter, both of whom are younger and should be the ones to responsible for running errands. These lazy, parasites, scum even made him drive them to the bank AFTER BEING TOLD TO REST BY THE DOCTORS as I learned when he was hospitalized.
 I was optimistic and thinking that he would really catch the mildest form of the infection.  But on Mother's Day (in my country), I received the news that he was hospitalized and intubated.
 Despite that, I still thought the best would happen and I would post an inspiring story here.  
In the first few days he was evolving.  Parameters of the ventilators were already being adjusted to lower pressure and oxygen.  Kidneys were working perfectly.  The inflammation parameter was decreasing according to blood tests.
However, on the fourth or fifth day of intubation we received a medical bulletin in the morning stating that his kidneys were gerring worse.  I still hoped for the best, as it is a common complication associated with this type of infection.
 But the worst happened. Just few hours later we got the news that he had passed away. Apparently he had  a sudden heart attack.
He seemed to be making progress, but in a snap he was gone.
This past week has been terrible because all the news outlets havw been reporting that hydroxychloroquine has a higher mortality rate. And he was treated with this drug, among others.
 I keep feeling guilty.  I should have done more research or insisted on using Actemra or whatever drug that is now looking promising.
 My medical friends tried to comfort me saying that my dad was beinv treated according to the current protocol that even fancy hospitals were following. They also said that the covid infection itself can cause coronary problems.
 But I still wonder if he could have had received better treatment. 
And what hurts me the most is that I couldn't say goodbye to him.  
He was afraid to die.  He had already expressed it to me and my sisters that he had the fear of getting worse and having to be hospitalized. It hurts me to think about the fear he felt when he was intubated.  
And I couldn't even say goodbye .......
I can't believe that he was taken by this disease. So many people survived it.  So many  weren't even hospitalized.  Why this had to happen with my father???
The aftermath is even worse. He was the provider for my grandmother. There will be litigation concerning the heritance. I'm worried about my sister mental health since she has history of self-harm. So many things.
I'm sorry for this wall of text. Nobody will probably read it but I had get this off my chest.</t>
        </is>
      </c>
      <c r="D1453" t="n">
        <v>3</v>
      </c>
      <c r="E1453" t="n">
        <v>158</v>
      </c>
      <c r="F1453">
        <f>HYPERLINK("https://www.reddit.com/r/COVID19positive/comments/gs7378/my_67_yearold_dad_died/")</f>
        <v/>
      </c>
      <c r="G1453" t="inlineStr">
        <is>
          <t>2020-05-28 07:18:29</t>
        </is>
      </c>
      <c r="H1453" t="inlineStr">
        <is>
          <t>Tested Positive - Family</t>
        </is>
      </c>
    </row>
    <row r="1454">
      <c r="A1454" t="inlineStr">
        <is>
          <t>gs84dx</t>
        </is>
      </c>
      <c r="B1454" t="inlineStr">
        <is>
          <t>tested positive - now what</t>
        </is>
      </c>
      <c r="C1454" t="inlineStr">
        <is>
          <t>hello. I started developing symptoms 5/20 of just congestion, sore throat, body aches and headache. my symptoms went away a few days later. I got tested 5/26 and was tested positive as of yesterday. i have no symptoms at all now and feel well. my question is - am I infectious right now?</t>
        </is>
      </c>
      <c r="D1454" t="n">
        <v>1</v>
      </c>
      <c r="E1454" t="n">
        <v>14</v>
      </c>
      <c r="F1454">
        <f>HYPERLINK("https://www.reddit.com/r/COVID19positive/comments/gs84dx/tested_positive_now_what/")</f>
        <v/>
      </c>
      <c r="G1454" t="inlineStr">
        <is>
          <t>2020-05-28 08:16:49</t>
        </is>
      </c>
      <c r="H1454" t="inlineStr">
        <is>
          <t>Tested Positive - Me</t>
        </is>
      </c>
    </row>
    <row r="1455">
      <c r="A1455" t="inlineStr">
        <is>
          <t>gsbc8f</t>
        </is>
      </c>
      <c r="B1455" t="inlineStr">
        <is>
          <t>Possible exposure?</t>
        </is>
      </c>
      <c r="C1455" t="inlineStr">
        <is>
          <t>So I received a message from a friend I saw Saturday 5/23 that her uncle who lives with her has tested positive, she is getting tested in the AM. What’s the likelihood of me getting sick? What symptoms should I look out for? should I get tested despite being asymptomatic or wait? i’m a type one diabetic, F23. just concerned and looking for some answers or insight.</t>
        </is>
      </c>
      <c r="D1455" t="n">
        <v>1</v>
      </c>
      <c r="E1455" t="n">
        <v>4</v>
      </c>
      <c r="F1455">
        <f>HYPERLINK("https://www.reddit.com/r/COVID19positive/comments/gsbc8f/possible_exposure/")</f>
        <v/>
      </c>
      <c r="G1455" t="inlineStr">
        <is>
          <t>2020-05-28 11:08:07</t>
        </is>
      </c>
      <c r="H1455" t="inlineStr">
        <is>
          <t>Tested Positive - Friends</t>
        </is>
      </c>
    </row>
    <row r="1456">
      <c r="A1456" t="inlineStr">
        <is>
          <t>gsbtfr</t>
        </is>
      </c>
      <c r="B1456" t="inlineStr">
        <is>
          <t>I feel like theres something on my heart...? Or chest?</t>
        </is>
      </c>
      <c r="C1456" t="inlineStr">
        <is>
          <t>I feel like theres a hand on the left side of my chest, oe my heart is holding something. Its annoying. Feels like my shirt is stuck to my shirt or some shit.
These symptoms were a whole lot worse 5 weeks back but now they aren't as bad and sometimes im completely fine but i lose my breath and feel dizzy all of a sudden? I sit down and go back to being fine?
This is nothing compared to the start of my corona journey tho. At that point i wasnt even sure if i was gonna get out alive or not.
SO HAVE SOME HOPE PEOPLE. YOU'RE ALL STRONG AS FUCK. WE CAN GET THROUGH THIS.</t>
        </is>
      </c>
      <c r="D1456" t="n">
        <v>1</v>
      </c>
      <c r="E1456" t="n">
        <v>19</v>
      </c>
      <c r="F1456">
        <f>HYPERLINK("https://www.reddit.com/r/COVID19positive/comments/gsbtfr/i_feel_like_theres_something_on_my_heart_or_chest/")</f>
        <v/>
      </c>
      <c r="G1456" t="inlineStr">
        <is>
          <t>2020-05-28 11:32:30</t>
        </is>
      </c>
      <c r="H1456" t="inlineStr">
        <is>
          <t>Presumed Positive - From Doctor</t>
        </is>
      </c>
    </row>
    <row r="1457">
      <c r="A1457" t="inlineStr">
        <is>
          <t>gscx2m</t>
        </is>
      </c>
      <c r="B1457" t="inlineStr">
        <is>
          <t>Insomnia after 2 weeks?</t>
        </is>
      </c>
      <c r="C1457" t="inlineStr">
        <is>
          <t>I have developed a really nasty case of insomnia after 2 weeks of isolation and no symptoms. The weird thing is that I don't feel tired even after taking 2 benadryl (which usually knocks me out) and a dose of melatonin before bedtime. I don't have any anxiety and my heart rate is in the low 60s when I attempt to sleep. Has anyone else had this issue? I've gotten maybe 1-2 hours of quality sleep in the past 2 days.</t>
        </is>
      </c>
      <c r="D1457" t="n">
        <v>1</v>
      </c>
      <c r="E1457" t="n">
        <v>5</v>
      </c>
      <c r="F1457">
        <f>HYPERLINK("https://www.reddit.com/r/COVID19positive/comments/gscx2m/insomnia_after_2_weeks/")</f>
        <v/>
      </c>
      <c r="G1457" t="inlineStr">
        <is>
          <t>2020-05-28 12:27:45</t>
        </is>
      </c>
      <c r="H1457" t="inlineStr">
        <is>
          <t>Tested Positive - Me</t>
        </is>
      </c>
    </row>
    <row r="1458">
      <c r="A1458" t="inlineStr">
        <is>
          <t>gsd199</t>
        </is>
      </c>
      <c r="B1458" t="inlineStr">
        <is>
          <t>Father @ 69 - Tested Positive for Corona</t>
        </is>
      </c>
      <c r="C1458" t="inlineStr">
        <is>
          <t>Hello All,
my father who is 69 years and currently in Bombay, India has tested positive for the corona virus. He is    
 currently on day 11 since his symptoms started. Mainly his symptoms are:
\- Fever that fluctuates between 99 F - 102 F
\- Stomach discomfort and slight loose motions (once in 2 days - average)
\- Fatigue, weakness and overall tiredness
\- slight loss in appetite but he eats the food that he is offered
The doctor mentioned that his symptoms seem to be mild and if things had to flare up then they already would have. He is not facing any chest discomfort, short breathlessness, problems in smell of taste. His oxymeter readings fluctuate usually between 94-97%. He is diabetic and has hypertension.
The family is very anxious since none of us children are with them (mom and dad in Bombay, India). We are taking second opinions from Doctors in India and some are mentioning that he should be on Azithromycin whereas our primary doctor mentioned that he just continues to be on paracetemol, plenty of fluids, etc etc and no other treatment/hospitalization is required.
What do you'll think? Do you agree with his treatment? Did you'll or are having a similar experience? What has recovery been like? Do you think he should be hospitalized?
I know you might not be a doctor but its very confusing!</t>
        </is>
      </c>
      <c r="D1458" t="n">
        <v>1</v>
      </c>
      <c r="E1458" t="n">
        <v>19</v>
      </c>
      <c r="F1458">
        <f>HYPERLINK("https://www.reddit.com/r/COVID19positive/comments/gsd199/father_69_tested_positive_for_corona/")</f>
        <v/>
      </c>
      <c r="G1458" t="inlineStr">
        <is>
          <t>2020-05-28 12:33:28</t>
        </is>
      </c>
      <c r="H1458" t="inlineStr">
        <is>
          <t>Tested Positive - Family</t>
        </is>
      </c>
    </row>
    <row r="1459">
      <c r="A1459" t="inlineStr">
        <is>
          <t>gsdzxu</t>
        </is>
      </c>
      <c r="B1459" t="inlineStr">
        <is>
          <t>I kept a journal while I was sick. It wasn’t perfect &amp;amp; I didn’t keep up with it the entire time, because I was really unwell, but I figured I would share it for anyone it may help or for anyone’s curiosity.</t>
        </is>
      </c>
      <c r="C1459" t="inlineStr">
        <is>
          <t>I shared here before about losing my grandmom to COVID-19, but didn’t go in depth on my own experience with the illness. 
I am copying and pasting this exactly as written over my COVID-19 experience (I logged it in my cell phone notes) — forgive me if it’s confusing as it was originally for my own self &amp;amp; close friends only. Feel free to ask any questions. 
Symptoms Journal: 
(Lethargy and weird symptoms leading up to this but could have been menstrual, I thought that was what was happening and didn’t realize I was actually ill / all symptoms leading up to this have to be somewhat discounted as I get “sick” from my cycle regardless). 
Day 1: Sunday 3/22, started late evening - could have been into 3/23 by then. Throat felt noticeably funky. 
Sore throat in evening 
Sore throat still by following morning 
Day 2: Monday, 3/23 - fatigue, occasional cough (coughed up mucus a few times). Throat not really sore. 
Day 3: Tuesday 3/24: Cough, lungs hurt badly - never experienced this. Can’t stop sleeping. Couldn’t eat dinner. Food tasted horrible, just foul. (Seems the food taste issue is associated to reduced ability to smell). 
Day 4: Wednesday 3/25: Lungs hurt, cough with occasional productivity, low fever but haven’t taken temp or fever reducers. Weird rogue kidney area pain. Sleeping non-stop, wake up and am asleep again in 2 hours. I feel narcoleptic. I have swollen glands - I am reminded of fatigue and glands from mono. Have more of an appetite but not normal. 
Day 5: Thursday 3/26: Worse than yesterday, woke up feeling like I got hit by a bus. Low fever. Throat is exceptionally sore. Cough has reverted?! Far more shallow cough than yesterday, not at all productive, pain in lungs is still that of razor blades. Rogue kidney area pain, but it’s intermittent. Breathing is not excellent (only by the end of the night - wasn’t like this earlier), feels a little heavy, but I’m not struggling to breathe, either. I’m also not exerting energy. FATIGUE is bad, slept a ton. Appetite improved a little but mostly I just drank a ton of tea &amp;amp; ate for the sake of digesting my supplements. Still have not used any fever reducers to date. 
Day 6: Friday 3/27: Woke myself up a hundred times moaning in pain from trigeminal neuralgia, shit seems to be attacking underlying ailments or onsetting them. Finally got up and active around 2:30 PM or so — Still congested. Throat isn’t as bad today. Lungs still hurt. Shallow cough, still. Fever and sweaty but fever isn’t in the danger zone. Ears feel full. No appetite. Haven’t touched food today as of 5 PM. By middle of the night, I was HIT. Felt like an absolute pile of shit, lungs worsened. 
Day 7 (Saturday, 2/28): Lots of sleep is so important! If I skip the naps, it is SO much worse, as evidenced yesterday (slept less day 6 than all prior days). Woke up today early evening (slept probably 8 hrs) with the same nasty dry cough, shallow, still not productive.. but sleep helped a lot.  
5:30 PM-ish Finally coughed up a little mucus after hot tea... not much but some. Head feels “full.”  My brain function feels affected, like formulating thoughts &amp;amp; talking is an effort. No fever. 
7:20 PM - I FEEL DIZZY.  This is new. 
Still very fatigued. No appetite. I am wheezing (don’t have asthma). 
Was able to munch on a little food tonight (I did eat muffin for breakfast too). 
10:50 PM - Went to bathroom, coughing fit, felt like I had stomach acid come up or something, or that I needed to vomit (I didn’t) — now my throat is on fire. Chewed a calcium/mag tablet, throat still horrible. 
Day 8: Sunday 3/29: 
Feel half decent upon waking comparatively - fatigue, brain fog 
4:25 PM - D3 1000IU x 5, astragalus - 1000 mg 
6:30PM - Umbka 
7 PM - 500mg C (ascorbic acid), 25mg Zinc, lemon honey zinc cough drop 
Cough is bad. Not much phlegm coming up. Can’t stop sleeping. Slept like most of the day and night :/ 
Monday 3/30: 
2 AM - drank hot tea, soothed me a little 
3:41 AM - 2 ascorbic acid (1000mg total) 
9:20 AM - Took Mucinex DM - I am desperate 
9:20 AM - Super dizzy
Slept from Approx 1 PM - 7 PM, woke up feeling half decent with a slight fever 
4/1: Shortness of breath, breathing issues very bad 
4/2: 
Breathing issues, but not as bad as prior day; started using Manuka (finally got some), just pouring some into mouth 
4/3: 
Lethargy still here but some added energy. Still coughing shit up — coughing seems to only occur when I need to get shit up 
2:33 PM - 1 X oil of oregano, 
1 X Oregon Grape, 2 X Liposomal C, 2 X Pure Mushrooms 
6:00 PM - 1/2 tbspn DE (w/ water)
8:15 PM - 28 drops mullein extract in water 
4/4: Lot of mucus today. 
1 PM - 28 drops of mullein extract in water 
Slept a lot - most of the day and into the evening 
9:40 PM - 1/2 tbsp DE, cup of breathe right tea (2 bags) w/ honey and lemon  
9:50 PM - 2X Liposomal C 
10:30 PM - Zinc (25 mg)
11:50 PM - Umbka (2nd dose... took some earlier and forgot to record)
1:27 AM - 3 drops Howell Antiviral, more breathe easy tea w/ honey and lemon 
1:30 AM - 1 dropper full Echinacea 
4/5: breathing still shallow. Drank mullein tea (homemade) at like 2 AM (technically 4/6). Took manuka honey at 4AM. Drank DE earlier.... maybe about midnight? Took 1 X Oregon Grape @ 5:30 AM-ish 
4/7: (slept most of yesterday) 
2 x liposomal C (= 1400 mg) 
2 x zinc (50 mg total)  
28 drops mullein (2 times) 
4/8: Shortness of breath (SOB) got really bad, had to get albuterol inhaler and it really helped. Feverish most of the day, did not use fever reducer. 
4/9: 1:12AM - SOB still better from inhaler use hours ago (dinner time yesterday) 
1:12 AM - Took 50 mg zinc, 2 liposomal C, colloidal silver. 
Took more colloidal silver in the evening - 6 PM, maybe. 
8:16 - 1 x Oregon grape, D3 x 2 (2000mg total) 
4/10: Breathing issues this morning. Up still from last night because I slept from 8-midnight. Used albuterol around 10 AM. Helped a little. Have bad chest pain though — under my ribs/boobs. Mucus is bad/worse all of a sudden, have OVER hydrated so it makes zero sense. 
Slept all day (10:30 AM - 6:30 PM), woke up with some SOB. Holding off on albuterol. 
4/11: Albuterol at 4:40 AM (breathing got tight within last hour)  
5:15 AM - umbka allergy 
5:25 PM - albuterol 
6:45 PM - 2 x liposomal C 
9 PM, or so, Tonic water + 2 Zinc (50 mg)
11:00 PM or so - Peroxide Inhalation 
4/12: 
4 AM - little light headed, neck hurts - PMSing though 
8:54 PM - Peroxide inhalation (6 sprays of 3% inhaled into lungs) 
4/13: 
12:20 AM - temperature 98.6 
3AM - Colloidal silver, Umbka Allergy
9:07 PM - 2 x Liposomal C
1:55 AM - 2 Tylenol arthritis (getting migraine, feel it in my neck badly)
4/15: 
4:37 AM - Peroxide inhalation 
11:11 AM - peroxide inhalation 
11:12 AM - Inhaler 
^ WORST lung day!!! 
4/16: 
11:45 PM - Marshmallow Root Tea w/ lemon &amp;amp; honey 
12:20 AM - 1 x Cayenne 
12:50 AM - Albuterol inhaler 
1:46 AM - Umbka 
^^Yawning a lot, not tired, breathing has been shit tonight. 
1:52 AM - feel a little burn in throat, cayenne may be responsible 
1:56 AM - Mullein Extract (1/2 dropper) 
—-
Breathing improved after sleeping 
4/17: 
Breathing was good all day mostly (4/16), but I was wheezing. Just started to feel a little SOB (after midnight)
12:25 AM - Mullein Extract (1/2 dropper)
2:15 AM - Peroxide inhalation 
4/19: 
(Slept most of the last two days, period kicking my ass along with this thing)
12:12 AM - Tylenol arthritis x 2
11:00 AM - Underlying migraine, took Rizatriptan at 11:40 AM
4/20: 
1:46 AM - Thought I was coming around, despite migraine yesterday - shrugged that off to menstrual &amp;amp; thought the virus shit was over. Feeling some SOB again tonight 
1:47 AM - 2 x Liposomal C 
4/22:  - One Month, symptoms mostly subsided other than extreme lethargy. Period ending and I’m just physically and emotionally exhausted. Lethargy is and has been bad. I have been sleeping A LOT. 
4/23: Still sleeping a ton, body is weak. Symptoms still subsided other than lethargy - which is horrible 
4/24: 
6:53 AM - Ibuprofen, just feel some back pain coming on 
^^ so that’s where I stopped recording. Since then (it’s now 5/28), I feel I am “recovered” but my lethargy still exists. I do have CFS so chronic fatigue was an issue for me before. I can differentiate it though and this is not just my “normal” issues, I feel the COVID-19 infection has much worsened it and perhaps the two issues combined have really screwed me. I apologize as my diary is not as complete as I would have liked but I felt crappy enough and slept so much that I wasn’t consistent with it (you can see I didn’t always record meds, or skipped days). 
I would like to add that the mullein tea helped me the most. It is the only thing that improved my mucus issue. My mucus felt like thick gelatin and I couldn’t get it out of me until I used the mullein regularly. The Marshmallow root tea and breathe easy tea also helped my breathing. I think hot tea in general was beneficial, and I wasn’t using any sugar products (I was terrified) so the honey was a nice way to get some sweets in me. I also used a nebulizer and steam tents as well as a humidifier the whole time too and didn’t well document that. 
I also know that my remedies my be unorthodox but I am very sensitive to pharmaceuticals and I am not a doctor nor here to suggest anyone follow my protocol, I am just sharing it as I want to share my “symptoms journal” as was written, and not alter my experience at all. 
I welcome any questions, of course. Hope this helps someone.</t>
        </is>
      </c>
      <c r="D1459" t="n">
        <v>1</v>
      </c>
      <c r="E1459" t="n">
        <v>42</v>
      </c>
      <c r="F1459">
        <f>HYPERLINK("https://www.reddit.com/r/COVID19positive/comments/gsdzxu/i_kept_a_journal_while_i_was_sick_it_wasnt/")</f>
        <v/>
      </c>
      <c r="G1459" t="inlineStr">
        <is>
          <t>2020-05-28 13:21:59</t>
        </is>
      </c>
      <c r="H1459" t="inlineStr">
        <is>
          <t>Tested Positive - Me</t>
        </is>
      </c>
    </row>
    <row r="1460">
      <c r="A1460" t="inlineStr">
        <is>
          <t>gse1ur</t>
        </is>
      </c>
      <c r="B1460" t="inlineStr">
        <is>
          <t>Curious</t>
        </is>
      </c>
      <c r="C1460" t="inlineStr">
        <is>
          <t>Where or by who do you think you contracted covid-19 from?</t>
        </is>
      </c>
      <c r="D1460" t="n">
        <v>1</v>
      </c>
      <c r="E1460" t="n">
        <v>9</v>
      </c>
      <c r="F1460">
        <f>HYPERLINK("https://www.reddit.com/r/COVID19positive/comments/gse1ur/curious/")</f>
        <v/>
      </c>
      <c r="G1460" t="inlineStr">
        <is>
          <t>2020-05-28 13:24:48</t>
        </is>
      </c>
      <c r="H1460" t="inlineStr">
        <is>
          <t>Tested Positive - Me</t>
        </is>
      </c>
    </row>
    <row r="1461">
      <c r="A1461" t="inlineStr">
        <is>
          <t>gselft</t>
        </is>
      </c>
      <c r="B1461" t="inlineStr">
        <is>
          <t>Covid19 and world</t>
        </is>
      </c>
      <c r="C1461" t="inlineStr">
        <is>
          <t>What do you really think about coronavirus and its spreading?</t>
        </is>
      </c>
      <c r="D1461" t="n">
        <v>1</v>
      </c>
      <c r="E1461" t="n">
        <v>9</v>
      </c>
      <c r="F1461">
        <f>HYPERLINK("https://www.reddit.com/r/COVID19positive/comments/gselft/covid19_and_world/")</f>
        <v/>
      </c>
      <c r="G1461" t="inlineStr">
        <is>
          <t>2020-05-28 13:54:12</t>
        </is>
      </c>
      <c r="H1461" t="inlineStr">
        <is>
          <t>Tested Positive - Friends</t>
        </is>
      </c>
    </row>
    <row r="1462">
      <c r="A1462" t="inlineStr">
        <is>
          <t>gsh8kv</t>
        </is>
      </c>
      <c r="B1462" t="inlineStr">
        <is>
          <t>9 weeks in, SOB still an issue and body weakness</t>
        </is>
      </c>
      <c r="C1462" t="inlineStr">
        <is>
          <t>I am so glad I found this! I want to share my story and I hope it can help someone who is going through this, I am a 34M relatively in good shape, my symptoms started on March 24th with a low fever, loss sense of taste and smell, but what really bothered me the most was the SOB and that is when I decided to go to the ER on March 27th, did not get tested but doctor said it was safe to believe I had it because of my symptoms and was prescribed an albuterol inhaler as needed, March 31st another trip to the ER and sent me right home because my OL was at 97 and normal HR, at this point I was helpless because nothing seemed to make me feel better, April 8 got tested and results were positive, saw another Dr who took X RAYS and blood work and everything came out clear, April 23rd decided to see an asthma specialist who prescribed me an Inhaler called Flovent and here is when it gets tricky- He explained the Flovent was an steroid to help reduce inflammation as to where the Albuterol was a rescue inhaler to open your airways in case of severe SOB, I was surprised because at that point I had seen three doctors already and no one explained that. After a week of taking the Flovent I saw significant improvement, last week I started to go out for small walks but as of today the SOB and the constant fatigue (Mostly in my legs) still there, I hope the effects of this beast goes away soon.</t>
        </is>
      </c>
      <c r="D1462" t="n">
        <v>1</v>
      </c>
      <c r="E1462" t="n">
        <v>29</v>
      </c>
      <c r="F1462">
        <f>HYPERLINK("https://www.reddit.com/r/COVID19positive/comments/gsh8kv/9_weeks_in_sob_still_an_issue_and_body_weakness/")</f>
        <v/>
      </c>
      <c r="G1462" t="inlineStr">
        <is>
          <t>2020-05-28 16:20:09</t>
        </is>
      </c>
      <c r="H1462" t="inlineStr">
        <is>
          <t>Tested Positive - Me</t>
        </is>
      </c>
    </row>
    <row r="1463">
      <c r="A1463" t="inlineStr">
        <is>
          <t>gsh9rs</t>
        </is>
      </c>
      <c r="B1463" t="inlineStr">
        <is>
          <t>After being sick since March 11, tons of tests today</t>
        </is>
      </c>
      <c r="C1463" t="inlineStr">
        <is>
          <t>The doc is going to run a bunch of blood tests, check d-dimer, test for covid for antibodies, regular swab for good measure, and something else that I can’t remember. 
May do a ct with contrast.  Previous cut was clear. 
34/M very fit.  Still have sob, diarrhea, lung pain, fever, tachycardia, night sweats, lower pulse ox, etc. 
If anyone is interested, I can follow up with what they find. 
Let me know.</t>
        </is>
      </c>
      <c r="D1463" t="n">
        <v>1</v>
      </c>
      <c r="E1463" t="n">
        <v>63</v>
      </c>
      <c r="F1463">
        <f>HYPERLINK("https://www.reddit.com/r/COVID19positive/comments/gsh9rs/after_being_sick_since_march_11_tons_of_tests/")</f>
        <v/>
      </c>
      <c r="G1463" t="inlineStr">
        <is>
          <t>2020-05-28 16:21:56</t>
        </is>
      </c>
      <c r="H1463" t="inlineStr">
        <is>
          <t>Tested Positive - Me</t>
        </is>
      </c>
    </row>
    <row r="1464">
      <c r="A1464" t="inlineStr">
        <is>
          <t>gshano</t>
        </is>
      </c>
      <c r="B1464" t="inlineStr">
        <is>
          <t>What are the chances I got corona?</t>
        </is>
      </c>
      <c r="C1464" t="inlineStr">
        <is>
          <t>I want to start off by saying I went to the ER 2 months ago because I thought was having a heart attack, supposedly it was most likely a panic attacks and I had high blood pressure. I’ve always had chest pain but to me it wasn’t ever nothing too serious it was a sharp pain that lasted like 1 second... I’ve done CAT scans, xrays, ECG and everything came out normally. Monday i went to see someone on Tuesday that person got tested. Today I got a call saying they were posting. See I’ve had symptoms for about a month mostly chest pains and they only happen when I’m laying down maybe because that’s when I pay most attention to my heart so I would think it’s just anxiety.</t>
        </is>
      </c>
      <c r="D1464" t="n">
        <v>1</v>
      </c>
      <c r="E1464" t="n">
        <v>3</v>
      </c>
      <c r="F1464">
        <f>HYPERLINK("https://www.reddit.com/r/COVID19positive/comments/gshano/what_are_the_chances_i_got_corona/")</f>
        <v/>
      </c>
      <c r="G1464" t="inlineStr">
        <is>
          <t>2020-05-28 16:23:19</t>
        </is>
      </c>
      <c r="H1464" t="inlineStr">
        <is>
          <t>Tested Positive - Family</t>
        </is>
      </c>
    </row>
    <row r="1465">
      <c r="A1465" t="inlineStr">
        <is>
          <t>gshonh</t>
        </is>
      </c>
      <c r="B1465" t="inlineStr">
        <is>
          <t>My boyfriend (tested positive) lost his sense of smell 8 weeks ago and it hasn’t come back. Anyone else experience this for this long?</t>
        </is>
      </c>
      <c r="C1465" t="inlineStr">
        <is>
          <t>He was sick on March 27, and like a light switch, lost his sense of smell. He’s JUST started to get very faint hints of smell, but like, couldn’t smell paint thinner in front of his face the other day. Has anyone lost it for this long? Both of us are starting to worry this might be permanent...</t>
        </is>
      </c>
      <c r="D1465" t="n">
        <v>1</v>
      </c>
      <c r="E1465" t="n">
        <v>12</v>
      </c>
      <c r="F1465">
        <f>HYPERLINK("https://www.reddit.com/r/COVID19positive/comments/gshonh/my_boyfriend_tested_positive_lost_his_sense_of/")</f>
        <v/>
      </c>
      <c r="G1465" t="inlineStr">
        <is>
          <t>2020-05-28 16:46:30</t>
        </is>
      </c>
      <c r="H1465" t="inlineStr">
        <is>
          <t>Tested Positive - Friends</t>
        </is>
      </c>
    </row>
    <row r="1466">
      <c r="A1466" t="inlineStr">
        <is>
          <t>gsit0j</t>
        </is>
      </c>
      <c r="B1466" t="inlineStr">
        <is>
          <t>Week 11-12, skin lesions?</t>
        </is>
      </c>
      <c r="C1466" t="inlineStr">
        <is>
          <t>Hey guys, my recovery from COVID-19 is going slow but steady. I improved with breathing during the last two months, (mild SOB, tingling in the lungs, mild dry cough, and tingling sinuses) as well as with digestive symptoms, (no explosive and liquid D, though not back to normal yet, no constant rumbling intense..). However, I still struggle with residual loss of appetite and nausea that come and go. Fast heart rate also normalised after two months of palpitations. CBC is fine, EKG and ultrasound of the heart is normal, x-ray is clear. However, I started to have some skin problems that I did not have earlier in the illness, i.e. it started with a rash on my arm which cleared up in 3 days, then burning under the skin, particularly in the arms, chest, neck, head, legs, fingers and toes. It feels like the heat is radiating from the inside and smth is crawling inside the skin. My legs are burning inside and I see light purplish discolouration inside the skin of my upper legs, which lool like tears. I feel like my legs are sunburned. it is literally burning. I also noticed that my veins and blood vessels are more visible on the skin and smb has pumped air inside them, and they feel heavy. Does any of you feel this skin burning and liaisons? Oh yes, I also noticed that there are spots which look like freckles on different on my legs, like yellow freckles which I did not have before. Can this be from post-viral inflammation? I am desperate to get better but every time this bitch brings me new surprises.</t>
        </is>
      </c>
      <c r="D1466" t="n">
        <v>1</v>
      </c>
      <c r="E1466" t="n">
        <v>28</v>
      </c>
      <c r="F1466">
        <f>HYPERLINK("https://www.reddit.com/r/COVID19positive/comments/gsit0j/week_1112_skin_lesions/")</f>
        <v/>
      </c>
      <c r="G1466" t="inlineStr">
        <is>
          <t>2020-05-28 17:55:14</t>
        </is>
      </c>
      <c r="H1466" t="inlineStr">
        <is>
          <t>Presumed Positive - From Test</t>
        </is>
      </c>
    </row>
    <row r="1467">
      <c r="A1467" t="inlineStr">
        <is>
          <t>gsj28u</t>
        </is>
      </c>
      <c r="B1467" t="inlineStr">
        <is>
          <t>Curious question about other coronaviruses...</t>
        </is>
      </c>
      <c r="C1467" t="inlineStr">
        <is>
          <t>So, the coronavirus family is responsible for common colds, SARS, etc. I am wondering if possible immunity/antibodies to one of those has any effect on how severe/mild one’s case of covid may be?</t>
        </is>
      </c>
      <c r="D1467" t="n">
        <v>1</v>
      </c>
      <c r="E1467" t="n">
        <v>10</v>
      </c>
      <c r="F1467">
        <f>HYPERLINK("https://www.reddit.com/r/COVID19positive/comments/gsj28u/curious_question_about_other_coronaviruses/")</f>
        <v/>
      </c>
      <c r="G1467" t="inlineStr">
        <is>
          <t>2020-05-28 18:10:56</t>
        </is>
      </c>
      <c r="H1467" t="inlineStr">
        <is>
          <t>Tested Positive - Me</t>
        </is>
      </c>
    </row>
    <row r="1468">
      <c r="A1468" t="inlineStr">
        <is>
          <t>gskcy4</t>
        </is>
      </c>
      <c r="B1468" t="inlineStr">
        <is>
          <t>As I sit here on day 74....</t>
        </is>
      </c>
      <c r="C1468" t="inlineStr">
        <is>
          <t>My chest pain is nearly constant right now. Flares up at night and feels as though a child’s hand is squeezing onto it and won’t let go. The other night I almost went to the ER but fortunately, the pain subsided.
Got an echocardiogram done today and oddly hoping they find something definitive, so that I can actually get it treated. This has been a wild ride. Hoping it ends soon.</t>
        </is>
      </c>
      <c r="D1468" t="n">
        <v>1</v>
      </c>
      <c r="E1468" t="n">
        <v>7</v>
      </c>
      <c r="F1468">
        <f>HYPERLINK("https://www.reddit.com/r/COVID19positive/comments/gskcy4/as_i_sit_here_on_day_74/")</f>
        <v/>
      </c>
      <c r="G1468" t="inlineStr">
        <is>
          <t>2020-05-28 19:37:28</t>
        </is>
      </c>
      <c r="H1468" t="inlineStr">
        <is>
          <t>Tested Positive - Me</t>
        </is>
      </c>
    </row>
    <row r="1469">
      <c r="A1469" t="inlineStr">
        <is>
          <t>gskh4c</t>
        </is>
      </c>
      <c r="B1469" t="inlineStr">
        <is>
          <t>March Throat Swab Positive. May Abbot test negative</t>
        </is>
      </c>
      <c r="C1469" t="inlineStr">
        <is>
          <t>Just joined the group, so many experiences to understand.  I was super sick at the start of April with all major COVID symptoms for 11 days - except shortness of breath.  My wife was told she was exposed while in NYC, but never had symptoms.
Dr had me do a throat swab that came back positive.  I recovered, but still have a bad cough 8 weeks later...
After a week of oral steroids I went in for a follow up and was able to take an Abbot antibody test.  It just came back negative.
I have never been sick like this and am now totally confused.  Not sure if steroids would interfere with IgG numbers. 
Anyone else experience something similar?</t>
        </is>
      </c>
      <c r="D1469" t="n">
        <v>1</v>
      </c>
      <c r="E1469" t="n">
        <v>10</v>
      </c>
      <c r="F1469">
        <f>HYPERLINK("https://www.reddit.com/r/COVID19positive/comments/gskh4c/march_throat_swab_positive_may_abbot_test_negative/")</f>
        <v/>
      </c>
      <c r="G1469" t="inlineStr">
        <is>
          <t>2020-05-28 19:45:10</t>
        </is>
      </c>
      <c r="H1469" t="inlineStr">
        <is>
          <t>Tested Positive - Me</t>
        </is>
      </c>
    </row>
    <row r="1470">
      <c r="A1470" t="inlineStr">
        <is>
          <t>gskwbr</t>
        </is>
      </c>
      <c r="B1470" t="inlineStr">
        <is>
          <t>can this happen?</t>
        </is>
      </c>
      <c r="C1470" t="inlineStr">
        <is>
          <t>so i went to the emergency from shortness of breath and a slight cough today, i had a covid test done this morning too, when i went to the emergency i wasn’t expecting the drs to say it sounds like covid, they prescribed me z pack, and an inhaler and told me to wait for the results. should i be worried? was that them basically confirming i have covid? my chest x ray looked good, i didn’t have a fever when i went, they said my blood test showed then my white blood cell count was a little high. i’m scared because i’m overweight, and have high blood pressure and high cholesterol, but i’m also 20 so idk. should i be worried?</t>
        </is>
      </c>
      <c r="D1470" t="n">
        <v>1</v>
      </c>
      <c r="E1470" t="n">
        <v>22</v>
      </c>
      <c r="F1470">
        <f>HYPERLINK("https://www.reddit.com/r/COVID19positive/comments/gskwbr/can_this_happen/")</f>
        <v/>
      </c>
      <c r="G1470" t="inlineStr">
        <is>
          <t>2020-05-28 20:13:54</t>
        </is>
      </c>
      <c r="H1470" t="inlineStr">
        <is>
          <t>Presumed Positive - From Doctor</t>
        </is>
      </c>
    </row>
    <row r="1471">
      <c r="A1471" t="inlineStr">
        <is>
          <t>gsm8zt</t>
        </is>
      </c>
      <c r="B1471" t="inlineStr">
        <is>
          <t>how long does a mild case of covid 19 last?</t>
        </is>
      </c>
      <c r="C1471" t="inlineStr">
        <is>
          <t>*(i asked this question in the main coronvirus disscusion thread and was told i may find my answers here)* 
**how long does a mild case of covid 19 last?**
so  sunday the 17th my aunt was feeling really bad, thought she had the  flu, my mom took her to the doctor and she got a covid test, three days  later they gave her the diagnoses. its  likely that she caught it friday  the 15 because the week before she got a covid test a work and it came  back negative. but the woman she rides to work with husband had covid  too so.... any way she started feeling unwell on the 17th was given the  diagnoses on the 20th she was told to quarantine for 14 days but she  just keep feeling worse not eating anything and barley drinking so my  mom had to take her to the ER (because when she called the nurses they  werent willing to send an ambulance) she been in the hospital since the  23. i think she has a mild case because she has NOT had an breathing  problems and she has NOT had a fever.
it  really just weakness, not wanting to eat, dehydration because she wasnt  drinking much and she doesnt feel liking talking much, the nurse when  they call us daily pretty much tell us she hasnt gotten worse, she is  now eating a little more and getting fluids.
but since this is what i assume is a mild case becasue again n o fever, no need for a ventillator.
**does  anyone know how much longer covid will be in her system. its been about  12 days. were hoping in another week she'll be on the mend but idk?**</t>
        </is>
      </c>
      <c r="D1471" t="n">
        <v>1</v>
      </c>
      <c r="E1471" t="n">
        <v>17</v>
      </c>
      <c r="F1471">
        <f>HYPERLINK("https://www.reddit.com/r/COVID19positive/comments/gsm8zt/how_long_does_a_mild_case_of_covid_19_last/")</f>
        <v/>
      </c>
      <c r="G1471" t="inlineStr">
        <is>
          <t>2020-05-28 21:50:15</t>
        </is>
      </c>
      <c r="H1471" t="inlineStr">
        <is>
          <t>Tested Positive - Family</t>
        </is>
      </c>
    </row>
    <row r="1472">
      <c r="A1472" t="inlineStr">
        <is>
          <t>gsmoiq</t>
        </is>
      </c>
      <c r="B1472" t="inlineStr">
        <is>
          <t>All symptoms are gone except my heart rate is crazy high, it goes from 80 to 130 doing the slightest activity. According to the cardiologist there is nothing wrong so what is this??</t>
        </is>
      </c>
      <c r="C1472" t="inlineStr">
        <is>
          <t>I've been sick for 7 weeks and can report that I feel completely normal now. However my HR is crazy elevated. It goes from 80 to 130 in just a couple of second when I do the slightest activity. Been in the hospital and ECG is normal, bloodwork is normal and ultrasound is normal. Cardiologist says there is nothing wrong with my heart.
I can't remember the last time My heart rate was this elevated. And it hasn't slowed down at all.</t>
        </is>
      </c>
      <c r="D1472" t="n">
        <v>1</v>
      </c>
      <c r="E1472" t="n">
        <v>18</v>
      </c>
      <c r="F1472">
        <f>HYPERLINK("https://www.reddit.com/r/COVID19positive/comments/gsmoiq/all_symptoms_are_gone_except_my_heart_rate_is/")</f>
        <v/>
      </c>
      <c r="G1472" t="inlineStr">
        <is>
          <t>2020-05-28 22:22:31</t>
        </is>
      </c>
      <c r="H1472" t="inlineStr">
        <is>
          <t>Presumed Positive - From Doctor</t>
        </is>
      </c>
    </row>
    <row r="1473">
      <c r="A1473" t="inlineStr">
        <is>
          <t>gsn2m7</t>
        </is>
      </c>
      <c r="B1473" t="inlineStr">
        <is>
          <t>Going back to work</t>
        </is>
      </c>
      <c r="C1473" t="inlineStr">
        <is>
          <t>I went back to work about two weeks ago and everything is fine but I still have a weird ache on the left side of my upper back and I still get dizzy at times and my ribs still feel like the burn at times but I have to say my heart rate has calmed down which was my biggest concern! I still feel it flutter but it’s getting better. Staying hydrated and taking my vitamins!!! How has it been for others who went back to work?</t>
        </is>
      </c>
      <c r="D1473" t="n">
        <v>1</v>
      </c>
      <c r="E1473" t="n">
        <v>5</v>
      </c>
      <c r="F1473">
        <f>HYPERLINK("https://www.reddit.com/r/COVID19positive/comments/gsn2m7/going_back_to_work/")</f>
        <v/>
      </c>
      <c r="G1473" t="inlineStr">
        <is>
          <t>2020-05-28 22:53:36</t>
        </is>
      </c>
      <c r="H1473" t="inlineStr">
        <is>
          <t>Presumed Positive - From Doctor</t>
        </is>
      </c>
    </row>
    <row r="1474">
      <c r="A1474" t="inlineStr">
        <is>
          <t>gsozne</t>
        </is>
      </c>
      <c r="B1474" t="inlineStr">
        <is>
          <t>Ive had covid for 3 weeks nearly now about 20 days and im starting to feel a little better</t>
        </is>
      </c>
      <c r="C1474" t="inlineStr">
        <is>
          <t>Is my immune system run down and will that mean i can get covid again if i am exposed to a high viral load from someone else?</t>
        </is>
      </c>
      <c r="D1474" t="n">
        <v>1</v>
      </c>
      <c r="E1474" t="n">
        <v>4</v>
      </c>
      <c r="F1474">
        <f>HYPERLINK("https://www.reddit.com/r/COVID19positive/comments/gsozne/ive_had_covid_for_3_weeks_nearly_now_about_20/")</f>
        <v/>
      </c>
      <c r="G1474" t="inlineStr">
        <is>
          <t>2020-05-29 01:28:41</t>
        </is>
      </c>
      <c r="H1474" t="inlineStr">
        <is>
          <t>Presumed Positive - From Doctor</t>
        </is>
      </c>
    </row>
    <row r="1475">
      <c r="A1475" t="inlineStr">
        <is>
          <t>gsqvkl</t>
        </is>
      </c>
      <c r="B1475" t="inlineStr">
        <is>
          <t>Anyone's Insurance Actually Pay for Testing? Mine Will Not Order Tests, I Paid Out of Pocket to a For-profit Clinic</t>
        </is>
      </c>
      <c r="C1475" t="inlineStr">
        <is>
          <t>Despite the promises that insurance companies are required to pay for testing, I've been refused tests by Kaiser Permanente of Virginia, both for initial diagnoses and to see if I'm recovered and no longer infectious.
 I'm stunned that insurance carriers, especially HMOs that are in the perfect position to manage testing, haven't bothered to even attempt get their "membership" tested universally.  Their excuse is resources but I'm really struggling to see why--in my area 6000 free tests were given by public health agencies last Monday.  That excuse is starting to sound pathetic.
I had to pay for my test at a private clinic even though I had a classic set of symptoms.  The test came back positive and of course KP gets data from the state so they have the test results, but of course didn't have to pay, now that I'm presumed recovered they also won't order a test.  
Our institutions are completely failing us.</t>
        </is>
      </c>
      <c r="D1475" t="n">
        <v>1</v>
      </c>
      <c r="E1475" t="n">
        <v>16</v>
      </c>
      <c r="F1475">
        <f>HYPERLINK("https://www.reddit.com/r/COVID19positive/comments/gsqvkl/anyones_insurance_actually_pay_for_testing_mine/")</f>
        <v/>
      </c>
      <c r="G1475" t="inlineStr">
        <is>
          <t>2020-05-29 04:03:44</t>
        </is>
      </c>
      <c r="H1475" t="inlineStr">
        <is>
          <t>Tested Positive</t>
        </is>
      </c>
    </row>
    <row r="1476">
      <c r="A1476" t="inlineStr">
        <is>
          <t>gsrypk</t>
        </is>
      </c>
      <c r="B1476" t="inlineStr">
        <is>
          <t>Did I get tested too soon?</t>
        </is>
      </c>
      <c r="C1476" t="inlineStr">
        <is>
          <t>On Sunday I went to a bbq with a friend I hadn’t seen in a while, 3 day’s later he tells me he got a positive COVID19 test and that I should get tested. He thinks he might’ve been exposed a week ago while he was coming to to his home city since the people he was staying with before were all negative. He has zero symptoms. It’s been 5 days since I saw him and 2 days since I got tested. No symptoms either. My question is; do you think it was too soon to get tested if I was only exposed 3 days before my test and haven’t shown symptoms? Will I get an accurate result?</t>
        </is>
      </c>
      <c r="D1476" t="n">
        <v>1</v>
      </c>
      <c r="E1476" t="n">
        <v>5</v>
      </c>
      <c r="F1476">
        <f>HYPERLINK("https://www.reddit.com/r/COVID19positive/comments/gsrypk/did_i_get_tested_too_soon/")</f>
        <v/>
      </c>
      <c r="G1476" t="inlineStr">
        <is>
          <t>2020-05-29 05:20:50</t>
        </is>
      </c>
      <c r="H1476" t="inlineStr">
        <is>
          <t>Tested Positive - Friends</t>
        </is>
      </c>
    </row>
    <row r="1477">
      <c r="A1477" t="inlineStr">
        <is>
          <t>gsskma</t>
        </is>
      </c>
      <c r="B1477" t="inlineStr">
        <is>
          <t>How to not give COVID-19 to your relatives in the house</t>
        </is>
      </c>
      <c r="C1477" t="inlineStr">
        <is>
          <t>Hey! I am still waiting for my tests results but Im pretty sure Im positive. I live with my 63 y/o aunt at the moment, I am so worried about giving it to her. Any tips from people who managed to not give this to your relatives while living in the same house? Is it possible? If not, what would you do differently? We both have our own bedroom and own bathroom, so thats that... I really don’t want her to catch it !!</t>
        </is>
      </c>
      <c r="D1477" t="n">
        <v>1</v>
      </c>
      <c r="E1477" t="n">
        <v>11</v>
      </c>
      <c r="F1477">
        <f>HYPERLINK("https://www.reddit.com/r/COVID19positive/comments/gsskma/how_to_not_give_covid19_to_your_relatives_in_the/")</f>
        <v/>
      </c>
      <c r="G1477" t="inlineStr">
        <is>
          <t>2020-05-29 06:00:09</t>
        </is>
      </c>
      <c r="H1477" t="inlineStr">
        <is>
          <t>Tested Positive</t>
        </is>
      </c>
    </row>
    <row r="1478">
      <c r="A1478" t="inlineStr">
        <is>
          <t>gstns5</t>
        </is>
      </c>
      <c r="B1478" t="inlineStr">
        <is>
          <t>Gaslighting myself?</t>
        </is>
      </c>
      <c r="C1478" t="inlineStr">
        <is>
          <t>29F here, no previous health conditions, generally fit.
I had fever of 37.6-37.9 for 2 days at the end of March, then sometimes slightly high temperature (~37.2).
The symptoms I’ve had but they are gone now:
- some productive coughing 
- diarrhoea + super gassy + lots of burping
- feeling like there’s a lump in my throat
- upper back/neck pain (Very bad!)
- Intense muscle/joint pains 
- fatigue
- fits of “feeling weird” (dizzy and all over off) followed by intense shaking 
- palpitations 
- chest pressure and some chest pains (needles-like)
- awful cold sores (first time in many years)
- feeling heat in my face
- pain in lymph nodes (on my neck)
- some weird pain in my veins on both wrists 
- Slightly scratchy throat 
- Unusual thirst 
The symptoms I still have:
- shortness of breath: it comes and goes in waves. At some point it was present for days, then for several hours, now it’s mostly gone. It’s not like I’m gasping for air, it just feels like every breath I take doesn’t give as much oxygen as it normally would. 
- post-nasal drip
- GI issues - unusually gassy + a lot of burping
- Slightly declined vision 
- Tachycardia several times a day
I never got tested (“your fever isn’t high enough, you’re too young, it doesn’t sound like you have shortness of breath”, duh), but a GP told me I was presumed positive. 
At some point the only 2 people who knew about this situation decided it was “just anxiety” (something I’ve never had before). The first one is my friend who didn’t take too much time to read about this disease in depth, thinking “you can’t have it for that long” and “you don’t even have cough anymore, you’re not sick”.
The second one (unfortunately) is my husband, who tries his best to be supportive, but is slowly losing his patience with me and apparently also thinks that I can’t be sick for so long and it’s probably “just in my head”. He was never symptomatic.
Now that almost all symptoms are gone, a part of me is starting to think that maybe they are right? Maybe I somehow have such a bad anxiety that it caused the symptoms? The other part of me is sure that at least half of these symptoms are impossible to make up.. Additionally, I don’t feel I actually have anxiety: I’m mostly calm, not worried...At this point maybe a little depressed. 
It feels like I’m gaslighting myself. Is it even a thing? Has anyone here felt this way? How do I know I’m actually..well.. sane?
I was considering a antibody test, but I know that they’re highly inaccurate and a lot of “long-termers” have somehow tested negative for them.</t>
        </is>
      </c>
      <c r="D1478" t="n">
        <v>2</v>
      </c>
      <c r="E1478" t="n">
        <v>16</v>
      </c>
      <c r="F1478">
        <f>HYPERLINK("https://www.reddit.com/r/COVID19positive/comments/gstns5/gaslighting_myself/")</f>
        <v/>
      </c>
      <c r="G1478" t="inlineStr">
        <is>
          <t>2020-05-29 07:08:42</t>
        </is>
      </c>
      <c r="H1478" t="inlineStr">
        <is>
          <t>Presumed Positive - From Doctor</t>
        </is>
      </c>
    </row>
    <row r="1479">
      <c r="A1479" t="inlineStr">
        <is>
          <t>gstrla</t>
        </is>
      </c>
      <c r="B1479" t="inlineStr">
        <is>
          <t>My dad was extubated after 16 days on the ventilator!!</t>
        </is>
      </c>
      <c r="C1479" t="inlineStr">
        <is>
          <t>My whole family tested positive for covid around the last 5 days of April and while we had a range of lighter symptoms, my dad was hit hardest. 
My dad is 57, diabetic and has high blood pressure which put him in 2 at risk groups so we knew from the jump how bad this could get. 
Within the first 5 days of feeling symptoms, he was unable to walk 3 metres without help and  feeling short of breath. His temperature during the first 10 days ranged from 37.9 to 39.7 with his blood oxygen falling to 92%. On the 11th day we decided it was best to take him to the hospital as we couldn’t do any more from home. Within 2 days they believed it was best to put him on the vent because his oxygen levels were depleting. We were worried sick, talking to multiple doctors everyday gathering info on his health so we could understand what direction this was going in and things were looking grim. He had blood clots right around his knees in both legs and at that point the doctors thought that was the point which would show that things weren’t going to get better as he was a very severe case. But literally the day after he showed signs he was recovering and within 5 days he was extubated.
I wanted to share this to give you guys hope if you know someone fighting covid they can beat whatever odds are set against them, and it can get better.
If anyone has any questions for me feel free to ask here or pm me.</t>
        </is>
      </c>
      <c r="D1479" t="n">
        <v>71</v>
      </c>
      <c r="E1479" t="n">
        <v>55</v>
      </c>
      <c r="F1479">
        <f>HYPERLINK("https://www.reddit.com/r/COVID19positive/comments/gstrla/my_dad_was_extubated_after_16_days_on_the/")</f>
        <v/>
      </c>
      <c r="G1479" t="inlineStr">
        <is>
          <t>2020-05-29 07:15:14</t>
        </is>
      </c>
      <c r="H1479" t="inlineStr">
        <is>
          <t>Tested Positive</t>
        </is>
      </c>
    </row>
    <row r="1480">
      <c r="A1480" t="inlineStr">
        <is>
          <t>gsv5hq</t>
        </is>
      </c>
      <c r="B1480" t="inlineStr">
        <is>
          <t>Post Covid Symptoms</t>
        </is>
      </c>
      <c r="C1480" t="inlineStr">
        <is>
          <t>Hey guys, 
&amp;amp;#x200B;
Is it normal to have post covid 19 symptoms to show up every now and then even after healing?
&amp;amp;#x200B;
Thanks!</t>
        </is>
      </c>
      <c r="D1480" t="n">
        <v>1</v>
      </c>
      <c r="E1480" t="n">
        <v>3</v>
      </c>
      <c r="F1480">
        <f>HYPERLINK("https://www.reddit.com/r/COVID19positive/comments/gsv5hq/post_covid_symptoms/")</f>
        <v/>
      </c>
      <c r="G1480" t="inlineStr">
        <is>
          <t>2020-05-29 08:35:06</t>
        </is>
      </c>
      <c r="H1480" t="inlineStr">
        <is>
          <t>Tested Positive</t>
        </is>
      </c>
    </row>
    <row r="1481">
      <c r="A1481" t="inlineStr">
        <is>
          <t>gsv9qk</t>
        </is>
      </c>
      <c r="B1481" t="inlineStr">
        <is>
          <t>Has anyone figured out anything about the whole not breathing issue while you sleep?</t>
        </is>
      </c>
      <c r="C1481" t="inlineStr">
        <is>
          <t>A week ago I woke up in the middle of the night, like I hadn't been breathing. I had to almost manually take the first breath, and I had a headache for a few minutes. It happened again last night 4 times. I managed to put my oximeter on after one of the episodes, and my O2 was 94 and went back to 100 in a few seconds. Now, it took like 15 seconds to get the thing on, and register a reading, so wtf was it before that? 
I read on here that a few people also experienced this. 
It's like I magically got sleep apena out of nowhere. 30 y/o male, no major health issues before this. I ate a lot of carbs yesterday, so I'm hoping that if I reduce my carbohydrate intake it'll go away. I've been carb cycling (high carbs day, 1 day, low carbs the next day) since this happened to drop fat but maintain some semblance of muscle mass, since I have not had a real workout in almost 3 months. I can't remember if I ate a lot of carbs on the previous days this happened. I'll report back.</t>
        </is>
      </c>
      <c r="D1481" t="n">
        <v>2</v>
      </c>
      <c r="E1481" t="n">
        <v>19</v>
      </c>
      <c r="F1481">
        <f>HYPERLINK("https://www.reddit.com/r/COVID19positive/comments/gsv9qk/has_anyone_figured_out_anything_about_the_whole/")</f>
        <v/>
      </c>
      <c r="G1481" t="inlineStr">
        <is>
          <t>2020-05-29 08:41:46</t>
        </is>
      </c>
      <c r="H1481" t="inlineStr">
        <is>
          <t>Presumed Positive - From Doctor</t>
        </is>
      </c>
    </row>
    <row r="1482">
      <c r="A1482" t="inlineStr">
        <is>
          <t>gsvt7f</t>
        </is>
      </c>
      <c r="B1482" t="inlineStr">
        <is>
          <t>how long</t>
        </is>
      </c>
      <c r="C1482" t="inlineStr">
        <is>
          <t>how long does the shortness of breath usually last?</t>
        </is>
      </c>
      <c r="D1482" t="n">
        <v>1</v>
      </c>
      <c r="E1482" t="n">
        <v>6</v>
      </c>
      <c r="F1482">
        <f>HYPERLINK("https://www.reddit.com/r/COVID19positive/comments/gsvt7f/how_long/")</f>
        <v/>
      </c>
      <c r="G1482" t="inlineStr">
        <is>
          <t>2020-05-29 09:11:11</t>
        </is>
      </c>
      <c r="H1482" t="inlineStr">
        <is>
          <t>Presumed Positive - From Doctor</t>
        </is>
      </c>
    </row>
    <row r="1483">
      <c r="A1483" t="inlineStr">
        <is>
          <t>gswa5q</t>
        </is>
      </c>
      <c r="B1483" t="inlineStr">
        <is>
          <t>How long did it take for you to get a negative?</t>
        </is>
      </c>
      <c r="C1483" t="inlineStr">
        <is>
          <t>I was positive on April 20th and tested negative on the 16th of May but positive on the 18th of May. Doctor cleared me for work after positive Antibody test but called me yesterday about the positive swab result, telling me to not go to work until a negative result comes back. I'm anxious and upset because he cleared me to go back and then took it away from me. The public health nurse said by now I'm not contagious and any positive result could be dead remnants. I read an article this morning pretty much confirming this. It was published 3 days ago. I'm gonna go for the test with the same doctor on Monday but I'm considering going to the walk in City MD and get tested there as my second test for accuracy.   
So my question is how long did you guys have to wait to test negative? How many swab tests? What was the City MD or your local walk in testing site procedures.? Did the doctor do it or yourself? Thanks in advance.</t>
        </is>
      </c>
      <c r="D1483" t="n">
        <v>1</v>
      </c>
      <c r="E1483" t="n">
        <v>7</v>
      </c>
      <c r="F1483">
        <f>HYPERLINK("https://www.reddit.com/r/COVID19positive/comments/gswa5q/how_long_did_it_take_for_you_to_get_a_negative/")</f>
        <v/>
      </c>
      <c r="G1483" t="inlineStr">
        <is>
          <t>2020-05-29 09:36:24</t>
        </is>
      </c>
      <c r="H1483" t="inlineStr">
        <is>
          <t>Tested Positive</t>
        </is>
      </c>
    </row>
    <row r="1484">
      <c r="A1484" t="inlineStr">
        <is>
          <t>gsxz2j</t>
        </is>
      </c>
      <c r="B1484" t="inlineStr">
        <is>
          <t>Other’s experiences with Covid</t>
        </is>
      </c>
      <c r="C1484" t="inlineStr">
        <is>
          <t>Hi there! 
I’m a nurse and unfortunately tested positive after working with some patients that were positive. I’ve been out of work for 2 weeks and was wondering what everyone else is experiencing in regards of returning to work and when symptoms completely resolve? I’m on day 15 of symptoms (fevers, SOB, fatigue, loss of smell, and headaches). Every day is different, some days I feel better others still crappy, but slowly I’m starting to feel better. I know everyone is different, but I’d love to hear from you all about your experience and what your timelines look like? Hope everyone is feeling better and getting back to feeling like themselves</t>
        </is>
      </c>
      <c r="D1484" t="n">
        <v>1</v>
      </c>
      <c r="E1484" t="n">
        <v>13</v>
      </c>
      <c r="F1484">
        <f>HYPERLINK("https://www.reddit.com/r/COVID19positive/comments/gsxz2j/others_experiences_with_covid/")</f>
        <v/>
      </c>
      <c r="G1484" t="inlineStr">
        <is>
          <t>2020-05-29 11:06:51</t>
        </is>
      </c>
      <c r="H1484" t="inlineStr">
        <is>
          <t>Tested Positive</t>
        </is>
      </c>
    </row>
    <row r="1485">
      <c r="A1485" t="inlineStr">
        <is>
          <t>gsyt69</t>
        </is>
      </c>
      <c r="B1485" t="inlineStr">
        <is>
          <t>This disease sucks... [venting...]</t>
        </is>
      </c>
      <c r="C1485" t="inlineStr">
        <is>
          <t>Everytime I think things are turning for the best I get bad news.
11/5 felt first symptoms
18/5 found out close person tested positive
20/5 felt better, but tested positive for Covid-19
26/5 felt better but tested positive for pneumonia
27/5 father in law tests positive gets hospitalized 
28/5 mother in law tested positive starts with symptoms 
29/5 my wife and 3m kid are asymptomatic but had stayed with my inlaws since I started with symptoms
So my wife has both of his parents and husband with symptoms, she's presumed positive and has to take care on her own of my baby and her mother while his dad is in the hospital. And I'm here with fatigue and night sweats and can't help her.</t>
        </is>
      </c>
      <c r="D1485" t="n">
        <v>1</v>
      </c>
      <c r="E1485" t="n">
        <v>4</v>
      </c>
      <c r="F1485">
        <f>HYPERLINK("https://www.reddit.com/r/COVID19positive/comments/gsyt69/this_disease_sucks_venting/")</f>
        <v/>
      </c>
      <c r="G1485" t="inlineStr">
        <is>
          <t>2020-05-29 11:51:43</t>
        </is>
      </c>
      <c r="H1485" t="inlineStr">
        <is>
          <t>Tested Positive</t>
        </is>
      </c>
    </row>
    <row r="1486">
      <c r="A1486" t="inlineStr">
        <is>
          <t>gszb1o</t>
        </is>
      </c>
      <c r="B1486" t="inlineStr">
        <is>
          <t>House member tested positive may 28th. M 26, also Me F 29 with asthma presumed positive.</t>
        </is>
      </c>
      <c r="C1486" t="inlineStr">
        <is>
          <t>Hopefully, I’m doing this right and am not breaking any rules. 
I used to frequent this sub when COVID was becoming widespread in America. I took a little comfort in seeing people post their progress, especially if it was positive. I never made a post on reddit before. I normally just lurk. 
But these are the symptoms so far 
M,26 started feeling cold/allergy-like symptoms may 19th. He had a very small dry cough, sneezing, snuffy nose, sore throat, headache. Just typical cold-like symptoms. However, around May 26th, he woke up and couldn’t smell anything. My first thought was “well, your nose is stopped up. So of course you can smell anything.” But no, he could breathe through his nose. He just couldn’t smell. 
This alarmed me.  He went through a drive through clinic and got his positive diagnosis on the 28th. In his words, he feels like the flu is much worse. He just feels like he has a cold (so far)  he also has no appetite.  He has no fever. 
And before his diagnosis, he seemed fine, honestly. Just like he had slight allergies or cold. I would have never guessed that he had COVID. 
As for me F,29 with asthma. I have been having headaches since around May 25th. I have just felt rundown and tired, sore throat, tight chest, no appetite. My fever is only 99.6 F  but I feel very off. I’ve been told to quarantine for 10 days because of my symptoms.  
I will update as time goes on. I have always been scared to get this, since I have asthma and work in a pharmacy. But here we are.  
Also, I always wore two mask and gloves everywhere. Changed them frequently. Sanitized. Washed my hands every 15-20 minutes. Sprayed down packages that were mailed to me. My housemate took it as seriously. I just don’t understand how it got us. But so far we are okay and not in any immediate danger. 
Will post updates if anything changes!</t>
        </is>
      </c>
      <c r="D1486" t="n">
        <v>2</v>
      </c>
      <c r="E1486" t="n">
        <v>34</v>
      </c>
      <c r="F1486">
        <f>HYPERLINK("https://www.reddit.com/r/COVID19positive/comments/gszb1o/house_member_tested_positive_may_28th_m_26_also/")</f>
        <v/>
      </c>
      <c r="G1486" t="inlineStr">
        <is>
          <t>2020-05-29 12:17:41</t>
        </is>
      </c>
      <c r="H1486" t="inlineStr">
        <is>
          <t>Tested Positive</t>
        </is>
      </c>
    </row>
    <row r="1487">
      <c r="A1487" t="inlineStr">
        <is>
          <t>gt17kj</t>
        </is>
      </c>
      <c r="B1487" t="inlineStr">
        <is>
          <t>Anyone feel like there respiratory system is barely functioning?</t>
        </is>
      </c>
      <c r="C1487" t="inlineStr">
        <is>
          <t>I might sound insane but i constantly feel like my lungs are barely functioning even though im breathing relatively fine. It feels like 1 wrong step and they'll stop working completely such as running or getting up 2 fast can completely eradicate them
This feeling was more prominent during the start of my journey and my condition has definitely improved.
I can breath better however shortness of breath still exists.
However, my appetite is back, i can smell some things (i cant taste tho) so im gradually getting better
Im glad :) stay safe and healthy yall</t>
        </is>
      </c>
      <c r="D1487" t="n">
        <v>0</v>
      </c>
      <c r="E1487" t="n">
        <v>11</v>
      </c>
      <c r="F1487">
        <f>HYPERLINK("https://www.reddit.com/r/COVID19positive/comments/gt17kj/anyone_feel_like_there_respiratory_system_is/")</f>
        <v/>
      </c>
      <c r="G1487" t="inlineStr">
        <is>
          <t>2020-05-29 14:00:19</t>
        </is>
      </c>
      <c r="H1487" t="inlineStr">
        <is>
          <t>Presumed Positive - From Doctor</t>
        </is>
      </c>
    </row>
    <row r="1488">
      <c r="A1488" t="inlineStr">
        <is>
          <t>gt2g53</t>
        </is>
      </c>
      <c r="B1488" t="inlineStr">
        <is>
          <t>Fiance first tested positive March 30th, still tests positive, is she still contagious?</t>
        </is>
      </c>
      <c r="C1488" t="inlineStr">
        <is>
          <t>We haven't seen eachother since her first positive test (we don't live together), i was never positive for the virus and i have tested negative for the antibodies. How risky would it be to see/touch/kiss her?</t>
        </is>
      </c>
      <c r="D1488" t="n">
        <v>1</v>
      </c>
      <c r="E1488" t="n">
        <v>14</v>
      </c>
      <c r="F1488">
        <f>HYPERLINK("https://www.reddit.com/r/COVID19positive/comments/gt2g53/fiance_first_tested_positive_march_30th_still/")</f>
        <v/>
      </c>
      <c r="G1488" t="inlineStr">
        <is>
          <t>2020-05-29 15:11:06</t>
        </is>
      </c>
      <c r="H1488" t="inlineStr">
        <is>
          <t>Tested Positive - Family</t>
        </is>
      </c>
    </row>
    <row r="1489">
      <c r="A1489" t="inlineStr">
        <is>
          <t>gt2xr2</t>
        </is>
      </c>
      <c r="B1489" t="inlineStr">
        <is>
          <t>Week 11 Ibuprofen still bad? headache questions?</t>
        </is>
      </c>
      <c r="C1489" t="inlineStr">
        <is>
          <t>I am at or approaching week 11. I have had flare ups here and there.  I take my vitamins and eat healthy.  This week I started to have a flare up.  I cut out some anxiety medication (Ativan) last week as my resting heart rate was back down to 60. And the doc doesn't want me on it. it was in the 80s and 90s at one point.. so over the past few days it has gone up to 64. My sleep has declined.. also I have had a pounding migraine going on three days although not bad right this second.  The Tylenol wasn't really doing shit so the past few days I popped some ibuprofen which works better for headaches for me.  There is conflicting information about ibuprofen and covid.. I stayed away from it early on but being on week 11, does it really matter at this point? I don't want to contribute to feeling shitty by taking it. Maybe my brain and heart are having delayed inflammation reactions.. my heart rate has just been wild.  Head aches haven been horrible but these last few days I've woken up with the melon pounding. Wtf. 37m fairly healthy 210lbs 6ft European, Lebanese, and cypriot (Greek) descent</t>
        </is>
      </c>
      <c r="D1489" t="n">
        <v>1</v>
      </c>
      <c r="E1489" t="n">
        <v>15</v>
      </c>
      <c r="F1489">
        <f>HYPERLINK("https://www.reddit.com/r/COVID19positive/comments/gt2xr2/week_11_ibuprofen_still_bad_headache_questions/")</f>
        <v/>
      </c>
      <c r="G1489" t="inlineStr">
        <is>
          <t>2020-05-29 15:40:10</t>
        </is>
      </c>
      <c r="H1489" t="inlineStr">
        <is>
          <t>Presumed Positive - From Doctor</t>
        </is>
      </c>
    </row>
    <row r="1490">
      <c r="A1490" t="inlineStr">
        <is>
          <t>gt3eo9</t>
        </is>
      </c>
      <c r="B1490" t="inlineStr">
        <is>
          <t>I tested positive for antibodies and had noticeable symptoms so I think I know when I was infected. I lived with my boyfriend with no distancing during this, and he tested negative!</t>
        </is>
      </c>
      <c r="C1490" t="inlineStr">
        <is>
          <t>Hey everyone, hope you're doing alright. I have a bit of a conundrum explained in the headline, and I wonder what you think. Is this common at all? We're both early 30s.
Here is the timeline and fact points:
- My boyfriend and I have been together pretty much 24/7 including quarantining in a 1 bedroom apartment and we have been sleeping in the same bed. Before during and after my symptoms. No distancing from each other at all. Normal boyfriend girlfriend affectionate closeness.
* Period not in the same city: March 4th to March 11th (I was in SF he was in LA). Back living together March 11th (and quarantining since this day).
* I got a fever on March 15th and lost my sense of smell on the 16th (gone for a week). Felt light "pain" (more like a sensation) in my lungs (upper back) and had trouble breathing in the shower when it got steamy (opened window and was fine). My heart started racing from walking 3 meters from couch to bathroom. Had a pulse oximeter and measured normal still, so it never felt dangerous, but definitely noticeable symptoms. No cough.
* My boyfriend had some symptoms but not typical at the same time as me. He had a strong headache and some fatigue.
* 2 months later (May 13th) I got an antibody test and tested positive. He then got a test and tested negative on May 22nd.
What is going on?? I also heard about a married couple quarantining with their daughter and mother and daughter tested positive but dad tested negative.
We both got the same test (but at different labs). Abbott's FDA approved antibody test running on Abbott's ARCHITECT® i1000SR and i2000SR laboratory instruments. Seems to be a very accurate test from what I can tell.
Potential theories:
* One of us had a faulty test? Because of the symptoms I experienced I'm inclined to think mine was not a false positive.
* I wasn’t contagious at all for some reason
* Even though symptoms started on 15th, maybe I was infected a lot earlier and only contagious while being asymptomatic before I came to him March 11th. But none of the people I was hanging out with March 4th-March 11th tested positive (3 of my close colleagues got tested after I shared my positive results).
* He had an immune response from a different infection from the past which means COVID specific antibodies were not created but he still fought off the infection with some different antibodies tagging the virus that wouldn’t show up in the test
- He is naturally immune or something
What do you think?</t>
        </is>
      </c>
      <c r="D1490" t="n">
        <v>1</v>
      </c>
      <c r="E1490" t="n">
        <v>16</v>
      </c>
      <c r="F1490">
        <f>HYPERLINK("https://www.reddit.com/r/COVID19positive/comments/gt3eo9/i_tested_positive_for_antibodies_and_had/")</f>
        <v/>
      </c>
      <c r="G1490" t="inlineStr">
        <is>
          <t>2020-05-29 16:09:26</t>
        </is>
      </c>
      <c r="H1490" t="inlineStr">
        <is>
          <t>Tested Positive</t>
        </is>
      </c>
    </row>
    <row r="1491">
      <c r="A1491" t="inlineStr">
        <is>
          <t>gt5gdw</t>
        </is>
      </c>
      <c r="B1491" t="inlineStr">
        <is>
          <t>My grandma tested positive</t>
        </is>
      </c>
      <c r="C1491" t="inlineStr">
        <is>
          <t>So just hours ago my grandmother tested positive she is 65 old, diabetes. My mum visited her 5 days ago but nor her or our family have any symptoms is it possible that she didn't catch it? We are really scared</t>
        </is>
      </c>
      <c r="D1491" t="n">
        <v>1</v>
      </c>
      <c r="E1491" t="n">
        <v>6</v>
      </c>
      <c r="F1491">
        <f>HYPERLINK("https://www.reddit.com/r/COVID19positive/comments/gt5gdw/my_grandma_tested_positive/")</f>
        <v/>
      </c>
      <c r="G1491" t="inlineStr">
        <is>
          <t>2020-05-29 18:22:48</t>
        </is>
      </c>
      <c r="H1491" t="inlineStr">
        <is>
          <t>Tested Positive - Family</t>
        </is>
      </c>
    </row>
    <row r="1492">
      <c r="A1492" t="inlineStr">
        <is>
          <t>gt5gh8</t>
        </is>
      </c>
      <c r="B1492" t="inlineStr">
        <is>
          <t>Read now! Long termers</t>
        </is>
      </c>
      <c r="C1492" t="inlineStr">
        <is>
          <t>This was posted on an FB groups 
French are using #apresj20 #apresj60 to tweet their long term coronavirus stories. 
A woman in France has just tweeted her experience of having an in-depth consultation (1h15m!) at a hospital that is investigating long-term cases. The hospital has been overwhelmed with calls from similar cases, and is seeing a lot of people with diverse symptoms whose examinations have come back normal or almost normal, with tachycardia common. The medics are keeping an open mind, but these are their hypotheses:
- the virus is no longer active. Some viruses stay active in the body (e.g. herpes), but no known coronavirus has remained active. For those who have been ill a long time it's not a reactivation of the virus, even though they can detect dead cells
- Some of the symptoms are micro-lesions caused by a strong immune reaction which has caused damage while secreting autoimmune antibodies that are attacking our bodies. These micro-lesions aren't detected in examinations but would be seen under a microscope during an autopsy. These lesions are reversible. Medics are more concerned about people whose lesions are detected in examinations. The autoimmune reaction can affect anywhere in the body where the virus is detected, and the affinity with ACE receptors (which are found throughout the body) explains the multitude and diversity of symptoms. 
- After the immune response there is a state of inflammation that can last a long time. This woman's blood tests indicate she is only getting past this at Day 77. This inflammation can be seen in diverse ways in blood tests, and can affect anywhere in the body, causing pain, thickening of blood, etc, on top of the lesions caused by the immune storm.
- After those phases, there is a post viral stage. With other viruses this happens to a small percentage of cases, but with covid it affects a lot more people. This is because the fight has used up a lot of the body's resources, so fatigue is normal. Some shortness of breath could also be on account of this, even without lung problems. We're asking too much effort from our bodies so it shows signs of fighting (shortness of breath, tachycardia, pain). As if you tried to move a heavy piece of furniture normally, except the threshold is much lower. This phase can last several months but should reduce. The medics think that the majority of people shouldn't get chronic fatigue syndrome (he was using Dengue fever and glandular fever as a basis for this assumption)
- There is a risk that the body being weakened could give rise to other things, e.g. other inflammatory issues that were latent but previously indiscernable, but further research is required to understand this. If you have latent viruses from previous illnesses (e.g. herpes, glandular fever, Dengue fever, shingles, chicken pox) you could get symptoms reappearing, but this would be picked up in blood tests.
- His advice was to go at your own pace. Walk, use an exercise bike with no resistance and stop as soon as you are tired or out of breath. Really listen to your body and don't push your limits. Rest, avoid stress, eat well to build up your reserves. Be patient, and look after yourself
- Antibody tests aren't sufficiently reliable (90%), but it's a question of the proteins targeted. If your body hasn't used that protein to fight the virus it won't be detected in tests
- She had 12 blood samples taken for further analysis and to check for other inflammatory illnesses and to study in depth her immune response. She goes back next week for the results</t>
        </is>
      </c>
      <c r="D1492" t="n">
        <v>1</v>
      </c>
      <c r="E1492" t="n">
        <v>156</v>
      </c>
      <c r="F1492">
        <f>HYPERLINK("https://www.reddit.com/r/COVID19positive/comments/gt5gh8/read_now_long_termers/")</f>
        <v/>
      </c>
      <c r="G1492" t="inlineStr">
        <is>
          <t>2020-05-29 18:23:00</t>
        </is>
      </c>
      <c r="H1492" t="inlineStr">
        <is>
          <t>Presumed Positive - From Doctor</t>
        </is>
      </c>
    </row>
    <row r="1493">
      <c r="A1493" t="inlineStr">
        <is>
          <t>gt72lm</t>
        </is>
      </c>
      <c r="B1493" t="inlineStr">
        <is>
          <t>for the people who lost their sense of smell</t>
        </is>
      </c>
      <c r="C1493" t="inlineStr">
        <is>
          <t>hello. for the people who lost their sense of smell. how long did it last for? is it permanent?</t>
        </is>
      </c>
      <c r="D1493" t="n">
        <v>1</v>
      </c>
      <c r="E1493" t="n">
        <v>28</v>
      </c>
      <c r="F1493">
        <f>HYPERLINK("https://www.reddit.com/r/COVID19positive/comments/gt72lm/for_the_people_who_lost_their_sense_of_smell/")</f>
        <v/>
      </c>
      <c r="G1493" t="inlineStr">
        <is>
          <t>2020-05-29 20:15:16</t>
        </is>
      </c>
      <c r="H1493" t="inlineStr">
        <is>
          <t>Tested Positive - Me</t>
        </is>
      </c>
    </row>
    <row r="1494">
      <c r="A1494" t="inlineStr">
        <is>
          <t>gt87gg</t>
        </is>
      </c>
      <c r="B1494" t="inlineStr">
        <is>
          <t>Difference between IGG and IGM antibodies ?</t>
        </is>
      </c>
      <c r="C1494" t="inlineStr">
        <is>
          <t>I tested + for covid on 4/3. I had a boatload of blood work this week including antibodies. I tested + for IGG antibodies but negative for IGM. What is the difference? Thanks!</t>
        </is>
      </c>
      <c r="D1494" t="n">
        <v>1</v>
      </c>
      <c r="E1494" t="n">
        <v>4</v>
      </c>
      <c r="F1494">
        <f>HYPERLINK("https://www.reddit.com/r/COVID19positive/comments/gt87gg/difference_between_igg_and_igm_antibodies/")</f>
        <v/>
      </c>
      <c r="G1494" t="inlineStr">
        <is>
          <t>2020-05-29 21:41:07</t>
        </is>
      </c>
      <c r="H1494" t="inlineStr">
        <is>
          <t>Tested Positive - Me</t>
        </is>
      </c>
    </row>
    <row r="1495">
      <c r="A1495" t="inlineStr">
        <is>
          <t>gt89sk</t>
        </is>
      </c>
      <c r="B1495" t="inlineStr">
        <is>
          <t>The disease started anew after 11 weeks</t>
        </is>
      </c>
      <c r="C1495" t="inlineStr">
        <is>
          <t>First symptom was March 15  
**May 24:** I beef even though not hungry.  Later developed **tickle in throat.** (new symptom).  Coughed lots, only other time I coughed that much was one night in March.  
**May 27:** didn't eat all day, had burger at night.  SOB got worse, possibly resembling beginning stages of ARDS--SOB never this bad before, feels like half of lung is dead.  Breaths quick and labored.  
**May 28:** Breathing improved a little.  Since sky was cloudy, I sat under bright fluorescent lights instead.  Did this twice that day (never done this before, house lights are incandescent).  Second time, **saliva started tasting sweet.**  After, food didn't taste normal.  
**May 29 (today):** Breathing improved a little more, still feels like parts of lower lung are dead.  Nothing remarkable
It feels like I've begun COVID anew, right from the start.  So many new symptoms (tickle throat, loss of taste, and the coughing fit that I only ever had back on March 21, when my sickness first made itself clear.</t>
        </is>
      </c>
      <c r="D1495" t="n">
        <v>1</v>
      </c>
      <c r="E1495" t="n">
        <v>8</v>
      </c>
      <c r="F1495">
        <f>HYPERLINK("https://www.reddit.com/r/COVID19positive/comments/gt89sk/the_disease_started_anew_after_11_weeks/")</f>
        <v/>
      </c>
      <c r="G1495" t="inlineStr">
        <is>
          <t>2020-05-29 21:46:11</t>
        </is>
      </c>
      <c r="H1495" t="inlineStr">
        <is>
          <t>Presumed Positive - From Doctor</t>
        </is>
      </c>
    </row>
    <row r="1496">
      <c r="A1496" t="inlineStr">
        <is>
          <t>gtahpz</t>
        </is>
      </c>
      <c r="B1496" t="inlineStr">
        <is>
          <t>SpO2 simplified</t>
        </is>
      </c>
      <c r="C1496" t="inlineStr">
        <is>
          <t>95-100 you are ok
90-95 not normal but you are still ok. Keep track and go doctor
90 or below time for the hospital</t>
        </is>
      </c>
      <c r="D1496" t="n">
        <v>1</v>
      </c>
      <c r="E1496" t="n">
        <v>26</v>
      </c>
      <c r="F1496">
        <f>HYPERLINK("https://www.reddit.com/r/COVID19positive/comments/gtahpz/spo2_simplified/")</f>
        <v/>
      </c>
      <c r="G1496" t="inlineStr">
        <is>
          <t>2020-05-30 00:53:10</t>
        </is>
      </c>
      <c r="H1496" t="inlineStr">
        <is>
          <t>Presumed Positive - From Doctor</t>
        </is>
      </c>
    </row>
    <row r="1497">
      <c r="A1497" t="inlineStr">
        <is>
          <t>gtb5bd</t>
        </is>
      </c>
      <c r="B1497" t="inlineStr">
        <is>
          <t>Aftermath</t>
        </is>
      </c>
      <c r="C1497" t="inlineStr">
        <is>
          <t>21o female, no health issues, healthy lifestyle.
Got very sick in february after a trip to Rome (coughing, earinfection, high fever, heart palpitations). The months after i remained feeling extremely tired (too tired to get breakfast, needed a break after brushing my teeth). I never got tested, because of the low testing capacity where i live only old people an people at risk get tested. Rome at that time wasn’t considered a risk area (even though there was a confirmed outbreak). But whatever i just stayed calm and took care of myself. Now almost june i still suffer from heartproblems. I cant walk for more then 10 minutes. Ended up on the ER after fainting. Cardiologist said my heart got infected from covid 19. I cant do any activity because my pulse is too high. I belong to the risk group now so i’m scared i’ll catch it again. My country doesn’t test for antibodies but from my blood results they could see i’m no longer infected right now (white blood cells, ... i guess?).
Now the scary thing: i avoided contact for months. When i did see someone, the next day my throat immediatly hurted and i felt more tired again. This has happened three times and the symptoms last for a week. Luckily they dont get worse but it scares me to death. 
Simmilar experiences? Can you relapse multiple times? Or innocent?</t>
        </is>
      </c>
      <c r="D1497" t="n">
        <v>1</v>
      </c>
      <c r="E1497" t="n">
        <v>93</v>
      </c>
      <c r="F1497">
        <f>HYPERLINK("https://www.reddit.com/r/COVID19positive/comments/gtb5bd/aftermath/")</f>
        <v/>
      </c>
      <c r="G1497" t="inlineStr">
        <is>
          <t>2020-05-30 01:54:08</t>
        </is>
      </c>
      <c r="H1497" t="inlineStr">
        <is>
          <t>Presumed Positive - From Doctor</t>
        </is>
      </c>
    </row>
    <row r="1498">
      <c r="A1498" t="inlineStr">
        <is>
          <t>gtb8jt</t>
        </is>
      </c>
      <c r="B1498" t="inlineStr">
        <is>
          <t>Lost lasting mild fever</t>
        </is>
      </c>
      <c r="C1498" t="inlineStr">
        <is>
          <t>I’m on day 25. Most of my symptoms are gone but still have a mild daily fever of 95.5-100 F.  Yeah, some days I still have some stomach problems and headaches, but nothing like it was before. That darn fever just won’t go away. 
My doc told me today that they’ve had some patients now that have had a fever for more than 40 days now. I’m just glad to hear that the doctors office is aware of this now. 
I’ve heard other people suffering from similar things here. 
It seems we are not alone, and doctors offices are starting to realize some of us are suffering for longer than usual “mild” cases. Hopefully in some strange way that’s comforting. 😉</t>
        </is>
      </c>
      <c r="D1498" t="n">
        <v>1</v>
      </c>
      <c r="E1498" t="n">
        <v>10</v>
      </c>
      <c r="F1498">
        <f>HYPERLINK("https://www.reddit.com/r/COVID19positive/comments/gtb8jt/lost_lasting_mild_fever/")</f>
        <v/>
      </c>
      <c r="G1498" t="inlineStr">
        <is>
          <t>2020-05-30 02:02:32</t>
        </is>
      </c>
      <c r="H1498" t="inlineStr">
        <is>
          <t>Presumed Positive - From Doctor</t>
        </is>
      </c>
    </row>
    <row r="1499">
      <c r="A1499" t="inlineStr">
        <is>
          <t>gtbr6h</t>
        </is>
      </c>
      <c r="B1499" t="inlineStr">
        <is>
          <t>Tachycardia - Figuring out when and why.</t>
        </is>
      </c>
      <c r="C1499" t="inlineStr">
        <is>
          <t>Hi Reddit,
Posted before about tachycardia and random spo2 drops. Got very friendly advice about the readings and taking vitamins, which were taken to heart. Further along the covid line now. Wonder if anyone noticed the same as me.
Before anything: Im not a doctor, there's no advice in this just what I personally experienced and measured. Experiences may vary in each individual :) Not looking for a diagnosis here ofc, just sharing stories. Also, long post is long, sorry for the read but I figured context may be important.
In short:
Im at day 80something, presumed positive in March, tested late so negative twice, clean blood, clean lungs, seemingly alright ECG except tachycardia and palpitations. Waiting for a bicycle fitness ECG and 24hr monitoring test to check for arrythmia.
Lingering cough, quickly out of breath with spo2 dips to 90-95 after for example walking upstairs or doing the laundry and primarily a heart rate that keeps going up. I used to be ok-fit slightly high bodyfat percentage but not overweight.
I check my Fitbit for the heartrate and have the same pulse-oxymeter as my GP that also measures HR. Fitbit seems to be a slightly lower HR than the pulseox.
The point:
I've had about six weeks now to 'experiment' with the heart rate conditions after the fever went away and I noticed a few things.
- When sleeping the heart rate is mildly elevated from what it used to be (+- +10 extra)
- When lying down it's around 60-75
- When sitting it goes from 75 - 90
- When standing still it goes to 90 - 120
- When I walk it goes anywhere from 100 - 150
Noticed:
- Often wake up from vivid dreams after about 4-5 hours with a HR of 80+ not sure if the HR wakes me up or the dreaming increased my HR.
- When standing up from lying down it immediately shoots to the 100+ range within seconds. If I stand still it stabilizes to 90-110 after a bit.
- it stabilizes when sitting down after a short walk (a mile or so) to the 85 - 100 range but it can take a while, sometimes hours. Some days it's at 75ish for a while when lucky. That used to be normal for me.
-  Noticed the heart rate is usually higher around dinner time and 2 hours after eating. 
- Sometimes the heartrate randomly shoots to the 100+ range for a while, even going to 160, only to stop doing that whenever it pleases. can't seem to identify the trigger. 
I feel like it usually happens hours after I've taken a walk.
- Sometimes I feel a ton of random adrenaline, like I ate a bag of sugar, feeling subsides after a few hours.
- Somewhere around the time I usually go to bed my heart rate lowers to 70-80 when I sit. Like it anticipates the rest.
- BP ranges from 120 - 75 to 160 - 100+ seemingly random if measured. Usually somewhere 140-90 never had problems before.
"Doctor Google" says POTS but I dont have much faith in Dr Google ;) It does seem like my body is having trouble getting enough blood through my system when standing up. 
I have had relapses with more tachycardia trying to walk a bit or do mild excersize so Im really trying not to find the balance between enough bedrest to keep my heartrate from going up and not deconditioning more than I already have after nearly three months. 
Anyone with very similar outputs? Constructive input always welcome ofcourse.
Wishing you all the best and a clean recovery.</t>
        </is>
      </c>
      <c r="D1499" t="n">
        <v>1</v>
      </c>
      <c r="E1499" t="n">
        <v>24</v>
      </c>
      <c r="F1499">
        <f>HYPERLINK("https://www.reddit.com/r/COVID19positive/comments/gtbr6h/tachycardia_figuring_out_when_and_why/")</f>
        <v/>
      </c>
      <c r="G1499" t="inlineStr">
        <is>
          <t>2020-05-30 02:51:29</t>
        </is>
      </c>
      <c r="H1499" t="inlineStr">
        <is>
          <t>Presumed Positive - From Doctor</t>
        </is>
      </c>
    </row>
    <row r="1500">
      <c r="A1500" t="inlineStr">
        <is>
          <t>gtcnyf</t>
        </is>
      </c>
      <c r="B1500" t="inlineStr">
        <is>
          <t>Positive and in downtown Minneapolis</t>
        </is>
      </c>
      <c r="C1500" t="inlineStr">
        <is>
          <t>I live in downtown Minneapolis. I tested positive on Tuesday and am having increasing anxiety about the riots around me. Husband has tested negative. Helicopters are over my apartment all day and night, my neighborhood is boarded up, gas stations are closed. I’ve been up every night watching the news until at least 1 am making sure they aren’t moving closer to my area with fires.  I really want to leave but am not sure what my options are. I don’t want to be responsible for spreading and starting an outbreak at a nearby hotel but am not sure I can continue to stay here with reports of military police potentially moving in today and violence moving closer and closer to me each night. What are your thoughts on seeking temporary shelter with a positive diagnosis? My symptoms are mild, similar to sinus infection - congestion, post nasal drip leading to slight cough, and no sense of taste or smell.</t>
        </is>
      </c>
      <c r="D1500" t="n">
        <v>1</v>
      </c>
      <c r="E1500" t="n">
        <v>13</v>
      </c>
      <c r="F1500">
        <f>HYPERLINK("https://www.reddit.com/r/COVID19positive/comments/gtcnyf/positive_and_in_downtown_minneapolis/")</f>
        <v/>
      </c>
      <c r="G1500" t="inlineStr">
        <is>
          <t>2020-05-30 04:16:50</t>
        </is>
      </c>
      <c r="H1500" t="inlineStr">
        <is>
          <t>Tested Positive - Me</t>
        </is>
      </c>
    </row>
    <row r="1501">
      <c r="A1501" t="inlineStr">
        <is>
          <t>gtdo19</t>
        </is>
      </c>
      <c r="B1501" t="inlineStr">
        <is>
          <t>Question for the Ladies</t>
        </is>
      </c>
      <c r="C1501" t="inlineStr">
        <is>
          <t>Has anyone noticed extremely heavy flows that won't end and an increase in clots? I thought maybe this was from stress from having the virus, but now I'm wondering if it's something to do with how the virus alters and thickens the blood. My D Dimer keeps coming back abnormally high, but after CT scans I show no blood clots.</t>
        </is>
      </c>
      <c r="D1501" t="n">
        <v>1</v>
      </c>
      <c r="E1501" t="n">
        <v>8</v>
      </c>
      <c r="F1501">
        <f>HYPERLINK("https://www.reddit.com/r/COVID19positive/comments/gtdo19/question_for_the_ladies/")</f>
        <v/>
      </c>
      <c r="G1501" t="inlineStr">
        <is>
          <t>2020-05-30 05:41:33</t>
        </is>
      </c>
      <c r="H1501" t="inlineStr">
        <is>
          <t>Presumed Positive - From Doctor</t>
        </is>
      </c>
    </row>
    <row r="1502">
      <c r="A1502" t="inlineStr">
        <is>
          <t>gtfw2c</t>
        </is>
      </c>
      <c r="B1502" t="inlineStr">
        <is>
          <t>Honestly I am thinking that Covid19 is chronic</t>
        </is>
      </c>
      <c r="C1502" t="inlineStr">
        <is>
          <t>Reading the posts about the so many relapses even 1, 2 months later after full ‘recovery’ , (together with the Chinese studies that it kills immune T cells and evades them using the same method as HIV), I am thinking now that this virus will be chronic</t>
        </is>
      </c>
      <c r="D1502" t="n">
        <v>1</v>
      </c>
      <c r="E1502" t="n">
        <v>90</v>
      </c>
      <c r="F1502">
        <f>HYPERLINK("https://www.reddit.com/r/COVID19positive/comments/gtfw2c/honestly_i_am_thinking_that_covid19_is_chronic/")</f>
        <v/>
      </c>
      <c r="G1502" t="inlineStr">
        <is>
          <t>2020-05-30 08:15:39</t>
        </is>
      </c>
      <c r="H1502" t="inlineStr">
        <is>
          <t>Presumed Positive - From Doctor</t>
        </is>
      </c>
    </row>
    <row r="1503">
      <c r="A1503" t="inlineStr">
        <is>
          <t>gtgp2w</t>
        </is>
      </c>
      <c r="B1503" t="inlineStr">
        <is>
          <t>been sick since march</t>
        </is>
      </c>
      <c r="C1503" t="inlineStr">
        <is>
          <t>male 17 5’10 ab 160 lbs
i was tested positive April 3rd
basically i’ve had a constant wheeze and ive been having visual issues almost like its snowing or raining ive been having heart palpitations aswell and have been pretty dizzy as well the urgent care doctor just put it off as GERD which i did have acid refluxes frequently which omeprazole has helped during the peak of my symptoms i had really serious palpitations which didnt stop and I was forced to sleep on and woke up on it as well i had nights i felt like i was vibrating and also had nights i was scared to fall asleep and I truly have never been scared of death or ever been anxious but I was just terrified to die im not sure. 
The symptoms are no where as serious as they where they tried to say the wheezing was bronchitis but its been about 1 month after and im still experiencing wheezing and if i didn’t add I never experienced any common symptoms besides red eyes which my eyes are still red and slight chest tightness currently I feel extremely heavy and im not sure why and i’ve been experiencing some malaise aswell It’s frustrating because i truly felt I was over it. I have been taking it pretty easy as well 
Any symptoms in common? And any ideas on what the heavy feeling could be? share your experiences with me</t>
        </is>
      </c>
      <c r="D1503" t="n">
        <v>1</v>
      </c>
      <c r="E1503" t="n">
        <v>9</v>
      </c>
      <c r="F1503">
        <f>HYPERLINK("https://www.reddit.com/r/COVID19positive/comments/gtgp2w/been_sick_since_march/")</f>
        <v/>
      </c>
      <c r="G1503" t="inlineStr">
        <is>
          <t>2020-05-30 09:12:11</t>
        </is>
      </c>
      <c r="H1503" t="inlineStr">
        <is>
          <t>Tested Positive - Family</t>
        </is>
      </c>
    </row>
    <row r="1504">
      <c r="A1504" t="inlineStr">
        <is>
          <t>gtgv8k</t>
        </is>
      </c>
      <c r="B1504" t="inlineStr">
        <is>
          <t>I mowed the lawn for a little bit today</t>
        </is>
      </c>
      <c r="C1504" t="inlineStr">
        <is>
          <t>I’m on week.... idek anymore. I also don’t know if my test was accurate, no antibodies. 
I’ve been pretty depressed so I thought I’d just try to suck it up and get up and do something. I have random chest wall pains still. I wake up tired. I have tachycardia and bradycardia depending on if I’m standing or sitting. My lawn was bad though and I have a self propelled mower. I did 65% of it before I had to stop. I don’t want to push myself too hard but I also don’t want all my muscles to atrophy. Sometimes I can’t tell if my symptoms are anxiety/depression or if they are Covid related. My o2 is good. My heart rate while mowing didn’t go above 165 today and I’ve only cried once. Small victories. What also helps me ( which is going to sound like I’m a terrible person) is looking at statistics for other 34 year olds. We do pretty well, even if a few don’t. I’m still too afraid to leave my house and either spread it ( or catch it at this point since maybe my pcr was wrong) I’ve been sick on and off since March 10th ish. Today though, after about 15 days mostly in bed too tired to sleep I mowed the lawn. I hope everyone here is well or on their way to being so. My head hurts as I write this so hopefully it wasn’t all a huge mistake.</t>
        </is>
      </c>
      <c r="D1504" t="n">
        <v>1</v>
      </c>
      <c r="E1504" t="n">
        <v>15</v>
      </c>
      <c r="F1504">
        <f>HYPERLINK("https://www.reddit.com/r/COVID19positive/comments/gtgv8k/i_mowed_the_lawn_for_a_little_bit_today/")</f>
        <v/>
      </c>
      <c r="G1504" t="inlineStr">
        <is>
          <t>2020-05-30 09:22:38</t>
        </is>
      </c>
      <c r="H1504" t="inlineStr">
        <is>
          <t>Tested Positive</t>
        </is>
      </c>
    </row>
    <row r="1505">
      <c r="A1505" t="inlineStr">
        <is>
          <t>gth0tr</t>
        </is>
      </c>
      <c r="B1505" t="inlineStr">
        <is>
          <t>Did you need blood thinners?</t>
        </is>
      </c>
      <c r="C1505" t="inlineStr">
        <is>
          <t>Have you had a blood tested? Where you prescribed blood thinners?
[View Poll](https://www.reddit.com/poll/gth0tr)</t>
        </is>
      </c>
      <c r="D1505" t="n">
        <v>1</v>
      </c>
      <c r="E1505" t="n">
        <v>2</v>
      </c>
      <c r="F1505">
        <f>HYPERLINK("https://www.reddit.com/r/COVID19positive/comments/gth0tr/did_you_need_blood_thinners/")</f>
        <v/>
      </c>
      <c r="G1505" t="inlineStr">
        <is>
          <t>2020-05-30 09:31:52</t>
        </is>
      </c>
      <c r="H1505" t="inlineStr">
        <is>
          <t>Presumed Positive - From Doctor</t>
        </is>
      </c>
    </row>
    <row r="1506">
      <c r="A1506" t="inlineStr">
        <is>
          <t>gtjfp8</t>
        </is>
      </c>
      <c r="B1506" t="inlineStr">
        <is>
          <t>A positive swab test (after 67-ish days since initial symptoms have occurred)</t>
        </is>
      </c>
      <c r="C1506" t="inlineStr">
        <is>
          <t>Symptoms started the beginning of the week of March 23rd for my mother. I presumed it was Covid 19 due to the kind of symptoms she initially started with which was a sore throat, dry cough, a fever, and a lot of sticky mucus in her upper respiratory track. We definitely knew what was up once other members of our small household such as myself (age:22) and my grandmother (age:76) also began to display the same symptoms. we immediately began combatting our symptoms with OTC medication such as dayquil, nyquil, zyrtec, mucinex, vicks, tylenol, vitamin D &amp;amp; C, staying hydrated as well as plenty of homemade tea.. you name it. All of us have had relatively moderate cases, I wouldnt call them severe as none of us have required hospitalization, and we’ve all just been taking it slowly working it out as we go day by day.
None of us were confirmed positive though as we havent been to the doctors  because of us not really having any extra money to pay out of pocket since none of us have health insurance anymore. however, just recently my mother (age:51) was able to get swabbed last week, as it seems her symptoms came back. She received her test results yesterday and she came back positive. 
I’ve been slightly worried but not really about her respiratory capacity (she doesn’t smoke or drink) even though she has the frequent dry cough again. I’m more worried about how the virus will affect her other organs, such as her kidneys, or her liver &amp;amp; heart. Even though shes a relatively healthy women and does a fair bit of exercise as her job is pretty physically demanding. 
For research purposes, does anyone know of any cases in which a persons recovered from the harsh initial symptoms of Covid 19 but later on as the more mild symptoms began again, ended up displaying issues with other vital organs which ended up requiring hospitalization? What should I be on the look out for? I keep asking her how she’s feeling but she just tells me shes fine as she doesn’t want me to worry. 
I know this is thought of as mainly a disease which inflicts havoc upon the respiratory system so I keep asking her if she feels light headed, or if shes having a hard time breathing, &amp;amp; the most i’ve gotten out of her is that she is slightly fatigued, and has back aches and pains but she still get up &amp;amp; at ‘em, and can tend to her garden out back.
Another thing that kind of tickles my mind though. Me (age:22) and my relatively healthy grandmother (age:76) had symptoms as well towards the end of the week of March 23rd. All three of our initial symptoms ran their course and cleared up around mid-late April, and I thought we were all in the clear, I am still under the impression we are because I know the more lethal &amp;amp; severe cases take a turn for the worse quickly &amp;amp; makes it pretty apparent when it require’s hospitalization...or does it?
My symptoms haven’t returned however in the same way my mothers, and even my grandmothers has. I’ve been slightly sore with what I would describe to be as Costochondritis, just aches around the mid section of my sternum, red and very itchy eyes at first but that has gone away, also a very localized patch..kind of a red rash developed just next to my elbow on my bicep (not sure if related) but that seems to have cleared up. However absolutely no coughing, shortness of breath, or fatigue. I can jog up and back down the street, and I know that for a fact because I went for a run yesterday afternoon just kinda trying to push myself, not sure if that was a smart thing to do, but hey i’m young, figured i’d might as well try. 
I made it back in decent time, and I wasn’t too tired. Even this morning it seems as though my soreness has subsided, and isn’t nearly as bad as it was at the beginning of this week and last(when our issues flared back up). My grandmother on the other hand began last week as well with a runny nose, dry cough, slight fatigue, but nothing I would describe to be worse than a common (albeit nasty) cold. 
Her and my mother have been an immense support for one another and I think thats such a blessing. Their mental state has been optimistic. I’ve kept any news stations off the TV, and have been encouraging them to spend time out back even just on the patio. 
The main thing that just absolutely bugs the hell out of me though is the worry that my symptoms will return to the way they were. (alottt of mucous both upper respiratory and in my lungs, plenty of coughing, a fever, headaches and random sensations of pins &amp;amp; needles in my limbs) Maybe not now but later down the line. TBH, I’m worried that theirs might come back again even after this little squabble with their ongoing symptoms is over. Even though currently I may describe it to be mild..I have absolutely no clue what kind of damage is happening to their bodies organs, it seems as if most doctors still don’t know or just are not actively researching....and thats what REALLY bugs me. Am I being too paranoid? Any words of advice from you all on how to stay vigilant? I really don’t know what more I can do to help the situation, and im such an impatient person I just cant stand to be just waiting around to see if things get worse or not. 
(Writing this on mobile, and from a throwaway, so please excuse &amp;amp; forgive  any formatting/grammar/spelling errors)</t>
        </is>
      </c>
      <c r="D1506" t="n">
        <v>1</v>
      </c>
      <c r="E1506" t="n">
        <v>0</v>
      </c>
      <c r="F1506">
        <f>HYPERLINK("https://www.reddit.com/r/COVID19positive/comments/gtjfp8/a_positive_swab_test_after_67ish_days_since/")</f>
        <v/>
      </c>
      <c r="G1506" t="inlineStr">
        <is>
          <t>2020-05-30 11:47:29</t>
        </is>
      </c>
      <c r="H1506" t="inlineStr">
        <is>
          <t>Tested Positive - Family</t>
        </is>
      </c>
    </row>
    <row r="1507">
      <c r="A1507" t="inlineStr">
        <is>
          <t>gtjpym</t>
        </is>
      </c>
      <c r="B1507" t="inlineStr">
        <is>
          <t>2 Days in so far</t>
        </is>
      </c>
      <c r="C1507" t="inlineStr">
        <is>
          <t>Ok guys so I was confirmed positive 5 days ago and started getting symptoms “Fever, Stomach issues, Fatigue etc” 2 days ago. My question is, is this it? I mean don’t get me wrong I’m on my ass but it’s definitely bearable like I had strep a couple years back and it was infinitely worse than this. For survivors, do symptoms get worse over time?</t>
        </is>
      </c>
      <c r="D1507" t="n">
        <v>1</v>
      </c>
      <c r="E1507" t="n">
        <v>2</v>
      </c>
      <c r="F1507">
        <f>HYPERLINK("https://www.reddit.com/r/COVID19positive/comments/gtjpym/2_days_in_so_far/")</f>
        <v/>
      </c>
      <c r="G1507" t="inlineStr">
        <is>
          <t>2020-05-30 12:04:03</t>
        </is>
      </c>
      <c r="H1507" t="inlineStr">
        <is>
          <t>Tested Positive - Me</t>
        </is>
      </c>
    </row>
    <row r="1508">
      <c r="A1508" t="inlineStr">
        <is>
          <t>gtjvgy</t>
        </is>
      </c>
      <c r="B1508" t="inlineStr">
        <is>
          <t>Is this it?</t>
        </is>
      </c>
      <c r="C1508" t="inlineStr">
        <is>
          <t>Ok guys so I was tested positive around 5 days ago and started getting symptoms “Green mucus, Fever, shivers etc” 2 days ago. Don’t get me wrong it’s put me on my ass but I had strep a couple years back and it was worse than this. So my question to survivors is does it get worse from here or is this what it’s going to be?</t>
        </is>
      </c>
      <c r="D1508" t="n">
        <v>1</v>
      </c>
      <c r="E1508" t="n">
        <v>3</v>
      </c>
      <c r="F1508">
        <f>HYPERLINK("https://www.reddit.com/r/COVID19positive/comments/gtjvgy/is_this_it/")</f>
        <v/>
      </c>
      <c r="G1508" t="inlineStr">
        <is>
          <t>2020-05-30 12:12:14</t>
        </is>
      </c>
      <c r="H1508" t="inlineStr">
        <is>
          <t>Tested Positive - Me</t>
        </is>
      </c>
    </row>
    <row r="1509">
      <c r="A1509" t="inlineStr">
        <is>
          <t>gtki1t</t>
        </is>
      </c>
      <c r="B1509" t="inlineStr">
        <is>
          <t>Are ventilators the wrong treatment for C19?</t>
        </is>
      </c>
      <c r="C1509" t="inlineStr">
        <is>
          <t>I have a hypothesis. It may, or may not be correct. 
1. Many or our X-rays and CTs come back clean, many people have high O2 stats while still struggling to breathe properly. Therefore mechanically in most cases the lungs appear to be in good working order.
2. The point of ventilators are to force oxygen into the lungs when they are too weak to do so themselves. With my experience, my lungs pumped just fine, but it felt like I was under blankets breathing my own CO2.
3. From points 1 and 2, my hypothesis is that ventilators, being hard on the body, may not only be unhelpful, but may be detrimental to C19 patients. They are given to us anyway under the one-size-fits-all approach of the medical establishment: you are starved for oxygen so let's shove some air in there.
4. Other mechanisms: if infection or inflammation reaches the brain stem (which does have ACE2), autonomic/involuntary bodily systems like breathing and digestion would be affected even if the lungs and gut are healthy. If that is the case, we are barking up the wrong tree using mechanical ventilation.
Again it's just a hypothesis, I don't claim to have any esoteric knowledge, and even if I'm right I'm sure it would not apply for all cases. Thanks for reading = )</t>
        </is>
      </c>
      <c r="D1509" t="n">
        <v>1</v>
      </c>
      <c r="E1509" t="n">
        <v>9</v>
      </c>
      <c r="F1509">
        <f>HYPERLINK("https://www.reddit.com/r/COVID19positive/comments/gtki1t/are_ventilators_the_wrong_treatment_for_c19/")</f>
        <v/>
      </c>
      <c r="G1509" t="inlineStr">
        <is>
          <t>2020-05-30 12:49:09</t>
        </is>
      </c>
      <c r="H1509" t="inlineStr">
        <is>
          <t>Tested Positive - Me</t>
        </is>
      </c>
    </row>
    <row r="1510">
      <c r="A1510" t="inlineStr">
        <is>
          <t>gtl3yp</t>
        </is>
      </c>
      <c r="B1510" t="inlineStr">
        <is>
          <t>Questions Regarding My Son (18)</t>
        </is>
      </c>
      <c r="C1510" t="inlineStr">
        <is>
          <t>I hope this is ok to post.
My son just had the test this morning for Covid but based on his symptoms, the doctor told him to quarantine for ten days and he is presumed positive. I’m treating his fever with Motrin and fluids. The range for his fever has been 101.9 to 102.3 so far, and it hasn’t gone down for two days. His symptoms are weakness, fatigue, cold then hot then cold, full body aches, chest heavy feeling when breathing, migraine, neck pain and no appetite. His O2 levels have wavered between 93 to 96 sat. We won’t get the results likely until Monday or Tuesday but the doc said he believes it’s covid and will be treating as such regardless of the results. (Negative for strep, no flu test but he had the flu shot if that matters. We were told to watch for extreme neck pain and stiffness and take him to the ER immediately if that happened.)
My questions are what more can I do for him? Those of you who went through this, what would you have wanted or needed for your caregiver to do for you? What signs should i look for that things are getting dangerous? I did talk to the doctor as much as possible but was very worried and overwhelmed and probably didn’t absorb all the info i was told and I’m reading conflicting things. I’m a mess, TBH. I was just hoping to get some advice if possible. I’m sorry to all of you who have gone through this miserable thing or have watched your loved ones go through it. It’s extremely scary, I would trade places with him in a heartbeat.</t>
        </is>
      </c>
      <c r="D1510" t="n">
        <v>1</v>
      </c>
      <c r="E1510" t="n">
        <v>17</v>
      </c>
      <c r="F1510">
        <f>HYPERLINK("https://www.reddit.com/r/COVID19positive/comments/gtl3yp/questions_regarding_my_son_18/")</f>
        <v/>
      </c>
      <c r="G1510" t="inlineStr">
        <is>
          <t>2020-05-30 13:24:49</t>
        </is>
      </c>
      <c r="H1510" t="inlineStr">
        <is>
          <t>Presumed Positive - From Doctor</t>
        </is>
      </c>
    </row>
    <row r="1511">
      <c r="A1511" t="inlineStr">
        <is>
          <t>gtl961</t>
        </is>
      </c>
      <c r="B1511" t="inlineStr">
        <is>
          <t>I am a nurse and I have not had social contact for 3 months outside of work. I am neg for Covid now-People don’t invite for social distance activity or call even socially, I’m getting depressed</t>
        </is>
      </c>
      <c r="C1511" t="inlineStr">
        <is>
          <t>I have been home alone, my kid is at the other parents for 3 months because of Covid an d I’m working in a hospital.  My mental health is declining. I called the psych help
Hotline offered at work and they can’t speak to me for an appointment for another week and I have to fill out insurance paperwork first and I am
In no condition to do this.   What else can I do?  I’m suffering.</t>
        </is>
      </c>
      <c r="D1511" t="n">
        <v>1</v>
      </c>
      <c r="E1511" t="n">
        <v>103</v>
      </c>
      <c r="F1511">
        <f>HYPERLINK("https://www.reddit.com/r/COVID19positive/comments/gtl961/i_am_a_nurse_and_i_have_not_had_social_contact/")</f>
        <v/>
      </c>
      <c r="G1511" t="inlineStr">
        <is>
          <t>2020-05-30 13:33:22</t>
        </is>
      </c>
      <c r="H1511" t="inlineStr">
        <is>
          <t>Tested Positive - Me</t>
        </is>
      </c>
    </row>
    <row r="1512">
      <c r="A1512" t="inlineStr">
        <is>
          <t>gtm0wl</t>
        </is>
      </c>
      <c r="B1512" t="inlineStr">
        <is>
          <t>Back Pain</t>
        </is>
      </c>
      <c r="C1512" t="inlineStr">
        <is>
          <t>I had mild COVID symptoms back in March and experienced a sharp pain in the upper left part of my back around that time. I'd never had any back issues before. The back pain has returned the past couple weeks, but this stretch has been much longer than the initial couple days of back pain around the time of my other symptoms. Has anyone else experienced back pain that coincided with their other COVID symptoms?</t>
        </is>
      </c>
      <c r="D1512" t="n">
        <v>1</v>
      </c>
      <c r="E1512" t="n">
        <v>5</v>
      </c>
      <c r="F1512">
        <f>HYPERLINK("https://www.reddit.com/r/COVID19positive/comments/gtm0wl/back_pain/")</f>
        <v/>
      </c>
      <c r="G1512" t="inlineStr">
        <is>
          <t>2020-05-30 14:15:36</t>
        </is>
      </c>
      <c r="H1512" t="inlineStr">
        <is>
          <t>Presumed Positive - From Doctor</t>
        </is>
      </c>
    </row>
    <row r="1513">
      <c r="A1513" t="inlineStr">
        <is>
          <t>gtm6tx</t>
        </is>
      </c>
      <c r="B1513" t="inlineStr">
        <is>
          <t>Long term loss of smell and taste</t>
        </is>
      </c>
      <c r="C1513" t="inlineStr">
        <is>
          <t>I had mild COVID symptoms back in March that included headache, fatigue, and muscle aches. Shortly after those symptoms resolved I completely lost my senses of smell and taste. Since then, my taste has gradually improved to about 50% of what it used to be, but my smell is still close to zero (although some days I can randomly smell a bit better). Has anyone lost their sense of smell for over two months and then eventually fully recovered it?</t>
        </is>
      </c>
      <c r="D1513" t="n">
        <v>1</v>
      </c>
      <c r="E1513" t="n">
        <v>6</v>
      </c>
      <c r="F1513">
        <f>HYPERLINK("https://www.reddit.com/r/COVID19positive/comments/gtm6tx/long_term_loss_of_smell_and_taste/")</f>
        <v/>
      </c>
      <c r="G1513" t="inlineStr">
        <is>
          <t>2020-05-30 14:24:50</t>
        </is>
      </c>
      <c r="H1513" t="inlineStr">
        <is>
          <t>Presumed Positive - From Doctor</t>
        </is>
      </c>
    </row>
    <row r="1514">
      <c r="A1514" t="inlineStr">
        <is>
          <t>gtm8t9</t>
        </is>
      </c>
      <c r="B1514" t="inlineStr">
        <is>
          <t>Are doctors more wise about covid tachycardia? I think I'm going crazy</t>
        </is>
      </c>
      <c r="C1514" t="inlineStr">
        <is>
          <t>4+ weeks of being tachycardic. 8+ weeks since I started showing symptoms. I don't think I've ever experienced something like this, not even when I was sick from myocarditis.
My heart rate is constantly elevated in the high 80's and 90's. A sudden small movement makes it jump 10-15 bpm. Standing up makes it go up to 130-140. I feel winded all the time. I feel like an invalid. I'm a previously healthy women who went to the gym 3 times a week and loves running once or twice a week. Any of these are completely out of the equation right now.
ECG is normal. Ultrasound is normal. The doctors are  clueless. Bloodwork is normal. What the hell is going on?</t>
        </is>
      </c>
      <c r="D1514" t="n">
        <v>1</v>
      </c>
      <c r="E1514" t="n">
        <v>20</v>
      </c>
      <c r="F1514">
        <f>HYPERLINK("https://www.reddit.com/r/COVID19positive/comments/gtm8t9/are_doctors_more_wise_about_covid_tachycardia_i/")</f>
        <v/>
      </c>
      <c r="G1514" t="inlineStr">
        <is>
          <t>2020-05-30 14:27:59</t>
        </is>
      </c>
      <c r="H1514" t="inlineStr">
        <is>
          <t>Presumed Positive - From Doctor</t>
        </is>
      </c>
    </row>
    <row r="1515">
      <c r="A1515" t="inlineStr">
        <is>
          <t>gtmcjy</t>
        </is>
      </c>
      <c r="B1515" t="inlineStr">
        <is>
          <t>Tested came back positive today.. Happy Birthday to me.</t>
        </is>
      </c>
      <c r="C1515" t="inlineStr">
        <is>
          <t>Last weekend i felt a lot of fatigue set in with a small cough but not much mucus. Tuesday the fatigue symptoms began to ease off and things started to feel like it was getting better, it wasn’t until this Wednesday that i lost my sense of smell and taste. I left the next day on Thursday early from work and wanted to be seen by a doctor, two different clinics did not want to see me and the third referred me to a Covid-19 center because of symptoms i was having, so i decided to be tested. Today i found out that i am indeed positive and yes on my birthday of all days. My family is devastated especially since i was working out of town and i am quarantined here and they cant see me. It’s crazy how much everything has changed in less than 5 hrs.
My symptoms: 
1. Extreme Fatigue
2. Loss of smell and taste
3. Dry cough very mild 
4. Yellow Mucus “When possible to cough out”
5. Loss of appetite 
6. I can breathe pretty well at this time
My question is basically what do i do from here? What have you done? After the 14 days has anyone have a negative result the second time they tested?
The doctor didn’t prescribe anything but i am taking vitamin C and B12. 
I feel like this is the worst of it, but from others experiences can it get worse for me from here?
Anything you can message me will help since i feel like i will lose my mind with the fact that i will locked away for the next 14 days waiting to see if i will need to go to the ER or not.</t>
        </is>
      </c>
      <c r="D1515" t="n">
        <v>1</v>
      </c>
      <c r="E1515" t="n">
        <v>5</v>
      </c>
      <c r="F1515">
        <f>HYPERLINK("https://www.reddit.com/r/COVID19positive/comments/gtmcjy/tested_came_back_positive_today_happy_birthday_to/")</f>
        <v/>
      </c>
      <c r="G1515" t="inlineStr">
        <is>
          <t>2020-05-30 14:33:44</t>
        </is>
      </c>
      <c r="H1515" t="inlineStr">
        <is>
          <t>Tested Positive</t>
        </is>
      </c>
    </row>
    <row r="1516">
      <c r="A1516" t="inlineStr">
        <is>
          <t>gtmnol</t>
        </is>
      </c>
      <c r="B1516" t="inlineStr">
        <is>
          <t>I need some hope</t>
        </is>
      </c>
      <c r="C1516" t="inlineStr">
        <is>
          <t>Has anyone legit fully recovered yet from long term symptoms? Meaning &amp;gt;2 months of symptoms and now fully recovered</t>
        </is>
      </c>
      <c r="D1516" t="n">
        <v>1</v>
      </c>
      <c r="E1516" t="n">
        <v>31</v>
      </c>
      <c r="F1516">
        <f>HYPERLINK("https://www.reddit.com/r/COVID19positive/comments/gtmnol/i_need_some_hope/")</f>
        <v/>
      </c>
      <c r="G1516" t="inlineStr">
        <is>
          <t>2020-05-30 14:51:59</t>
        </is>
      </c>
      <c r="H1516" t="inlineStr">
        <is>
          <t>Tested Positive - Family</t>
        </is>
      </c>
    </row>
    <row r="1517">
      <c r="A1517" t="inlineStr">
        <is>
          <t>gtpchs</t>
        </is>
      </c>
      <c r="B1517" t="inlineStr">
        <is>
          <t>A real question...</t>
        </is>
      </c>
      <c r="C1517" t="inlineStr">
        <is>
          <t>Is it possible to live in the same house as someone who has corona and not get it? Any research that talks about this that anyone has seen?</t>
        </is>
      </c>
      <c r="D1517" t="n">
        <v>1</v>
      </c>
      <c r="E1517" t="n">
        <v>14</v>
      </c>
      <c r="F1517">
        <f>HYPERLINK("https://www.reddit.com/r/COVID19positive/comments/gtpchs/a_real_question/")</f>
        <v/>
      </c>
      <c r="G1517" t="inlineStr">
        <is>
          <t>2020-05-30 17:35:29</t>
        </is>
      </c>
      <c r="H1517" t="inlineStr">
        <is>
          <t>Presumed Positive - From Doctor</t>
        </is>
      </c>
    </row>
    <row r="1518">
      <c r="A1518" t="inlineStr">
        <is>
          <t>gtpgye</t>
        </is>
      </c>
      <c r="B1518" t="inlineStr">
        <is>
          <t>On the mend! But light heart pain is returning 🤔</t>
        </is>
      </c>
      <c r="C1518" t="inlineStr">
        <is>
          <t>Helloooo 20M here 
After having symptoms (Light SOB, chest/heart pain, dizziness, kidney pain, aches, loss of appetitte and smell and taste, etc) for around two weeks, I finally started feeling amazing and have been feeling good for a solid two weeks. 
The light heart pain I feel now is my only remaining symptom and it has come and gone in the past 2 days. My question is, has anyone had a little bit of heart pain come back after recovery? Alternatively, has anyone had a second wave of the pain and then had it go away completely?
I had two EKG dones (one about two weeks ago and one a week ago) and they came back perfectly normal. Same with a chest x-ray I had about 2 weeks ago. 
Hang in there everyone! We will get through this :)</t>
        </is>
      </c>
      <c r="D1518" t="n">
        <v>1</v>
      </c>
      <c r="E1518" t="n">
        <v>6</v>
      </c>
      <c r="F1518">
        <f>HYPERLINK("https://www.reddit.com/r/COVID19positive/comments/gtpgye/on_the_mend_but_light_heart_pain_is_returning/")</f>
        <v/>
      </c>
      <c r="G1518" t="inlineStr">
        <is>
          <t>2020-05-30 17:43:37</t>
        </is>
      </c>
      <c r="H1518" t="inlineStr">
        <is>
          <t>Presumed Positive - From Doctor</t>
        </is>
      </c>
    </row>
    <row r="1519">
      <c r="A1519" t="inlineStr">
        <is>
          <t>gtqq5s</t>
        </is>
      </c>
      <c r="B1519" t="inlineStr">
        <is>
          <t>Long termers take heart- some doctors are paying attention</t>
        </is>
      </c>
      <c r="C1519" t="inlineStr">
        <is>
          <t>The PCP I had when I was first sick is an idiot, so I switched back to my old doctor (I only left her care because of a move- turns out she is well worth an hour drive). She has taken what I'm going through very seriously &amp;amp; done what she can (which as we all know, isn't much- but the tests she's ordered have been reassuring).
Today she wrote me this:
*There is an inflammatory or auto immune part to this disease. It comes in waves as you described and is triggered by activity. We have no idea as of yet how to treat this. I will keep my ears to the ground and hopefully we will get some answers or suggestions soon.*
Doctors like her &amp;amp; patients like us who keep track of symptoms &amp;amp; speak up will find a way through this and help future patients through.
Hang in there everyone!
*15 weeks &amp;amp; still going*</t>
        </is>
      </c>
      <c r="D1519" t="n">
        <v>1</v>
      </c>
      <c r="E1519" t="n">
        <v>47</v>
      </c>
      <c r="F1519">
        <f>HYPERLINK("https://www.reddit.com/r/COVID19positive/comments/gtqq5s/long_termers_take_heart_some_doctors_are_paying/")</f>
        <v/>
      </c>
      <c r="G1519" t="inlineStr">
        <is>
          <t>2020-05-30 19:10:11</t>
        </is>
      </c>
      <c r="H1519" t="inlineStr">
        <is>
          <t>Presumed Positive - From Doctor</t>
        </is>
      </c>
    </row>
    <row r="1520">
      <c r="A1520" t="inlineStr">
        <is>
          <t>gtsxpn</t>
        </is>
      </c>
      <c r="B1520" t="inlineStr">
        <is>
          <t>Anyone taking blood thinners?</t>
        </is>
      </c>
      <c r="C1520" t="inlineStr">
        <is>
          <t>I heard a Dr. saying most covid patients will need anticoagulants. Anyone get prescribed blood thinners?</t>
        </is>
      </c>
      <c r="D1520" t="n">
        <v>1</v>
      </c>
      <c r="E1520" t="n">
        <v>3</v>
      </c>
      <c r="F1520">
        <f>HYPERLINK("https://www.reddit.com/r/COVID19positive/comments/gtsxpn/anyone_taking_blood_thinners/")</f>
        <v/>
      </c>
      <c r="G1520" t="inlineStr">
        <is>
          <t>2020-05-30 21:57:30</t>
        </is>
      </c>
      <c r="H1520" t="inlineStr">
        <is>
          <t>Presumed Positive - From Doctor</t>
        </is>
      </c>
    </row>
    <row r="1521">
      <c r="A1521" t="inlineStr">
        <is>
          <t>gtt0wi</t>
        </is>
      </c>
      <c r="B1521" t="inlineStr">
        <is>
          <t>My dad got a positive Covid test today</t>
        </is>
      </c>
      <c r="C1521" t="inlineStr">
        <is>
          <t>My dad is very healthy, however my family and me live in a small apartment, we are 5 in my family. Any advice of how could we help my dad and possibly my mom too. Also how to not get infected?</t>
        </is>
      </c>
      <c r="D1521" t="n">
        <v>1</v>
      </c>
      <c r="E1521" t="n">
        <v>7</v>
      </c>
      <c r="F1521">
        <f>HYPERLINK("https://www.reddit.com/r/COVID19positive/comments/gtt0wi/my_dad_got_a_positive_covid_test_today/")</f>
        <v/>
      </c>
      <c r="G1521" t="inlineStr">
        <is>
          <t>2020-05-30 22:04:25</t>
        </is>
      </c>
      <c r="H1521" t="inlineStr">
        <is>
          <t>Tested Positive - Family</t>
        </is>
      </c>
    </row>
    <row r="1522">
      <c r="A1522" t="inlineStr">
        <is>
          <t>gtt9ow</t>
        </is>
      </c>
      <c r="B1522" t="inlineStr">
        <is>
          <t>Any of you have experience in getting the virus again? Want to go back to infected house.</t>
        </is>
      </c>
      <c r="C1522" t="inlineStr">
        <is>
          <t>I isolated myself and my wife just came out positive, looks the house we where at was where the virus was. I'm almost out of the virus and she just tested positive. I want to go back to her. She has no symptoms. If I go  back could I get it again in your experience? Would having 2 or 3 people in the same house with the virus make it worse? I keep reading different opinions and want to read your experience. M37 3rd week of symptoms</t>
        </is>
      </c>
      <c r="D1522" t="n">
        <v>1</v>
      </c>
      <c r="E1522" t="n">
        <v>12</v>
      </c>
      <c r="F1522">
        <f>HYPERLINK("https://www.reddit.com/r/COVID19positive/comments/gtt9ow/any_of_you_have_experience_in_getting_the_virus/")</f>
        <v/>
      </c>
      <c r="G1522" t="inlineStr">
        <is>
          <t>2020-05-30 22:24:37</t>
        </is>
      </c>
      <c r="H1522" t="inlineStr">
        <is>
          <t>Tested Positive</t>
        </is>
      </c>
    </row>
    <row r="1523">
      <c r="A1523" t="inlineStr">
        <is>
          <t>gttx0x</t>
        </is>
      </c>
      <c r="B1523" t="inlineStr">
        <is>
          <t>Joint Pain (Knees and Elbows) Two Months Later</t>
        </is>
      </c>
      <c r="C1523" t="inlineStr">
        <is>
          <t>So I got sick in late March with mild symptoms (back pain, sternum pain, light fever, sore throat, coughing, sneezing, chills, joint pain, fatigue, and such). I'm a 27 year old healthy male with a well controlled anxiety disorder. Since recovering I've experienced almost a different symptom every week. This week I'm dealing with joint pain in my knees and elbows. Has anyone else experienced this?</t>
        </is>
      </c>
      <c r="D1523" t="n">
        <v>1</v>
      </c>
      <c r="E1523" t="n">
        <v>7</v>
      </c>
      <c r="F1523">
        <f>HYPERLINK("https://www.reddit.com/r/COVID19positive/comments/gttx0x/joint_pain_knees_and_elbows_two_months_later/")</f>
        <v/>
      </c>
      <c r="G1523" t="inlineStr">
        <is>
          <t>2020-05-30 23:20:29</t>
        </is>
      </c>
      <c r="H1523" t="inlineStr">
        <is>
          <t>Presumed Positive - From Doctor</t>
        </is>
      </c>
    </row>
    <row r="1524">
      <c r="A1524" t="inlineStr">
        <is>
          <t>gtty0j</t>
        </is>
      </c>
      <c r="B1524" t="inlineStr">
        <is>
          <t>Have been feeling better for the last 3-4 days but last night and this morning i feel very ill again (19m)</t>
        </is>
      </c>
      <c r="C1524" t="inlineStr">
        <is>
          <t>my cough was starting to subside and i was starting to feel alot better than i have done for a while and i felt like i had alot more energy,lungs felt better and cough wasnt as bad but now in the last24hrs ive started to get sick again after most of my symptoms clearing up by day 20ish around about that but now its day 23 and i feel like its back.
since 6-7pm last night ive been having a migraine and felt abit drained,ive just woke up with a cough,lungs feel very sore especially the right side,sore throat and body pains and i my eye keeps going blurry as if theirs gunk in it ( as if im developing a stye or a eye infection) getting stomach pains and what not.</t>
        </is>
      </c>
      <c r="D1524" t="n">
        <v>1</v>
      </c>
      <c r="E1524" t="n">
        <v>11</v>
      </c>
      <c r="F1524">
        <f>HYPERLINK("https://www.reddit.com/r/COVID19positive/comments/gtty0j/have_been_feeling_better_for_the_last_34_days_but/")</f>
        <v/>
      </c>
      <c r="G1524" t="inlineStr">
        <is>
          <t>2020-05-30 23:22:51</t>
        </is>
      </c>
      <c r="H1524" t="inlineStr">
        <is>
          <t>Presumed Positive - From Doctor</t>
        </is>
      </c>
    </row>
    <row r="1525">
      <c r="A1525" t="inlineStr">
        <is>
          <t>gtufoi</t>
        </is>
      </c>
      <c r="B1525" t="inlineStr">
        <is>
          <t>do i have it? ( symptoms described as below)</t>
        </is>
      </c>
      <c r="C1525" t="inlineStr">
        <is>
          <t>Hello. 3 days ago i suddenly got sick out of nowhere.  and no i cant get tested right now due to location.
Day one I had fever peaking to 40C, burning sensation in the chest area that came and went, very slight throat itch, great fatigue when moving, and aches in my joints and muscles
the next day it was the same
this third day my fever dropped to 37.6C , body ache is gone, throat itch is gone</t>
        </is>
      </c>
      <c r="D1525" t="n">
        <v>1</v>
      </c>
      <c r="E1525" t="n">
        <v>8</v>
      </c>
      <c r="F1525">
        <f>HYPERLINK("https://www.reddit.com/r/COVID19positive/comments/gtufoi/do_i_have_it_symptoms_described_as_below/")</f>
        <v/>
      </c>
      <c r="G1525" t="inlineStr">
        <is>
          <t>2020-05-31 00:07:04</t>
        </is>
      </c>
      <c r="H1525" t="inlineStr">
        <is>
          <t>Tested Positive - Me</t>
        </is>
      </c>
    </row>
    <row r="1526">
      <c r="A1526" t="inlineStr">
        <is>
          <t>gtuqee</t>
        </is>
      </c>
      <c r="B1526" t="inlineStr">
        <is>
          <t>Still cough after 44 days</t>
        </is>
      </c>
      <c r="C1526" t="inlineStr">
        <is>
          <t>I (27F) don't know if this is common but I'm very frustrated as my cough does not get any better as the days go by, and it's been 44 days! I got tested positive for the second time almost 3 weeks ago, and I'm planning to get my 3rd test this week. My fiance got tested positive the first time, but negative the second one. He showed zero symptom the entire time. I've been taking vitamins everyday and eating healthy. I never had any health problem before. It's just so frustrating and I don't know when it will be over. Does anyone experience something similar?</t>
        </is>
      </c>
      <c r="D1526" t="n">
        <v>1</v>
      </c>
      <c r="E1526" t="n">
        <v>4</v>
      </c>
      <c r="F1526">
        <f>HYPERLINK("https://www.reddit.com/r/COVID19positive/comments/gtuqee/still_cough_after_44_days/")</f>
        <v/>
      </c>
      <c r="G1526" t="inlineStr">
        <is>
          <t>2020-05-31 00:33:57</t>
        </is>
      </c>
      <c r="H1526" t="inlineStr">
        <is>
          <t>Tested Positive - Me</t>
        </is>
      </c>
    </row>
    <row r="1527">
      <c r="A1527" t="inlineStr">
        <is>
          <t>gtz97y</t>
        </is>
      </c>
      <c r="B1527" t="inlineStr">
        <is>
          <t>Should I be super worried?</t>
        </is>
      </c>
      <c r="C1527" t="inlineStr">
        <is>
          <t>31/M diabetic, started having symptoms on 5/22, nose kept dripping all day, then on 5/23 bought a thermometer, kept having 100.4 fever, minor sorr throats and sinus headaches. Tested on Wednesday 3/27, results came back positive 3/30. Woke up this morning and keep having pains on my left chest randomly when I breathe, it is a 2/10 on the pain scale and no other symptoms besides not being able to sleep more than 6 hours a night. Any help would be appreciated, thanks in advance.</t>
        </is>
      </c>
      <c r="D1527" t="n">
        <v>1</v>
      </c>
      <c r="E1527" t="n">
        <v>7</v>
      </c>
      <c r="F1527">
        <f>HYPERLINK("https://www.reddit.com/r/COVID19positive/comments/gtz97y/should_i_be_super_worried/")</f>
        <v/>
      </c>
      <c r="G1527" t="inlineStr">
        <is>
          <t>2020-05-31 06:44:37</t>
        </is>
      </c>
      <c r="H1527" t="inlineStr">
        <is>
          <t>Tested Positive - Me</t>
        </is>
      </c>
    </row>
    <row r="1528">
      <c r="A1528" t="inlineStr">
        <is>
          <t>gtzg4j</t>
        </is>
      </c>
      <c r="B1528" t="inlineStr">
        <is>
          <t>Experience from hydroxiclorokin + zink?</t>
        </is>
      </c>
      <c r="C1528" t="inlineStr">
        <is>
          <t>Hi all!
Just curious about peoples experience from using hydroxychloroquine with zink? I have friends who after 8 weeks covid-hell got better within a day or two after receiving that combo from their doctor. I’m going on 10th week and thinking about asking my doctor for this exact medicine.</t>
        </is>
      </c>
      <c r="D1528" t="n">
        <v>1</v>
      </c>
      <c r="E1528" t="n">
        <v>21</v>
      </c>
      <c r="F1528">
        <f>HYPERLINK("https://www.reddit.com/r/COVID19positive/comments/gtzg4j/experience_from_hydroxiclorokin_zink/")</f>
        <v/>
      </c>
      <c r="G1528" t="inlineStr">
        <is>
          <t>2020-05-31 06:59:06</t>
        </is>
      </c>
      <c r="H1528" t="inlineStr">
        <is>
          <t>Tested Positive</t>
        </is>
      </c>
    </row>
    <row r="1529">
      <c r="A1529" t="inlineStr">
        <is>
          <t>gtzkds</t>
        </is>
      </c>
      <c r="B1529" t="inlineStr">
        <is>
          <t>Just got test results as positive</t>
        </is>
      </c>
      <c r="C1529" t="inlineStr">
        <is>
          <t>After body aches and loss of appetite for 2 days, I started getting fever. My 101-102 F fever lasted for a week. I called hospital and they advised me to take acetaminophen 3 times a day. The fever along with headache would not subside. Sometime in between fever, I did go for a doctor appointment and tested for Covid-19.   
Today, early morning, I got test results back as positive.
I dunno what to do now. The fever stopped around 2 days ago. I am intaking salt-sugar-water(as electrolyte), fruits, fiber-rich veggies, chicken, rice etc. I am staying quarantined alone as advised by doctor for at least 2 weeks.   
Will the fever return back? Should I clean whole room I stay? What else should I do? Are there any diet I should change?</t>
        </is>
      </c>
      <c r="D1529" t="n">
        <v>1</v>
      </c>
      <c r="E1529" t="n">
        <v>28</v>
      </c>
      <c r="F1529">
        <f>HYPERLINK("https://www.reddit.com/r/COVID19positive/comments/gtzkds/just_got_test_results_as_positive/")</f>
        <v/>
      </c>
      <c r="G1529" t="inlineStr">
        <is>
          <t>2020-05-31 07:07:08</t>
        </is>
      </c>
      <c r="H1529" t="inlineStr">
        <is>
          <t>Tested Positive - Me</t>
        </is>
      </c>
    </row>
    <row r="1530">
      <c r="A1530" t="inlineStr">
        <is>
          <t>gu09sx</t>
        </is>
      </c>
      <c r="B1530" t="inlineStr">
        <is>
          <t>Can coughing help the breathing?</t>
        </is>
      </c>
      <c r="C1530" t="inlineStr">
        <is>
          <t>Friday May 22 I started to get a fever and I started getting breathing problems Sunday 24, I’ve had a low grade fever on and off but yesterday Sunday 30 I started coughing flem and I was shivering at night. I thought it was just panic attacks which I’ve had occasionally but it’s Been a week of this :(
I’m trying to avoid the hospital badly, terrified of them but I’ve got backyard trees for oxygen therapy. But I’m now wondering if this trouble breathing is because of flem. Are we supposed to cough and let out the mucus to help us breath better? My fever hasn’t gotten too bad but anyone know how much longer? Does it usually better here on out now that there’s phlegm or is it another few weeks? :(</t>
        </is>
      </c>
      <c r="D1530" t="n">
        <v>2</v>
      </c>
      <c r="E1530" t="n">
        <v>8</v>
      </c>
      <c r="F1530">
        <f>HYPERLINK("https://www.reddit.com/r/COVID19positive/comments/gu09sx/can_coughing_help_the_breathing/")</f>
        <v/>
      </c>
      <c r="G1530" t="inlineStr">
        <is>
          <t>2020-05-31 07:41:16</t>
        </is>
      </c>
      <c r="H1530" t="inlineStr">
        <is>
          <t>Tested Positive - Me</t>
        </is>
      </c>
    </row>
    <row r="1531">
      <c r="A1531" t="inlineStr">
        <is>
          <t>gu0x5q</t>
        </is>
      </c>
      <c r="B1531" t="inlineStr">
        <is>
          <t>anyone experiencing long time symptoms fully recover yet?</t>
        </is>
      </c>
      <c r="C1531" t="inlineStr">
        <is>
          <t>Curious?</t>
        </is>
      </c>
      <c r="D1531" t="n">
        <v>2</v>
      </c>
      <c r="E1531" t="n">
        <v>28</v>
      </c>
      <c r="F1531">
        <f>HYPERLINK("https://www.reddit.com/r/COVID19positive/comments/gu0x5q/anyone_experiencing_long_time_symptoms_fully/")</f>
        <v/>
      </c>
      <c r="G1531" t="inlineStr">
        <is>
          <t>2020-05-31 08:22:00</t>
        </is>
      </c>
      <c r="H1531" t="inlineStr">
        <is>
          <t>Tested Positive - Me</t>
        </is>
      </c>
    </row>
    <row r="1532">
      <c r="A1532" t="inlineStr">
        <is>
          <t>gu1u5n</t>
        </is>
      </c>
      <c r="B1532" t="inlineStr">
        <is>
          <t>How would you guys explain shortness of breath?</t>
        </is>
      </c>
      <c r="C1532" t="inlineStr">
        <is>
          <t>I currently feel like I have shortness of breath, it’s not like it’s difficult to breath it’s more of a slowed breathing:/</t>
        </is>
      </c>
      <c r="D1532" t="n">
        <v>2</v>
      </c>
      <c r="E1532" t="n">
        <v>8</v>
      </c>
      <c r="F1532">
        <f>HYPERLINK("https://www.reddit.com/r/COVID19positive/comments/gu1u5n/how_would_you_guys_explain_shortness_of_breath/")</f>
        <v/>
      </c>
      <c r="G1532" t="inlineStr">
        <is>
          <t>2020-05-31 09:16:17</t>
        </is>
      </c>
      <c r="H1532" t="inlineStr">
        <is>
          <t>Tested Positive - Friends</t>
        </is>
      </c>
    </row>
    <row r="1533">
      <c r="A1533" t="inlineStr">
        <is>
          <t>gu2e2d</t>
        </is>
      </c>
      <c r="B1533" t="inlineStr">
        <is>
          <t>Were any of you experiencing low O2 after the six week mark, later in the day?</t>
        </is>
      </c>
      <c r="C1533" t="inlineStr">
        <is>
          <t>I got sick in late March, starting with a loss of smell. I was diagnosed by a telemedicine in early April. 7 weeks on, my only serious symptom is low O2 early in the afternoon, and then occasionally at night.
I’ve had a raft of medical tests. There’s literally nothing that would indicate that there’s anything wrong, except some chest pain and my O2 dropping to the mid eighties after several hours.
I’m 50. I was in good shape two months ago. I’m moderately overweight. I’m female. There’s nothing remarkable about me physically, except ankylosing spondylitis and celiac.
Anyone else experience the same thing? How long did it take to recover?</t>
        </is>
      </c>
      <c r="D1533" t="n">
        <v>1</v>
      </c>
      <c r="E1533" t="n">
        <v>8</v>
      </c>
      <c r="F1533">
        <f>HYPERLINK("https://www.reddit.com/r/COVID19positive/comments/gu2e2d/were_any_of_you_experiencing_low_o2_after_the_six/")</f>
        <v/>
      </c>
      <c r="G1533" t="inlineStr">
        <is>
          <t>2020-05-31 09:48:31</t>
        </is>
      </c>
      <c r="H1533" t="inlineStr">
        <is>
          <t>Presumed Positive - From Doctor</t>
        </is>
      </c>
    </row>
    <row r="1534">
      <c r="A1534" t="inlineStr">
        <is>
          <t>gu2s3y</t>
        </is>
      </c>
      <c r="B1534" t="inlineStr">
        <is>
          <t>Boyfriend tested positive in March, we got the same symptoms, both tested negative for antibodies this week</t>
        </is>
      </c>
      <c r="C1534" t="inlineStr">
        <is>
          <t>This is such a strange virus</t>
        </is>
      </c>
      <c r="D1534" t="n">
        <v>107</v>
      </c>
      <c r="E1534" t="n">
        <v>148</v>
      </c>
      <c r="F1534">
        <f>HYPERLINK("https://www.reddit.com/r/COVID19positive/comments/gu2s3y/boyfriend_tested_positive_in_march_we_got_the/")</f>
        <v/>
      </c>
      <c r="G1534" t="inlineStr">
        <is>
          <t>2020-05-31 10:11:11</t>
        </is>
      </c>
      <c r="H1534" t="inlineStr">
        <is>
          <t>Tested Positive</t>
        </is>
      </c>
    </row>
    <row r="1535">
      <c r="A1535" t="inlineStr">
        <is>
          <t>gu3rq9</t>
        </is>
      </c>
      <c r="B1535" t="inlineStr">
        <is>
          <t>Seasalt baths</t>
        </is>
      </c>
      <c r="C1535" t="inlineStr">
        <is>
          <t>thoughts on it think it may be beneficial ?</t>
        </is>
      </c>
      <c r="D1535" t="n">
        <v>2</v>
      </c>
      <c r="E1535" t="n">
        <v>1</v>
      </c>
      <c r="F1535">
        <f>HYPERLINK("https://www.reddit.com/r/COVID19positive/comments/gu3rq9/seasalt_baths/")</f>
        <v/>
      </c>
      <c r="G1535" t="inlineStr">
        <is>
          <t>2020-05-31 11:06:54</t>
        </is>
      </c>
      <c r="H1535" t="inlineStr">
        <is>
          <t>Tested Positive - Me</t>
        </is>
      </c>
    </row>
    <row r="1536">
      <c r="A1536" t="inlineStr">
        <is>
          <t>gu44yn</t>
        </is>
      </c>
      <c r="B1536" t="inlineStr">
        <is>
          <t>Doctors say I might go home tomorrow!</t>
        </is>
      </c>
      <c r="C1536" t="inlineStr">
        <is>
          <t>I've been here over two weeks. I came off a ventilator Friday after seven days on it. Clots were my main issue. They're all cleared up and I am doing so much better.
I view this as my third chance at life. Bless my nurses, my doctors, and my lord and savior Jesus Christ. I'm still here to cherish every waking moment with my husband and my daughters. And I will not squander it.</t>
        </is>
      </c>
      <c r="D1536" t="n">
        <v>41</v>
      </c>
      <c r="E1536" t="n">
        <v>25</v>
      </c>
      <c r="F1536">
        <f>HYPERLINK("https://www.reddit.com/r/COVID19positive/comments/gu44yn/doctors_say_i_might_go_home_tomorrow/")</f>
        <v/>
      </c>
      <c r="G1536" t="inlineStr">
        <is>
          <t>2020-05-31 11:27:13</t>
        </is>
      </c>
      <c r="H1536" t="inlineStr">
        <is>
          <t>Tested Positive - Me</t>
        </is>
      </c>
    </row>
    <row r="1537">
      <c r="A1537" t="inlineStr">
        <is>
          <t>gu4zkh</t>
        </is>
      </c>
      <c r="B1537" t="inlineStr">
        <is>
          <t>I know i post here alot but i need hope</t>
        </is>
      </c>
      <c r="C1537" t="inlineStr">
        <is>
          <t>I just keep feeling like im sinking and heavy this feels so bad</t>
        </is>
      </c>
      <c r="D1537" t="n">
        <v>5</v>
      </c>
      <c r="E1537" t="n">
        <v>8</v>
      </c>
      <c r="F1537">
        <f>HYPERLINK("https://www.reddit.com/r/COVID19positive/comments/gu4zkh/i_know_i_post_here_alot_but_i_need_hope/")</f>
        <v/>
      </c>
      <c r="G1537" t="inlineStr">
        <is>
          <t>2020-05-31 12:14:52</t>
        </is>
      </c>
      <c r="H1537" t="inlineStr">
        <is>
          <t>Tested Positive - Me</t>
        </is>
      </c>
    </row>
    <row r="1538">
      <c r="A1538" t="inlineStr">
        <is>
          <t>gu57x5</t>
        </is>
      </c>
      <c r="B1538" t="inlineStr">
        <is>
          <t>Recovered can sense the virus? (Feeling itchy, sore throat)</t>
        </is>
      </c>
      <c r="C1538" t="inlineStr">
        <is>
          <t>I am from Hungary as the other people in the story below. 
One of my friend and his wife recovered from the virus. Both were quite sick, the wife faded out once and weeks after they still have heart problems. 
The interesting thing is that they say they can sense if the virus is around. The feeling they get when the virus there reminds them to their latest symptoms: feeling itchy and sore throat. 
My friend had that very sensation (itchy) when he met one of his friends and next day the other guy was tested positive. He got a mask from this guy and after the wife smelled it she got sore throat too after a minute. 
My friend said he had that feeling once in a shop and once at the post a couple of weeks ago but since that nothing. (Our cases in the country truly dropped since. ) 
Do you know similar experiences?</t>
        </is>
      </c>
      <c r="D1538" t="n">
        <v>0</v>
      </c>
      <c r="E1538" t="n">
        <v>5</v>
      </c>
      <c r="F1538">
        <f>HYPERLINK("https://www.reddit.com/r/COVID19positive/comments/gu57x5/recovered_can_sense_the_virus_feeling_itchy_sore/")</f>
        <v/>
      </c>
      <c r="G1538" t="inlineStr">
        <is>
          <t>2020-05-31 12:27:55</t>
        </is>
      </c>
      <c r="H1538" t="inlineStr">
        <is>
          <t>Tested Positive - Friends</t>
        </is>
      </c>
    </row>
    <row r="1539">
      <c r="A1539" t="inlineStr">
        <is>
          <t>gu5aem</t>
        </is>
      </c>
      <c r="B1539" t="inlineStr">
        <is>
          <t>Need help</t>
        </is>
      </c>
      <c r="C1539" t="inlineStr">
        <is>
          <t>So my dad seems to have the covid, don't know yet until the results come back. I just don't know what to think. I'm scared, I haven't come in contact with him. He had been tested before and was negative.</t>
        </is>
      </c>
      <c r="D1539" t="n">
        <v>1</v>
      </c>
      <c r="E1539" t="n">
        <v>1</v>
      </c>
      <c r="F1539">
        <f>HYPERLINK("https://www.reddit.com/r/COVID19positive/comments/gu5aem/need_help/")</f>
        <v/>
      </c>
      <c r="G1539" t="inlineStr">
        <is>
          <t>2020-05-31 12:31:50</t>
        </is>
      </c>
      <c r="H1539" t="inlineStr">
        <is>
          <t>Tested Positive - Family</t>
        </is>
      </c>
    </row>
    <row r="1540">
      <c r="A1540" t="inlineStr">
        <is>
          <t>gu78ii</t>
        </is>
      </c>
      <c r="B1540" t="inlineStr">
        <is>
          <t>Anyone else dealing with intense anxiety?</t>
        </is>
      </c>
      <c r="C1540" t="inlineStr">
        <is>
          <t>I took another test is waiting for results but I've been symptom free for about over a month. I have allergies and I know not every tickle in my throat means it's coming back.  I was told my last positive could have been from dead remnants and other resources has proven such but every time I feel different my anxiety goes wayyyyy up. Now I could be sitting down and I feel my heart beating out my chest. I check hr and boom its at 120 or 130. It goes up and down like that often. 
My usual hr when I check is between 110 to 140. That has been daily since the first week of May. Also when I feel hungry I either feel sick or feverish but as soon as I eat my anxiety goes down until I'm hungry again. Temp is normal so any advice would be grateful.</t>
        </is>
      </c>
      <c r="D1540" t="n">
        <v>8</v>
      </c>
      <c r="E1540" t="n">
        <v>9</v>
      </c>
      <c r="F1540">
        <f>HYPERLINK("https://www.reddit.com/r/COVID19positive/comments/gu78ii/anyone_else_dealing_with_intense_anxiety/")</f>
        <v/>
      </c>
      <c r="G1540" t="inlineStr">
        <is>
          <t>2020-05-31 14:19:33</t>
        </is>
      </c>
      <c r="H1540" t="inlineStr">
        <is>
          <t>Tested Positive - Friends</t>
        </is>
      </c>
    </row>
    <row r="1541">
      <c r="A1541" t="inlineStr">
        <is>
          <t>gu7kxk</t>
        </is>
      </c>
      <c r="B1541" t="inlineStr">
        <is>
          <t>Day 8 with Covid 19, feeling like absolute dogshit today.</t>
        </is>
      </c>
      <c r="C1541" t="inlineStr">
        <is>
          <t>Hey Reddit. 
I've been tested positive for COVID last saturday. I self-isolated and I've only had mild symptoms. Today, I had trouble waking up, and basically had to force myself up at 2:30PM. I've been feeling like garbage ever since this morning. My chest is pretty tight &amp;amp; I have this massive fatigue where I feel like I've came home from a full day of manual labour. It's tiring to to move around and get things done. Has anyone else experience similar symptoms? I've been fine for the past week, but today I feel completely otherwise.</t>
        </is>
      </c>
      <c r="D1541" t="n">
        <v>2</v>
      </c>
      <c r="E1541" t="n">
        <v>3</v>
      </c>
      <c r="F1541">
        <f>HYPERLINK("https://www.reddit.com/r/COVID19positive/comments/gu7kxk/day_8_with_covid_19_feeling_like_absolute_dogshit/")</f>
        <v/>
      </c>
      <c r="G1541" t="inlineStr">
        <is>
          <t>2020-05-31 14:40:01</t>
        </is>
      </c>
      <c r="H1541" t="inlineStr">
        <is>
          <t>Tested Positive - Me</t>
        </is>
      </c>
    </row>
    <row r="1542">
      <c r="A1542" t="inlineStr">
        <is>
          <t>gu7v3y</t>
        </is>
      </c>
      <c r="B1542" t="inlineStr">
        <is>
          <t>Have y'all had stiff limbs?</t>
        </is>
      </c>
      <c r="C1542" t="inlineStr">
        <is>
          <t>My left hand is kinda stiff. My middle finger and ring finger feel really stick when i try to form a fist.
My right foot seems like a brick, and its quite stiff as well
Alongside this my right hand is drier than Britannia biscuits, and the skin is flaking. I also wrinkles on both hands. I didnt have this before. My hands have aged 100 years in the past month...</t>
        </is>
      </c>
      <c r="D1542" t="n">
        <v>1</v>
      </c>
      <c r="E1542" t="n">
        <v>11</v>
      </c>
      <c r="F1542">
        <f>HYPERLINK("https://www.reddit.com/r/COVID19positive/comments/gu7v3y/have_yall_had_stiff_limbs/")</f>
        <v/>
      </c>
      <c r="G1542" t="inlineStr">
        <is>
          <t>2020-05-31 14:56:26</t>
        </is>
      </c>
      <c r="H1542" t="inlineStr">
        <is>
          <t>Presumed Positive - From Doctor</t>
        </is>
      </c>
    </row>
    <row r="1543">
      <c r="A1543" t="inlineStr">
        <is>
          <t>gu8gx0</t>
        </is>
      </c>
      <c r="B1543" t="inlineStr">
        <is>
          <t>Who else noticed how dads are getting to the severe stages of the virus. Why Do You think this is?</t>
        </is>
      </c>
      <c r="C1543" t="inlineStr">
        <is>
          <t>Why do you think this? My fathers been in hospital for 60+ days. He was reintubed once and was extubated and is now in a rehab center doing just fine. But ever since the beggining ive noticed alot of dads are getting hit hard. Why do you think this is happening? My prediction(totally wrong lol): testesorone levels affect the severity levels.</t>
        </is>
      </c>
      <c r="D1543" t="n">
        <v>2</v>
      </c>
      <c r="E1543" t="n">
        <v>4</v>
      </c>
      <c r="F1543">
        <f>HYPERLINK("https://www.reddit.com/r/COVID19positive/comments/gu8gx0/who_else_noticed_how_dads_are_getting_to_the/")</f>
        <v/>
      </c>
      <c r="G1543" t="inlineStr">
        <is>
          <t>2020-05-31 15:31:19</t>
        </is>
      </c>
      <c r="H1543" t="inlineStr">
        <is>
          <t>Tested Positive</t>
        </is>
      </c>
    </row>
    <row r="1544">
      <c r="A1544" t="inlineStr">
        <is>
          <t>gu90vk</t>
        </is>
      </c>
      <c r="B1544" t="inlineStr">
        <is>
          <t>My interesting experience with COVID-19.</t>
        </is>
      </c>
      <c r="C1544" t="inlineStr">
        <is>
          <t>So last week went back to work, right. One of my co-workers, lets call her Michelle, Michelle and me were pretty close co-workers before her pandemic and we were excited to see each other. 
In hindsight, probably one of the stupidest things to do in these times, we shared a bag of popcorn. Both of our hands going into the bag. We also conversatsd less than 6 feet, she wasn’t wearing he mask, I forgot if I took off my mask at any point. That was all on Tuesday. 
Flash forward to Friday, we find out the Michelle tested positive for COVID-19, through her mother. She was asymptomatic when I was near her as far as I know. 
So right after that, I went to go get tested. Friday, I had a cough and a fever of 101. Took DayQuill that night and ever since then haven’t had any noticeable symptoms. 
So I’m wondering, is it possible I didn’t even get COVID? Or is it possible I could be an asymptomatic carrier? My mother and girlfriend both haven’t had any symptoms either. 
But I just find it very odd how I literally exchanged food, and was in close proximity to a COVID-19 infected person and without a mask, and still not be infected.</t>
        </is>
      </c>
      <c r="D1544" t="n">
        <v>1</v>
      </c>
      <c r="E1544" t="n">
        <v>4</v>
      </c>
      <c r="F1544">
        <f>HYPERLINK("https://www.reddit.com/r/COVID19positive/comments/gu90vk/my_interesting_experience_with_covid19/")</f>
        <v/>
      </c>
      <c r="G1544" t="inlineStr">
        <is>
          <t>2020-05-31 16:04:03</t>
        </is>
      </c>
      <c r="H1544" t="inlineStr">
        <is>
          <t>Presumed Positive - From Doctor</t>
        </is>
      </c>
    </row>
    <row r="1545">
      <c r="A1545" t="inlineStr">
        <is>
          <t>gu9650</t>
        </is>
      </c>
      <c r="B1545" t="inlineStr">
        <is>
          <t>Has anyone else with COVID dealt with sore and swollen lymph nodes all over the body for more than 5 weeks?</t>
        </is>
      </c>
      <c r="C1545" t="inlineStr">
        <is>
          <t>I have sore and swollen lymph nodes on my neck, arm pits, chest, abdomen and groin since my diagnosis almost 7 weeks ago. Is anyone else experiencing this?</t>
        </is>
      </c>
      <c r="D1545" t="n">
        <v>1</v>
      </c>
      <c r="E1545" t="n">
        <v>13</v>
      </c>
      <c r="F1545">
        <f>HYPERLINK("https://www.reddit.com/r/COVID19positive/comments/gu9650/has_anyone_else_with_covid_dealt_with_sore_and/")</f>
        <v/>
      </c>
      <c r="G1545" t="inlineStr">
        <is>
          <t>2020-05-31 16:12:21</t>
        </is>
      </c>
      <c r="H1545" t="inlineStr">
        <is>
          <t>Presumed Positive - From Doctor</t>
        </is>
      </c>
    </row>
    <row r="1546">
      <c r="A1546" t="inlineStr">
        <is>
          <t>gu9ffd</t>
        </is>
      </c>
      <c r="B1546" t="inlineStr">
        <is>
          <t>Covid and weed</t>
        </is>
      </c>
      <c r="C1546" t="inlineStr">
        <is>
          <t>Hey! I just tested positive for COVID-19, but my only symptom was a sore throat and slightly stuffy nose, which has been gone since 4 days ago. I have had no respiratory symptoms at all. I smoke weed medicinally and have not smoked since 4 days ago. I was wondering if we think it would be ok to resume smoking or if it is a risk since I am positive. I had been smoking while positive for about 3/4 days without knowing it and I was fine.</t>
        </is>
      </c>
      <c r="D1546" t="n">
        <v>1</v>
      </c>
      <c r="E1546" t="n">
        <v>11</v>
      </c>
      <c r="F1546">
        <f>HYPERLINK("https://www.reddit.com/r/COVID19positive/comments/gu9ffd/covid_and_weed/")</f>
        <v/>
      </c>
      <c r="G1546" t="inlineStr">
        <is>
          <t>2020-05-31 16:28:14</t>
        </is>
      </c>
      <c r="H1546" t="inlineStr">
        <is>
          <t>Tested Positive - Me</t>
        </is>
      </c>
    </row>
    <row r="1547">
      <c r="A1547" t="inlineStr">
        <is>
          <t>gu9jzx</t>
        </is>
      </c>
      <c r="B1547" t="inlineStr">
        <is>
          <t>What have you done to regain your hunger? (Day 80)</t>
        </is>
      </c>
      <c r="C1547" t="inlineStr">
        <is>
          <t>As time has passed, my symptoms have died down slowly. Now one of the things that lingers is my little desire to eat and finding most food undesirable. I regained it for a week around day 55ish. But it went away and hasent come back. My stomach can process food better it seems as its not hurting everytime i eat food thankfully. However, this lack of hunger has gone on for way too long. I have certain moments of little hunger, but nothing like how i used to be. As from my appetite issues, the only thing persisting thats noticeable is dull aching pains in the chest and rib area. And very recently feeling like its harder to breath at times. But ive kind of learned to live with it for the moment being. And it seems to get somewhat better if i go for a quick walk around the block. 
It seems only really tasty food fullfils me and even then I have to eat it slowly and take large breaks (an hour or two) before finishing a whole meal. I also become extremely sleepy, more than i used to in the past. 
Just thankful that im getting better tbh, its been a very slow recovery but what can you do besides tough it out and see what others have done to help their situation. Kinda feels like i force feed a lot of the time and i dont want to feel like that anymore, I WANT TO FEEL HUNGRY!!! LOL</t>
        </is>
      </c>
      <c r="D1547" t="n">
        <v>2</v>
      </c>
      <c r="E1547" t="n">
        <v>7</v>
      </c>
      <c r="F1547">
        <f>HYPERLINK("https://www.reddit.com/r/COVID19positive/comments/gu9jzx/what_have_you_done_to_regain_your_hunger_day_80/")</f>
        <v/>
      </c>
      <c r="G1547" t="inlineStr">
        <is>
          <t>2020-05-31 16:36:18</t>
        </is>
      </c>
      <c r="H1547" t="inlineStr">
        <is>
          <t>Presumed Positive - From Doctor</t>
        </is>
      </c>
    </row>
    <row r="1548">
      <c r="A1548" t="inlineStr">
        <is>
          <t>gu9mbz</t>
        </is>
      </c>
      <c r="B1548" t="inlineStr">
        <is>
          <t>Still covid positive after 9 weeks/transplant recipient</t>
        </is>
      </c>
      <c r="C1548" t="inlineStr">
        <is>
          <t>My husband had a kidney transplant last year and so his anti rejection meds have made recovery challenging.  He put on 30 lbs of fluid in 2 days this week and had difficulty breathing; back in the hospital.  He's experiencing a bout of rejection and is being treated.  Here's the thing:  the treatments he needs can be done outpatient but the center won't accept him because he's covid positive.  It means another 3 weeks in the hospital.   I am sure that it's  dead virus fragments causing the positive.  Am I crazy?  Is it possible to still have covid after more than 2 months?</t>
        </is>
      </c>
      <c r="D1548" t="n">
        <v>1</v>
      </c>
      <c r="E1548" t="n">
        <v>3</v>
      </c>
      <c r="F1548">
        <f>HYPERLINK("https://www.reddit.com/r/COVID19positive/comments/gu9mbz/still_covid_positive_after_9_weekstransplant/")</f>
        <v/>
      </c>
      <c r="G1548" t="inlineStr">
        <is>
          <t>2020-05-31 16:40:07</t>
        </is>
      </c>
      <c r="H1548" t="inlineStr">
        <is>
          <t>Tested Positive - Family</t>
        </is>
      </c>
    </row>
    <row r="1549">
      <c r="A1549" t="inlineStr">
        <is>
          <t>guah65</t>
        </is>
      </c>
      <c r="B1549" t="inlineStr">
        <is>
          <t>Recovery rate</t>
        </is>
      </c>
      <c r="C1549" t="inlineStr">
        <is>
          <t>I’ve posted here before I guess this is an update.. 
my dad and me both got the virus.
For me the first 4 days I felt really sick. 
I had a fever, nausea, heavy sweating when sleeping, loss of taste and smell.  Day 5 and now I feel allot better. I feel stronger but I still have no  taste or smell which sucks. 
My dad on the other hand is still feeling the same. 
He’s weak, headache, nausea, no appetite, sweating also no taste or smell. 
I’m glad I am better now so I am able to care for him allot more now.
We have tons of medicine and remedies my family has used to recover from the disease. 
How long until my dad gets better? I am really worried. 
I’m keeping an eye on his mostly checking that he can breathe correctly as I am trying to abound getting him to a hospital. 
What makes me feel better is that everyone of my family who had it so far has recovered ..</t>
        </is>
      </c>
      <c r="D1549" t="n">
        <v>1</v>
      </c>
      <c r="E1549" t="n">
        <v>3</v>
      </c>
      <c r="F1549">
        <f>HYPERLINK("https://www.reddit.com/r/COVID19positive/comments/guah65/recovery_rate/")</f>
        <v/>
      </c>
      <c r="G1549" t="inlineStr">
        <is>
          <t>2020-05-31 17:32:12</t>
        </is>
      </c>
      <c r="H1549" t="inlineStr">
        <is>
          <t>Tested Positive - Family</t>
        </is>
      </c>
    </row>
    <row r="1550">
      <c r="A1550" t="inlineStr">
        <is>
          <t>guahsr</t>
        </is>
      </c>
      <c r="B1550" t="inlineStr">
        <is>
          <t>My experience so far</t>
        </is>
      </c>
      <c r="C1550" t="inlineStr">
        <is>
          <t>It started with a strong chemical smell in my nose, felt like the burning sensation you get in nose after using bleach to clean somewhere and not having a mask on.
I could shake this smell, it led to extreme headache pain and running nose and loss of taste and smell. 
This was the first week, I’m in week two now, moving my eyes to corners causes pain I think this is because I’ve been running a constant fever for the past few nights 
I’m not hungry, I sleep 15+ hours a day and when I’m awake I’m trying to drink as much fluids as possible.
Cold showers help with the fever temporarily, no coughing or breathing problems yet.</t>
        </is>
      </c>
      <c r="D1550" t="n">
        <v>3</v>
      </c>
      <c r="E1550" t="n">
        <v>4</v>
      </c>
      <c r="F1550">
        <f>HYPERLINK("https://www.reddit.com/r/COVID19positive/comments/guahsr/my_experience_so_far/")</f>
        <v/>
      </c>
      <c r="G1550" t="inlineStr">
        <is>
          <t>2020-05-31 17:33:24</t>
        </is>
      </c>
      <c r="H1550" t="inlineStr">
        <is>
          <t>Tested Positive</t>
        </is>
      </c>
    </row>
    <row r="1551">
      <c r="A1551" t="inlineStr">
        <is>
          <t>gud59y</t>
        </is>
      </c>
      <c r="B1551" t="inlineStr">
        <is>
          <t>Coronavirus f’d my whole life up and I finally just broke down today.</t>
        </is>
      </c>
      <c r="C1551" t="inlineStr">
        <is>
          <t>TL;DR Covid cost me my jobs, independence, health, and relationships.
Hi all. I don’t know where to begin really. March 14th is when my symptoms first appeared. My case was severe, but luckily not bad enough to become critical. I had it all: shortness of breath, congestion, dry cough, fever, diarrhea, heart palpitations, etc. I collapsed at the top of the stairs on day 8. I was taken to the ER in an ambulance around day 10. No covid test was given to me because I’m only 32(F) and since I got sick at the beginning of the pandemic, everything was an utter shit show. I live in the 3rd largest city in America. There were no tests being given unless you were on death’s doorstep. I have a rare autoimmune disease and asthma and I still couldn’t get one. The fever never quit. Not Tylenol, not ibuprofen, not aspirin, not any combination of them would lower my fever. I had my window wide open even though it was 40°F outside. The cough from hell. I coughed so hard I actually stress fractured a rib and strained my muscles and cartilage. One time I ate a bowl of lucky charms and was out of breath for 2 hours afterward. Bonus: I had a tooth abscess that got infected so I needed antibiotics for that as well, because the infection was spreading towards my respiratory track and causing me a lot of pain as well.
My physician has zero doubt I had the virus and I have no doubt as well. There is literally nothing else it could be. I tested negative for both types of flu on day 3. By day 24 I wasn’t getting any better on my own with my inhaler, daily immunomodulator, and prescription cough medicine. My physician put me on a high dose of prednisone for 5 days to immunosuppress me. I couldn’t be near or even touch my kids for nearly 2 weeks which was so difficult. Luckily the prednisone did the trick to stop the inflammation. Now I still have heart problems at age 32 including bradycardia when I sleep and tachycardia when I am awake even though all the other symptoms have gone. Still have weak lungs though. 
Right before I got sick, was the last time I saw her. The woman of my dreams. I thought I would get to see her again. I thought quarantine would be just a few weeks. I was so so wrong of course.  Now because of the circumstances, I won’t ever get to see her again. I never got to give her a hug goodbye (although that ended up being for the best since I would’ve infected her), I never got to tell her how I feel, and now the chances of me seeing her in person again are very very slim. 
Around day 25 I made a post on Facebook letting people know I had the virus, but that it looked like I was going to make it through ok. I was tired of seeing posts about people neglecting social distancing and not taking the virus seriously, so I thought I would tell everyone so it would hit them a little closer to home. Plus I have depression and I was really getting down. Before that I didn’t tell anyone except my family and the people I came into physical contact with in case they showed symptoms, because I didn’t want to worry anybody. 
Well my brother saw the post. He and I have never seen eye to eye but when he saw my post, I got a nasty text from him, calling me a narcissist who made up a covid diagnosis (despite 3 physicians saying otherwise) in order to get sympathy and attention. Now he’s always been pretty mean to me, but this was the straw that finally broke the camel’s back. I told my parents who ripped him a new a-hole, and blocked him out of my life completely. Not once in the month I was sick did he call or text to see if I was ok, if I was alive, but only contacted me when he saw my post. He cared more about what I post on Facebook that might embarrass him than if his sister was actually ok and going to make it. He’s my only sibling.
I’m an actor. I was doing a show at a well known theater in my city before lockdown was incurred. We did two runs and then it was cancelled. The theater does want to run it again when we reopen but we have yet to know when that day will come. Acting is my passion, what gives me joy in life, and it was taken away. Not only that, I Lyft drive to make ends meet, and since I was infected, my account was suspended until I can prove I’m all better. 
I was supposed to move out of the apartment I share with my ex this year. We are good friends and coparent well,  but it really is time to go our separate ways. Well since I got sick and am out of work, my savings intended to be used to get an apartment in the same neighborhood was completely depleted in order to pay bills as both of us are out of work. Now I’m stuck here for another 8 months to a year, at least. 
I went to get my antibody test (Abbot) this past Friday. It was a long wait because again, this whole pandemic has been so mismanaged it took a month and half after my last symptom subsided (bar the heart issues) before I could finally get an appointment for the test. I got a call this morning: no antibodies found. You guys, I just lost it. I broke down. I cried and cried and cried. I have been through such hell physically and mentally and I don’t even have proof to show it. I don’t know if I have any immunity to covid and this could happen again, I don’t know if the test was a false negative. I just don’t know. But I couldn’t take it anymore. I texted my primary physician who assured me that I did indeed have covid and that the accuracy of the Abbot test wasn’t very good, especially the longer you wait after your symptoms subside. My depression is at an all time high. I don’t know if I should waste money getting the Roche antibody test. I just feel lost.
If you made it this far reading: thanks I appreciate it. If you skipped over a bunch: I don’t blame you. I sound like a whiny teenager and I am grateful to be alive. 
This whole year sucks.</t>
        </is>
      </c>
      <c r="D1551" t="n">
        <v>7</v>
      </c>
      <c r="E1551" t="n">
        <v>103</v>
      </c>
      <c r="F1551">
        <f>HYPERLINK("https://www.reddit.com/r/COVID19positive/comments/gud59y/coronavirus_fd_my_whole_life_up_and_i_finally/")</f>
        <v/>
      </c>
      <c r="G1551" t="inlineStr">
        <is>
          <t>2020-05-31 20:33:22</t>
        </is>
      </c>
      <c r="H1551" t="inlineStr">
        <is>
          <t>Presumed Positive - From Doctor</t>
        </is>
      </c>
    </row>
    <row r="1552">
      <c r="A1552" t="inlineStr">
        <is>
          <t>guddqz</t>
        </is>
      </c>
      <c r="B1552" t="inlineStr">
        <is>
          <t>Is Oxolamine recommend in case of sore throat and mild coughing?</t>
        </is>
      </c>
      <c r="C1552" t="inlineStr">
        <is>
          <t>I have a question. Has anyone tried taking Oxolamine or any other cough suppressor? I would love to know if they are recommended to take in case of sore throat and mild coughing.</t>
        </is>
      </c>
      <c r="D1552" t="n">
        <v>1</v>
      </c>
      <c r="E1552" t="n">
        <v>1</v>
      </c>
      <c r="F1552">
        <f>HYPERLINK("https://www.reddit.com/r/COVID19positive/comments/guddqz/is_oxolamine_recommend_in_case_of_sore_throat_and/")</f>
        <v/>
      </c>
      <c r="G1552" t="inlineStr">
        <is>
          <t>2020-05-31 20:50:26</t>
        </is>
      </c>
      <c r="H1552" t="inlineStr">
        <is>
          <t>Tested Positive - Me</t>
        </is>
      </c>
    </row>
    <row r="1553">
      <c r="A1553" t="inlineStr">
        <is>
          <t>gudgpy</t>
        </is>
      </c>
      <c r="B1553" t="inlineStr">
        <is>
          <t>Anyone else's hands and feet sweating violently?</t>
        </is>
      </c>
      <c r="C1553" t="inlineStr">
        <is>
          <t>That's been one of the creepiest things going on with me lately along with fatigue that feels like I'm bout to give up the ghost, pains in my fingertips, and heart beating too hard.</t>
        </is>
      </c>
      <c r="D1553" t="n">
        <v>2</v>
      </c>
      <c r="E1553" t="n">
        <v>2</v>
      </c>
      <c r="F1553">
        <f>HYPERLINK("https://www.reddit.com/r/COVID19positive/comments/gudgpy/anyone_elses_hands_and_feet_sweating_violently/")</f>
        <v/>
      </c>
      <c r="G1553" t="inlineStr">
        <is>
          <t>2020-05-31 20:56:40</t>
        </is>
      </c>
      <c r="H1553" t="inlineStr">
        <is>
          <t>Presumed Positive - From Doctor</t>
        </is>
      </c>
    </row>
    <row r="1554">
      <c r="A1554" t="inlineStr">
        <is>
          <t>gue27r</t>
        </is>
      </c>
      <c r="B1554" t="inlineStr">
        <is>
          <t>People with 15+ weeks of symptoms, how are you doing now?? Is it getting better??</t>
        </is>
      </c>
      <c r="C1554" t="inlineStr">
        <is>
          <t>I need some and positivity right now. I am on week 12 and my GI issue just don resolve and also I started experiencing tachycardia a few weeks ago!.</t>
        </is>
      </c>
      <c r="D1554" t="n">
        <v>2</v>
      </c>
      <c r="E1554" t="n">
        <v>112</v>
      </c>
      <c r="F1554">
        <f>HYPERLINK("https://www.reddit.com/r/COVID19positive/comments/gue27r/people_with_15_weeks_of_symptoms_how_are_you/")</f>
        <v/>
      </c>
      <c r="G1554" t="inlineStr">
        <is>
          <t>2020-05-31 21:41:24</t>
        </is>
      </c>
      <c r="H1554" t="inlineStr">
        <is>
          <t>Presumed Positive - From Test</t>
        </is>
      </c>
    </row>
    <row r="1555">
      <c r="A1555" t="inlineStr">
        <is>
          <t>gueo87</t>
        </is>
      </c>
      <c r="B1555" t="inlineStr">
        <is>
          <t>Any1s first symptom been shortness of breath?</t>
        </is>
      </c>
      <c r="C1555" t="inlineStr">
        <is>
          <t>1 week prior to all my symptoms hitting me at once (loss of smell and taste, flu, all that stuff...) i only had shortness of breath. It was bad but manageable.
I had a whole straight week of only 1 symptom (that being SOB) and then it hit me..chills, coldness, all that stuff. I thought it was an anxiety attack.
i never got a fever or cough and i dont have the covid penumonia either
Im gradually recovering as well....however...the SOB is a problem.
Was wondering if any1 experienced this as well?</t>
        </is>
      </c>
      <c r="D1555" t="n">
        <v>1</v>
      </c>
      <c r="E1555" t="n">
        <v>2</v>
      </c>
      <c r="F1555">
        <f>HYPERLINK("https://www.reddit.com/r/COVID19positive/comments/gueo87/any1s_first_symptom_been_shortness_of_breath/")</f>
        <v/>
      </c>
      <c r="G1555" t="inlineStr">
        <is>
          <t>2020-05-31 22:30:38</t>
        </is>
      </c>
      <c r="H1555" t="inlineStr">
        <is>
          <t>Presumed Positive - From Doctor</t>
        </is>
      </c>
    </row>
    <row r="1556">
      <c r="A1556" t="inlineStr">
        <is>
          <t>guep38</t>
        </is>
      </c>
      <c r="B1556" t="inlineStr">
        <is>
          <t>2 months later. Stomach is still messed up big time. Anyone else?</t>
        </is>
      </c>
      <c r="C1556" t="inlineStr">
        <is>
          <t>It’s been two months since I started to improve. I still feel like shit almost every day but I think this also has to do with pre existing health conditions that I had before covid and am trying to figure out still. 
Anyways, I eat extremely healthy and have always never had any gut/stomach/digestion issues EVER...but ever since getting covid my stomach has been trashed. 
First it was indigestion and heartburn. But for the last month, every time I eat or drink my stomach feels upset almost like IBS. Something is definitely off and I can feel that my gut was damaged. 
Anyone else?</t>
        </is>
      </c>
      <c r="D1556" t="n">
        <v>1</v>
      </c>
      <c r="E1556" t="n">
        <v>16</v>
      </c>
      <c r="F1556">
        <f>HYPERLINK("https://www.reddit.com/r/COVID19positive/comments/guep38/2_months_later_stomach_is_still_messed_up_big/")</f>
        <v/>
      </c>
      <c r="G1556" t="inlineStr">
        <is>
          <t>2020-05-31 22:32:32</t>
        </is>
      </c>
      <c r="H1556" t="inlineStr">
        <is>
          <t>Presumed Positive - From Doctor</t>
        </is>
      </c>
    </row>
    <row r="1557">
      <c r="A1557" t="inlineStr">
        <is>
          <t>gugw0c</t>
        </is>
      </c>
      <c r="B1557" t="inlineStr">
        <is>
          <t>Week 11- when Does it end?</t>
        </is>
      </c>
      <c r="C1557" t="inlineStr">
        <is>
          <t>Week 11- it’s 430 a/m. Another night of no sleep although I took melatonin . 
Still can’t breath , shortness of breath sucks with 99 oxygen , feels like I’m being choked , chest is on fire , and dry cough Is so deep it rattles my entire chest . All tests are clear so there’s nothing I can do . 
Also brain has been feeling weird . Along with tachycardia. 
When does the nightmare end? Does it ever end :(</t>
        </is>
      </c>
      <c r="D1557" t="n">
        <v>1</v>
      </c>
      <c r="E1557" t="n">
        <v>11</v>
      </c>
      <c r="F1557">
        <f>HYPERLINK("https://www.reddit.com/r/COVID19positive/comments/gugw0c/week_11_when_does_it_end/")</f>
        <v/>
      </c>
      <c r="G1557" t="inlineStr">
        <is>
          <t>2020-06-01 01:36:54</t>
        </is>
      </c>
      <c r="H1557" t="inlineStr">
        <is>
          <t>Tested Positive</t>
        </is>
      </c>
    </row>
    <row r="1558">
      <c r="A1558" t="inlineStr">
        <is>
          <t>gui6gg</t>
        </is>
      </c>
      <c r="B1558" t="inlineStr">
        <is>
          <t>High heart rate and low oxygen</t>
        </is>
      </c>
      <c r="C1558" t="inlineStr">
        <is>
          <t>I bought an oximeter yesterday and my resting heartbeat has been over 100-130 and my oxygen 96-97. I called the hospital and the nurse said that’s expected with corona patients and I should monitor my oxygen level and go to ER if it drops below 90. I think 90 is crazy low, when should I be worried ?</t>
        </is>
      </c>
      <c r="D1558" t="n">
        <v>1</v>
      </c>
      <c r="E1558" t="n">
        <v>11</v>
      </c>
      <c r="F1558">
        <f>HYPERLINK("https://www.reddit.com/r/COVID19positive/comments/gui6gg/high_heart_rate_and_low_oxygen/")</f>
        <v/>
      </c>
      <c r="G1558" t="inlineStr">
        <is>
          <t>2020-06-01 03:28:11</t>
        </is>
      </c>
      <c r="H1558" t="inlineStr">
        <is>
          <t>Tested Positive</t>
        </is>
      </c>
    </row>
    <row r="1559">
      <c r="A1559" t="inlineStr">
        <is>
          <t>gujk84</t>
        </is>
      </c>
      <c r="B1559" t="inlineStr">
        <is>
          <t>It’s been 2 months</t>
        </is>
      </c>
      <c r="C1559" t="inlineStr">
        <is>
          <t>Sorry all, I promised follow ups even post-recovery. 
I’m two months after infection. I still feel like my breathing isn’t back to 100%... but, I can’t be sure to diagnose myself, right? I’m waiting for a respiratory clinic appointment. Whether the virus has had any long-lasting effects on my asthma is impossible to tell. It honestly could be a combination of the virus, asthma and seasonal allergies. Time and proper diagnostics will tell! 
I can’t participate in plasma trials, because Canadian Blood Services still considers me “high risk”. It is what it is; that’s all politics anyway. I’m just disappointed. I’m eager to see if I have long-lasting antibodies, serological testing should be out soon in Canada. But I’m sure it will be a phased implementation. 
Otherwise, things are pretty much back to normal. So, to those worried about their current status: it will get better! Things do and will get back to normal after COVID.</t>
        </is>
      </c>
      <c r="D1559" t="n">
        <v>1</v>
      </c>
      <c r="E1559" t="n">
        <v>21</v>
      </c>
      <c r="F1559">
        <f>HYPERLINK("https://www.reddit.com/r/COVID19positive/comments/gujk84/its_been_2_months/")</f>
        <v/>
      </c>
      <c r="G1559" t="inlineStr">
        <is>
          <t>2020-06-01 05:14:32</t>
        </is>
      </c>
      <c r="H1559" t="inlineStr">
        <is>
          <t>Tested Positive - Me</t>
        </is>
      </c>
    </row>
    <row r="1560">
      <c r="A1560" t="inlineStr">
        <is>
          <t>gujqgu</t>
        </is>
      </c>
      <c r="B1560" t="inlineStr">
        <is>
          <t>DAY 67, clearing up of symptoms. Still have faint rash but mostly fatigue.</t>
        </is>
      </c>
      <c r="C1560" t="inlineStr">
        <is>
          <t>Hello all, 
So if you want to see how my journey has been so far do look at my other two posts! 
Generally most of my past symptoms like bone pain and muscle pain, SOB, tight chest have gone. I had sores but they cleared up fast. Although my heart rate is still occasionally fast.
The symptoms that remain are as follows 
Foamy Urine (had my kidneys checked and also did a urinalysis, no protein and everything checks out fine) 
Rash on face which is not painful but seems to be sensitive to sun, it is itchy occasionally (similar to Lupus rash but had a full CTD screen that is very sensitive to Lupus and tested negative and was at the very low end of scale.. not even close to positive) 
Abdominal pain occasionally. 
But the most prevalent one I’m feeling today and yesterday which is new. Is absolutely crushing fatigue. It almost feels like I’ve taken a Valium. Two even! haven’t had this until now! Not to this level anyway. It’s disabling! 
The pain has started to go anyway which is a positive. Still some general aches but moving very faint now. 
Has anyone else had this ? 
Lots of love to all hope your all healing x</t>
        </is>
      </c>
      <c r="D1560" t="n">
        <v>1</v>
      </c>
      <c r="E1560" t="n">
        <v>16</v>
      </c>
      <c r="F1560">
        <f>HYPERLINK("https://www.reddit.com/r/COVID19positive/comments/gujqgu/day_67_clearing_up_of_symptoms_still_have_faint/")</f>
        <v/>
      </c>
      <c r="G1560" t="inlineStr">
        <is>
          <t>2020-06-01 05:26:26</t>
        </is>
      </c>
      <c r="H1560" t="inlineStr">
        <is>
          <t>Presumed Positive - From Doctor</t>
        </is>
      </c>
    </row>
    <row r="1561">
      <c r="A1561" t="inlineStr">
        <is>
          <t>gukfyf</t>
        </is>
      </c>
      <c r="B1561" t="inlineStr">
        <is>
          <t>My second infection with covid and the results</t>
        </is>
      </c>
      <c r="C1561" t="inlineStr">
        <is>
          <t>Got covid originally on the 22nd of March, had chronic fatigue syndrome after. Last two weeks I went to work because I had to. And 6 days ago a man on the bus stood behind my seat, unnecessarily wheezing in my ear. I turned around and recognised his symptoms (you know those bloodshot eyes, wheezing, obviously flushed with fever, and looking disoriented and not all there in the head). I got up from my seat and went elsewhere. But later that night came down with a fever, and the next day another fever and some dizziness, and then the next day shortness of breath and elevated heart rate (around 90 not like before at 125).
Today is the fifth day, the day I expected to either get really bad symptoms like last time, or for it to cool off. Seems to be cooling off and going away. So my takeaway is this, you can recatch it, it will develop into symptoms for a week or more, but will be milder than it was (but more severe than the cfs you get after). So symptoms were like I got on week 3-4 of the first bout basically.
But yeah just be careful out there even if you had it, you do have SOME immunity though from my limited empirical experience though, for whatever that is worth.</t>
        </is>
      </c>
      <c r="D1561" t="n">
        <v>1</v>
      </c>
      <c r="E1561" t="n">
        <v>29</v>
      </c>
      <c r="F1561">
        <f>HYPERLINK("https://www.reddit.com/r/COVID19positive/comments/gukfyf/my_second_infection_with_covid_and_the_results/")</f>
        <v/>
      </c>
      <c r="G1561" t="inlineStr">
        <is>
          <t>2020-06-01 06:15:12</t>
        </is>
      </c>
      <c r="H1561" t="inlineStr">
        <is>
          <t>Tested Positive</t>
        </is>
      </c>
    </row>
    <row r="1562">
      <c r="A1562" t="inlineStr">
        <is>
          <t>gul040</t>
        </is>
      </c>
      <c r="B1562" t="inlineStr">
        <is>
          <t>Chest tightness &amp;amp; cough after a short walk</t>
        </is>
      </c>
      <c r="C1562" t="inlineStr">
        <is>
          <t>Hi Guys,
My lung feels normal until I start doing some activities like a short walk which will trigger the chest tightness and coughs. It happens every time and seems not improving! are you guys getting the same issue?</t>
        </is>
      </c>
      <c r="D1562" t="n">
        <v>1</v>
      </c>
      <c r="E1562" t="n">
        <v>11</v>
      </c>
      <c r="F1562">
        <f>HYPERLINK("https://www.reddit.com/r/COVID19positive/comments/gul040/chest_tightness_cough_after_a_short_walk/")</f>
        <v/>
      </c>
      <c r="G1562" t="inlineStr">
        <is>
          <t>2020-06-01 06:51:53</t>
        </is>
      </c>
      <c r="H1562" t="inlineStr">
        <is>
          <t>Presumed Positive - From Doctor</t>
        </is>
      </c>
    </row>
    <row r="1563">
      <c r="A1563" t="inlineStr">
        <is>
          <t>gun88e</t>
        </is>
      </c>
      <c r="B1563" t="inlineStr">
        <is>
          <t>My friend has covid 19 and refuses to stay home</t>
        </is>
      </c>
      <c r="C1563" t="inlineStr">
        <is>
          <t>I’m absolutely livid at my friend’s selfishness and I realize this is why we have so many cases in the US because it’s people like her. 
Last week my friend calls me up saying she felt terrible, she had woke up with flu-like symptoms. Her husband and kids were also coughing and feeling terrible. I begged her to take the test and she refused saying it didn’t matter if she got tested they couldn’t help her anyway. The next day she spent 3 hours shopping just because ‘she needed to get out of the house’. Now at this point it could have been any illness it wasn’t till the next day that she woke up with loss of taste and smell that pretty much confirmed it, still refused to get tested. 
I begged her to inform her husband’s co-workers at least that her and her family most likely have the virus. Again she saw no point in ‘disturbing the work process’. 
I’m worried about my friend and her family but honestly it’s hard for me to even speak to her anymore. This person is a well educated woman with a background in health care. She continues to go out and shop all around town even though it’s progressing. 
I really believe her actions are due to her husband proclaiming that the virus is some sort political scheme. I keep telling myself she can’t be this dumb, I’ve known her for many years and she’s incredibly intelligent and caring. My old friend would not be risking lives by shopping or going out to eat. 
My question is, what can I do? Is reporting someone a thing you can do?</t>
        </is>
      </c>
      <c r="D1563" t="n">
        <v>2</v>
      </c>
      <c r="E1563" t="n">
        <v>215</v>
      </c>
      <c r="F1563">
        <f>HYPERLINK("https://www.reddit.com/r/COVID19positive/comments/gun88e/my_friend_has_covid_19_and_refuses_to_stay_home/")</f>
        <v/>
      </c>
      <c r="G1563" t="inlineStr">
        <is>
          <t>2020-06-01 09:03:11</t>
        </is>
      </c>
      <c r="H1563" t="inlineStr">
        <is>
          <t>Tested Positive - Friends</t>
        </is>
      </c>
    </row>
    <row r="1564">
      <c r="A1564" t="inlineStr">
        <is>
          <t>gunnwj</t>
        </is>
      </c>
      <c r="B1564" t="inlineStr">
        <is>
          <t>Another one presumed positive in France (2+ months in)</t>
        </is>
      </c>
      <c r="C1564" t="inlineStr">
        <is>
          <t>Hey there,
Before anything else, excuse me for my poor English. It's far from perfect but I'm working on it :)
So, I'm struggling with this crazy virus since the beginning of April. It all started with some low fever, sore throat, SOB, tachychardia and chest pain. Luckily, I didn't experienced any coughing. 
Symptoms are still switching on and off depending on the days. I felt WAY better the last five days but I just relapsed this morning with crazy fatigue and brain fog.
Anyone else had the same symptoms ? Everytime I feel i'm getting better, this shit comes with new symptoms. I can barely walk more than 2kms. After that, I get severe tachycardia and headaches for the rest of the day.
Please share some good ending stories to a Frenchie who REALLY needs it.</t>
        </is>
      </c>
      <c r="D1564" t="n">
        <v>1</v>
      </c>
      <c r="E1564" t="n">
        <v>11</v>
      </c>
      <c r="F1564">
        <f>HYPERLINK("https://www.reddit.com/r/COVID19positive/comments/gunnwj/another_one_presumed_positive_in_france_2_months/")</f>
        <v/>
      </c>
      <c r="G1564" t="inlineStr">
        <is>
          <t>2020-06-01 09:27:07</t>
        </is>
      </c>
      <c r="H1564" t="inlineStr">
        <is>
          <t>Presumed Positive - From Doctor</t>
        </is>
      </c>
    </row>
    <row r="1565">
      <c r="A1565" t="inlineStr">
        <is>
          <t>guo605</t>
        </is>
      </c>
      <c r="B1565" t="inlineStr">
        <is>
          <t>How have you guys eased back into activity</t>
        </is>
      </c>
      <c r="C1565" t="inlineStr">
        <is>
          <t>Im tired of just sitting here worry about getting better I want to get back into the groove of things and life what worked for you and what activities you start out with when trying to get better</t>
        </is>
      </c>
      <c r="D1565" t="n">
        <v>2</v>
      </c>
      <c r="E1565" t="n">
        <v>16</v>
      </c>
      <c r="F1565">
        <f>HYPERLINK("https://www.reddit.com/r/COVID19positive/comments/guo605/how_have_you_guys_eased_back_into_activity/")</f>
        <v/>
      </c>
      <c r="G1565" t="inlineStr">
        <is>
          <t>2020-06-01 09:54:15</t>
        </is>
      </c>
      <c r="H1565" t="inlineStr">
        <is>
          <t>Tested Positive - Me</t>
        </is>
      </c>
    </row>
    <row r="1566">
      <c r="A1566" t="inlineStr">
        <is>
          <t>guos8v</t>
        </is>
      </c>
      <c r="B1566" t="inlineStr">
        <is>
          <t>Tested positive for Covid-19 Antibodies. My symptoms while sick were treated with these medications successfully. I only had to miss a little bit of work.</t>
        </is>
      </c>
      <c r="C1566" t="inlineStr">
        <is>
          <t>Covid-19 seems to hit everyone in different ways so I wanted to talk about what symptoms I did have and how medication for pleurisy helped it not be too terrible. If you are suffering from similar symptoms then ask your doctor about steroids.
Health history: I'm 38 and never had pneumonia in my life. I got the flu shot this year and got sick a few times but usually, I don't have any lingering effects. No underlining health conditions. A- blood type.
Initial sickness: March 10th - Lasted about 3-4 days. I felt pretty crummy like I was coming down with another cold. I already had 2 colds this flu season so it was annoying I was sick AGAIN. No coughing, no fever, never lost my sense of taste or smell. The main symptoms were a super sore throat and weakness. At the time I was sick two of my co-workers who sat next to me were also sick. To my left, he had symptoms like mine and we thought it was strep. Across from me, he was coughing up a storm and he mentioned his sister had traveled to Wuhan during the new year. Both of them haven't been tested.  
Aftermath: After about a week of feeling better, I woke up with a very sore back like I was punched in my shoulder blade. My throat was really swollen and it hurt to talk. I felt really weak and sick and it progressed to utter misery within a couple of hours. I was worried it might be pneumonia so I went to the local instacare. Based on my symptoms the doctor thought it was pleurisy (inflammation of the lungs) and prescribed a 5-day dose of Predisone (a steroid) to treat it.  
I started feeling better within a couple of hours to the point where I could work the second half the day. By the next day, my symptoms had gone away completely so I thought it must not have been Covid-19. My work went full remote around that time so I didn't go back to the office.  
Flare-ups: 1 day after my last steroid dose I woke up again with a sore throat and back pain (This time the backpain was on the opposite shoulder blade). My doctor had switched to telehealth this time and he prescribed another dose of prednisone. I again felt better within hours and while on the medication. This happened 2 more times and I was able to get prednisone as well as an antibiotic to take. The third flare up had me come in and get my lungs X-rayed. The x-ray was clear.  
After doing this for about 5 times the flare-ups stopped though my throat is still a bit sore. I can exercise without flareups.</t>
        </is>
      </c>
      <c r="D1566" t="n">
        <v>0</v>
      </c>
      <c r="E1566" t="n">
        <v>9</v>
      </c>
      <c r="F1566">
        <f>HYPERLINK("https://www.reddit.com/r/COVID19positive/comments/guos8v/tested_positive_for_covid19_antibodies_my/")</f>
        <v/>
      </c>
      <c r="G1566" t="inlineStr">
        <is>
          <t>2020-06-01 10:26:13</t>
        </is>
      </c>
      <c r="H1566" t="inlineStr">
        <is>
          <t>Tested Positive - Me</t>
        </is>
      </c>
    </row>
    <row r="1567">
      <c r="A1567" t="inlineStr">
        <is>
          <t>guov8n</t>
        </is>
      </c>
      <c r="B1567" t="inlineStr">
        <is>
          <t>Long termers</t>
        </is>
      </c>
      <c r="C1567" t="inlineStr">
        <is>
          <t>Is there any evidence out of China or Italy that long term symptomatic patients recover? 
Why is there such a lack of information</t>
        </is>
      </c>
      <c r="D1567" t="n">
        <v>8</v>
      </c>
      <c r="E1567" t="n">
        <v>21</v>
      </c>
      <c r="F1567">
        <f>HYPERLINK("https://www.reddit.com/r/COVID19positive/comments/guov8n/long_termers/")</f>
        <v/>
      </c>
      <c r="G1567" t="inlineStr">
        <is>
          <t>2020-06-01 10:30:29</t>
        </is>
      </c>
      <c r="H1567" t="inlineStr">
        <is>
          <t>Presumed Positive - From Doctor</t>
        </is>
      </c>
    </row>
    <row r="1568">
      <c r="A1568" t="inlineStr">
        <is>
          <t>gupi1z</t>
        </is>
      </c>
      <c r="B1568" t="inlineStr">
        <is>
          <t>Long term sufferers - has anyone seen a neurologist?</t>
        </is>
      </c>
      <c r="C1568" t="inlineStr">
        <is>
          <t>I have an appointment this week and I'm wondering what to expect. I will also follow up after my appointment, in case the information helps anyone else here.</t>
        </is>
      </c>
      <c r="D1568" t="n">
        <v>1</v>
      </c>
      <c r="E1568" t="n">
        <v>36</v>
      </c>
      <c r="F1568">
        <f>HYPERLINK("https://www.reddit.com/r/COVID19positive/comments/gupi1z/long_term_sufferers_has_anyone_seen_a_neurologist/")</f>
        <v/>
      </c>
      <c r="G1568" t="inlineStr">
        <is>
          <t>2020-06-01 11:04:07</t>
        </is>
      </c>
      <c r="H1568" t="inlineStr">
        <is>
          <t>Presumed Positive - From Doctor</t>
        </is>
      </c>
    </row>
    <row r="1569">
      <c r="A1569" t="inlineStr">
        <is>
          <t>gupi4q</t>
        </is>
      </c>
      <c r="B1569" t="inlineStr">
        <is>
          <t>My grandmas a trooper!</t>
        </is>
      </c>
      <c r="C1569" t="inlineStr">
        <is>
          <t>My 89 year old, alzheimer's suffering, end of life grandma tested positive for covid19. In her care home 12 out of 40 residents died. As well as getting the virus she also had a UTI and a chest infection on top. This amazing beautiful stubborn lady today has been told her fever is down, her stats are normal and has recovered from covid19!
Today we saw her at her window and she asked if we bought any babycham (cheap perry wine)  as she had run out. I dont think the 5 bottles will be lasting her long!</t>
        </is>
      </c>
      <c r="D1569" t="n">
        <v>6</v>
      </c>
      <c r="E1569" t="n">
        <v>9</v>
      </c>
      <c r="F1569">
        <f>HYPERLINK("https://www.reddit.com/r/COVID19positive/comments/gupi4q/my_grandmas_a_trooper/")</f>
        <v/>
      </c>
      <c r="G1569" t="inlineStr">
        <is>
          <t>2020-06-01 11:04:14</t>
        </is>
      </c>
      <c r="H1569" t="inlineStr">
        <is>
          <t>Tested Positive - Family</t>
        </is>
      </c>
    </row>
    <row r="1570">
      <c r="A1570" t="inlineStr">
        <is>
          <t>gus0by</t>
        </is>
      </c>
      <c r="B1570" t="inlineStr">
        <is>
          <t>When do you know if you have a mild case?</t>
        </is>
      </c>
      <c r="C1570" t="inlineStr">
        <is>
          <t>My wife tested positive 3 days ago after losing taste/smell 5 days ago. Her only other symptom is mild bodyaches. 
I developed a mild cough 5 days ago and have no other symptoms yet.
We're both obviously worried we could develop more severe symptoms, so I am wondering when it's safe to assume we "got lucky."
Thanks for your responses
PS. Any tips for dealing with the cough? Cough drops seem to have no effect.</t>
        </is>
      </c>
      <c r="D1570" t="n">
        <v>1</v>
      </c>
      <c r="E1570" t="n">
        <v>15</v>
      </c>
      <c r="F1570">
        <f>HYPERLINK("https://www.reddit.com/r/COVID19positive/comments/gus0by/when_do_you_know_if_you_have_a_mild_case/")</f>
        <v/>
      </c>
      <c r="G1570" t="inlineStr">
        <is>
          <t>2020-06-01 13:12:33</t>
        </is>
      </c>
      <c r="H1570" t="inlineStr">
        <is>
          <t>Tested Positive - Family</t>
        </is>
      </c>
    </row>
    <row r="1571">
      <c r="A1571" t="inlineStr">
        <is>
          <t>guvper</t>
        </is>
      </c>
      <c r="B1571" t="inlineStr">
        <is>
          <t>What are some good remedies to alleviate symptoms?</t>
        </is>
      </c>
      <c r="C1571" t="inlineStr">
        <is>
          <t>My boyfriend’s co-worker tested positive for Covid-19. He works pretty closely to him. Their boss is a piece of shit and kept working the guy even though he was sick and was awaiting a test result. My boyfriend started having a cough, sore throat, etc. the other day but can’t get a test because his fever isn’t high enough. I started having a sore throat today and am trying to make my preparations for feeling like crap.</t>
        </is>
      </c>
      <c r="D1571" t="n">
        <v>1</v>
      </c>
      <c r="E1571" t="n">
        <v>12</v>
      </c>
      <c r="F1571">
        <f>HYPERLINK("https://www.reddit.com/r/COVID19positive/comments/guvper/what_are_some_good_remedies_to_alleviate_symptoms/")</f>
        <v/>
      </c>
      <c r="G1571" t="inlineStr">
        <is>
          <t>2020-06-01 16:29:33</t>
        </is>
      </c>
      <c r="H1571" t="inlineStr">
        <is>
          <t>Presumed Positive - From Test</t>
        </is>
      </c>
    </row>
    <row r="1572">
      <c r="A1572" t="inlineStr">
        <is>
          <t>guxuxw</t>
        </is>
      </c>
      <c r="B1572" t="inlineStr">
        <is>
          <t>Has anyone gotten an endoscopy (EGD) for their GI/stomach issues?</t>
        </is>
      </c>
      <c r="C1572" t="inlineStr">
        <is>
          <t>If so, what were the findings? 
I have an endoscopy scheduled for Friday and I'm a bit nervous, mostly because I have on-going tachycardia/sob and read that the procedure can be dangerous for those with heart issues. Hopefully I get my echo results soon, and I'll defintely run it by my cardiolgist first to make sure he thinks it's safe.</t>
        </is>
      </c>
      <c r="D1572" t="n">
        <v>1</v>
      </c>
      <c r="E1572" t="n">
        <v>23</v>
      </c>
      <c r="F1572">
        <f>HYPERLINK("https://www.reddit.com/r/COVID19positive/comments/guxuxw/has_anyone_gotten_an_endoscopy_egd_for_their/")</f>
        <v/>
      </c>
      <c r="G1572" t="inlineStr">
        <is>
          <t>2020-06-01 18:36:12</t>
        </is>
      </c>
      <c r="H1572" t="inlineStr">
        <is>
          <t>Tested Positive</t>
        </is>
      </c>
    </row>
    <row r="1573">
      <c r="A1573" t="inlineStr">
        <is>
          <t>guyvih</t>
        </is>
      </c>
      <c r="B1573" t="inlineStr">
        <is>
          <t>What were your first symptoms?</t>
        </is>
      </c>
      <c r="C1573" t="inlineStr">
        <is>
          <t>I went to get tested today but I won't have results for another 2 to 3 days.
I started feeling off Saturday night, woke up fine Sunday then by sundown I started feeling feverish and low energy. My body temperature only went up to 98.8 F. Today I went to get tested, I felt okay just off, as the day goes, my energy level is low and feel warm but no fever. Body temp is at 98.6 F
&amp;amp;#x200B;
I am waiting for my symptoms to get worse hopefully I am not really sick but will not know until I get my test results. 
&amp;amp;#x200B;
What did you guys first experience?</t>
        </is>
      </c>
      <c r="D1573" t="n">
        <v>1</v>
      </c>
      <c r="E1573" t="n">
        <v>16</v>
      </c>
      <c r="F1573">
        <f>HYPERLINK("https://www.reddit.com/r/COVID19positive/comments/guyvih/what_were_your_first_symptoms/")</f>
        <v/>
      </c>
      <c r="G1573" t="inlineStr">
        <is>
          <t>2020-06-01 19:39:18</t>
        </is>
      </c>
      <c r="H1573" t="inlineStr">
        <is>
          <t>Presumed Positive - From Doctor</t>
        </is>
      </c>
    </row>
    <row r="1574">
      <c r="A1574" t="inlineStr">
        <is>
          <t>guz64b</t>
        </is>
      </c>
      <c r="B1574" t="inlineStr">
        <is>
          <t>Tested Positive for Anti-Bodies</t>
        </is>
      </c>
      <c r="C1574" t="inlineStr">
        <is>
          <t>Hey Guys, 
&amp;amp;#x200B;
What exactly does this mean  for me? Is it a permanent fix to the issue or unknown at the moment?
any ideas? 
&amp;amp;#x200B;
Thank You!</t>
        </is>
      </c>
      <c r="D1574" t="n">
        <v>1</v>
      </c>
      <c r="E1574" t="n">
        <v>10</v>
      </c>
      <c r="F1574">
        <f>HYPERLINK("https://www.reddit.com/r/COVID19positive/comments/guz64b/tested_positive_for_antibodies/")</f>
        <v/>
      </c>
      <c r="G1574" t="inlineStr">
        <is>
          <t>2020-06-01 19:58:57</t>
        </is>
      </c>
      <c r="H1574" t="inlineStr">
        <is>
          <t>Tested Positive</t>
        </is>
      </c>
    </row>
    <row r="1575">
      <c r="A1575" t="inlineStr">
        <is>
          <t>guzp8i</t>
        </is>
      </c>
      <c r="B1575" t="inlineStr">
        <is>
          <t>7 weeks later and I'm still dizzy, headaches, upset stomach, upper abdominal pain?</t>
        </is>
      </c>
      <c r="C1575" t="inlineStr">
        <is>
          <t>I'm nervous. Is the virus still in me or is my body just repairing itself? I got it bad but not severe. I could jog a little bit today for 30 seconds then walk. I'm just still in pain and scared. When will things be normal? What is causing the weird migraines and dizziness?</t>
        </is>
      </c>
      <c r="D1575" t="n">
        <v>1</v>
      </c>
      <c r="E1575" t="n">
        <v>15</v>
      </c>
      <c r="F1575">
        <f>HYPERLINK("https://www.reddit.com/r/COVID19positive/comments/guzp8i/7_weeks_later_and_im_still_dizzy_headaches_upset/")</f>
        <v/>
      </c>
      <c r="G1575" t="inlineStr">
        <is>
          <t>2020-06-01 20:34:52</t>
        </is>
      </c>
      <c r="H1575" t="inlineStr">
        <is>
          <t>Tested Positive - Me</t>
        </is>
      </c>
    </row>
    <row r="1576">
      <c r="A1576" t="inlineStr">
        <is>
          <t>gv6xdk</t>
        </is>
      </c>
      <c r="B1576" t="inlineStr">
        <is>
          <t>Symptoms lingering around for a while</t>
        </is>
      </c>
      <c r="C1576" t="inlineStr">
        <is>
          <t>I have had this virus for at least 6 to 7 weeks  now my cough does not fully go away my symptoms have been mild for the most part. I still feel like shit sometimes is any one dealing with the same thing?  Basically long lasting symptoms.</t>
        </is>
      </c>
      <c r="D1576" t="n">
        <v>1</v>
      </c>
      <c r="E1576" t="n">
        <v>9</v>
      </c>
      <c r="F1576">
        <f>HYPERLINK("https://www.reddit.com/r/COVID19positive/comments/gv6xdk/symptoms_lingering_around_for_a_while/")</f>
        <v/>
      </c>
      <c r="G1576" t="inlineStr">
        <is>
          <t>2020-06-02 06:02:17</t>
        </is>
      </c>
      <c r="H1576" t="inlineStr">
        <is>
          <t>Tested Positive</t>
        </is>
      </c>
    </row>
    <row r="1577">
      <c r="A1577" t="inlineStr">
        <is>
          <t>gv744f</t>
        </is>
      </c>
      <c r="B1577" t="inlineStr">
        <is>
          <t>Long termers, checking in</t>
        </is>
      </c>
      <c r="C1577" t="inlineStr">
        <is>
          <t>29F, Sick since early March. Waiting on antibody results. 
Right now the trend is I have 5-7 mildly good days before my symptoms go into overdrive. Good days are not me feeling 100%. I consider a good day being able to fold and put away laundry without having to sit down. My muscles also ache on good days, like I’ve done a new workout. Before my symptoms start back up I usually get an ache in my spine, then my hands start to sweat again and it’s back to laying on the couch, evil chills, 0 appetite, heart beating out of chest.
Something was brought up to me recently too, and I think it’s important to share with you all. 
One of my worst symptoms I’ve been calling nausea. It’s where I can’t eat, even though I can taste and smell the food, my brain doesn’t recognize it as food. I have to literally force myself to chew and swallow. It almost feels like I’m trying to eat grass or carpet or something. But I don’t get the urge to throw up and I don’t gag. After my doctor sat me down and really had me describe my symptoms in detail, she informed me that the medical term for that symptom is anorexia. For a long time we’d been trying to treat one thing, when it really was another, (Zofran does seem to help though). 
Anyways, I encourage you all to be detailed and through with your doc about your lingering symptoms. Be as descriptive as possible, you’re not being dramatic, you’re sick and your doc needs to hear your story.</t>
        </is>
      </c>
      <c r="D1577" t="n">
        <v>1</v>
      </c>
      <c r="E1577" t="n">
        <v>94</v>
      </c>
      <c r="F1577">
        <f>HYPERLINK("https://www.reddit.com/r/COVID19positive/comments/gv744f/long_termers_checking_in/")</f>
        <v/>
      </c>
      <c r="G1577" t="inlineStr">
        <is>
          <t>2020-06-02 06:14:00</t>
        </is>
      </c>
      <c r="H1577" t="inlineStr">
        <is>
          <t>Presumed Positive - From Doctor</t>
        </is>
      </c>
    </row>
    <row r="1578">
      <c r="A1578" t="inlineStr">
        <is>
          <t>gvcde0</t>
        </is>
      </c>
      <c r="B1578" t="inlineStr">
        <is>
          <t>Is it possible that this is an immune response that is ongoing?</t>
        </is>
      </c>
      <c r="C1578" t="inlineStr">
        <is>
          <t>I’m sure this has been discussed before but I read that   Symptoms after the virus has cleared is an overzealous reaction by the immune system. Does this mean that it will never calm down?  I tested negative a few times and still dealing with different symptoms. Not severe but very bothersome. Hope all are doing well.</t>
        </is>
      </c>
      <c r="D1578" t="n">
        <v>3</v>
      </c>
      <c r="E1578" t="n">
        <v>27</v>
      </c>
      <c r="F1578">
        <f>HYPERLINK("https://www.reddit.com/r/COVID19positive/comments/gvcde0/is_it_possible_that_this_is_an_immune_response/")</f>
        <v/>
      </c>
      <c r="G1578" t="inlineStr">
        <is>
          <t>2020-06-02 11:05:55</t>
        </is>
      </c>
      <c r="H1578" t="inlineStr">
        <is>
          <t>Tested Positive</t>
        </is>
      </c>
    </row>
    <row r="1579">
      <c r="A1579" t="inlineStr">
        <is>
          <t>gveb61</t>
        </is>
      </c>
      <c r="B1579" t="inlineStr">
        <is>
          <t>Family drama</t>
        </is>
      </c>
      <c r="C1579" t="inlineStr">
        <is>
          <t>Do any of you all have family that don’t believe you could possibly be sick this long? My immediate family is supportive but my extended family is urging me to go to therapy. They basically think I’m a hypochondriac at this point. I’ve had this since late March and am about 80-90% better with some chest pain and SOB.</t>
        </is>
      </c>
      <c r="D1579" t="n">
        <v>2</v>
      </c>
      <c r="E1579" t="n">
        <v>23</v>
      </c>
      <c r="F1579">
        <f>HYPERLINK("https://www.reddit.com/r/COVID19positive/comments/gveb61/family_drama/")</f>
        <v/>
      </c>
      <c r="G1579" t="inlineStr">
        <is>
          <t>2020-06-02 12:46:34</t>
        </is>
      </c>
      <c r="H1579" t="inlineStr">
        <is>
          <t>Presumed Positive - From Doctor</t>
        </is>
      </c>
    </row>
    <row r="1580">
      <c r="A1580" t="inlineStr">
        <is>
          <t>gvegy4</t>
        </is>
      </c>
      <c r="B1580" t="inlineStr">
        <is>
          <t>My friend checked into a covid hospital facility around 26th march. He hasn't come back yet.</t>
        </is>
      </c>
      <c r="C1580" t="inlineStr">
        <is>
          <t>Has anyone known cases that are similar? I am terribly confused what is happening to him! And worried for him. Its been 71 days.</t>
        </is>
      </c>
      <c r="D1580" t="n">
        <v>1</v>
      </c>
      <c r="E1580" t="n">
        <v>20</v>
      </c>
      <c r="F1580">
        <f>HYPERLINK("https://www.reddit.com/r/COVID19positive/comments/gvegy4/my_friend_checked_into_a_covid_hospital_facility/")</f>
        <v/>
      </c>
      <c r="G1580" t="inlineStr">
        <is>
          <t>2020-06-02 12:54:54</t>
        </is>
      </c>
      <c r="H1580" t="inlineStr">
        <is>
          <t>Tested Positive - Friends</t>
        </is>
      </c>
    </row>
    <row r="1581">
      <c r="A1581" t="inlineStr">
        <is>
          <t>gverft</t>
        </is>
      </c>
      <c r="B1581" t="inlineStr">
        <is>
          <t>Ongoing weird symptomatology 4m after the viral infection?</t>
        </is>
      </c>
      <c r="C1581" t="inlineStr">
        <is>
          <t>Hi have some of you experienced contiouns or lateng symptomatology?
I have had after the viral infection;
Pericarditis,
Joint pain,
Fatigue,
"Bubbly sensation"under my skin(perhaps muwcular or vascular contractions?)
More sensitivity to smell noise and light
Etc..
For 4 months and still on the ride</t>
        </is>
      </c>
      <c r="D1581" t="n">
        <v>1</v>
      </c>
      <c r="E1581" t="n">
        <v>39</v>
      </c>
      <c r="F1581">
        <f>HYPERLINK("https://www.reddit.com/r/COVID19positive/comments/gverft/ongoing_weird_symptomatology_4m_after_the_viral/")</f>
        <v/>
      </c>
      <c r="G1581" t="inlineStr">
        <is>
          <t>2020-06-02 13:09:56</t>
        </is>
      </c>
      <c r="H1581" t="inlineStr">
        <is>
          <t>Presumed Positive - From Doctor</t>
        </is>
      </c>
    </row>
    <row r="1582">
      <c r="A1582" t="inlineStr">
        <is>
          <t>gvevc4</t>
        </is>
      </c>
      <c r="B1582" t="inlineStr">
        <is>
          <t>My 21 year old boyfriend was exposed to covid and can't come home</t>
        </is>
      </c>
      <c r="C1582" t="inlineStr">
        <is>
          <t>So my boyfriend was exposed to covid at work when his boss was still showing up with symptoms even after their company said to stay home if you think you've been exposed or infected. They work in construction so he's been wearing n95s and gloves along with practicing social distancing outdoors. He never came within 6ft of his boss. His boss had been showing symptoms for an entire week before getting tested and coming up positive and obviously my boyfriend told everyone who he's come in contact with (just close family) what's going on with work. But when he told his mom she screamed at him and told him not to come home. This woman has been going out even during quarantine with no mask, doesn't practice social distancing, passes her kid around all week so she can go out and not have to be responsible for him, and even laughed at us when we explained flattening the curve to her, but NOW she's worried about it bc her own son could have it??? We all live together so if he was exposed to it a week ago was she not also exposed a week ago already?? She doesn't even want him coming back to get his belongings so he can stay in a hotel for a week until his 2 week incubation period passes or until his test results come back (whichever comes first). I'm just so angry at her for being such a bitch to him. I just posted this to vent and maybe get some reassurance that this will all just clear up by next week 😪</t>
        </is>
      </c>
      <c r="D1582" t="n">
        <v>1</v>
      </c>
      <c r="E1582" t="n">
        <v>9</v>
      </c>
      <c r="F1582">
        <f>HYPERLINK("https://www.reddit.com/r/COVID19positive/comments/gvevc4/my_21_year_old_boyfriend_was_exposed_to_covid_and/")</f>
        <v/>
      </c>
      <c r="G1582" t="inlineStr">
        <is>
          <t>2020-06-02 13:15:55</t>
        </is>
      </c>
      <c r="H1582" t="inlineStr">
        <is>
          <t>Tested Positive</t>
        </is>
      </c>
    </row>
    <row r="1583">
      <c r="A1583" t="inlineStr">
        <is>
          <t>gvf2rq</t>
        </is>
      </c>
      <c r="B1583" t="inlineStr">
        <is>
          <t>Overwhelming anxiety after “recovering.”</t>
        </is>
      </c>
      <c r="C1583" t="inlineStr">
        <is>
          <t>26/F/54 days since 1st symptoms. It’s been almost two months since I first started experiencing Covid-19 symptoms. I have never been presumed positive as at the time I was sick, the symptoms I had were not declared as official symptoms. I had mild/moderate symptoms and was so terrified during the duration of those 8-9 days, it was crippling. Now that I’m feeling better, my anxiety is just as awful as I’ve read articles of individuals with mild symptoms being recovered or asymtomatic and recovered and experiencing strokes after 2 months. 
My anxiety is crippling me. I am so freaked out and worried that something like this can happen to me, my boyfriend who did not develop symptoms at all, or my father who also got it. I can’t sleep, I can’t eat, I don’t know what to do. The data isn’t much because two months ago was right when it incline happened, so who knows what could happen a month from now. I’m terrified and I don’t know what to do/expect. I have no more covid symptoms aside from chest tightness that I’ve been attributing to anxiety and my costochondritis. I also have allergy symptoms some days, and all I can think about is being reinfected or the virus being reactivated. Anyone else going through something similar?</t>
        </is>
      </c>
      <c r="D1583" t="n">
        <v>1</v>
      </c>
      <c r="E1583" t="n">
        <v>13</v>
      </c>
      <c r="F1583">
        <f>HYPERLINK("https://www.reddit.com/r/COVID19positive/comments/gvf2rq/overwhelming_anxiety_after_recovering/")</f>
        <v/>
      </c>
      <c r="G1583" t="inlineStr">
        <is>
          <t>2020-06-02 13:26:37</t>
        </is>
      </c>
      <c r="H1583" t="inlineStr">
        <is>
          <t>Presumed Positive - From Doctor</t>
        </is>
      </c>
    </row>
    <row r="1584">
      <c r="A1584" t="inlineStr">
        <is>
          <t>gvg8oi</t>
        </is>
      </c>
      <c r="B1584" t="inlineStr">
        <is>
          <t>Does the fatigue get better?</t>
        </is>
      </c>
      <c r="C1584" t="inlineStr">
        <is>
          <t>Happy to have found this sub. This virus has been a mental FU*K. I tested positive on 5/21 with mild fevers, aches, dry cough. My fever broke over a week ago but since then I have continued to feel poorly. Mornings are pretty good but then I continually hit a wall at 4 pm any time I do anything. Overall just tired, strangely depressed, anxious about getting worse. I Just don’t feel like myself and reading through some of these posts worried these symptoms will linger for a long time...</t>
        </is>
      </c>
      <c r="D1584" t="n">
        <v>1</v>
      </c>
      <c r="E1584" t="n">
        <v>8</v>
      </c>
      <c r="F1584">
        <f>HYPERLINK("https://www.reddit.com/r/COVID19positive/comments/gvg8oi/does_the_fatigue_get_better/")</f>
        <v/>
      </c>
      <c r="G1584" t="inlineStr">
        <is>
          <t>2020-06-02 14:26:33</t>
        </is>
      </c>
      <c r="H1584" t="inlineStr">
        <is>
          <t>Tested Positive - Me</t>
        </is>
      </c>
    </row>
    <row r="1585">
      <c r="A1585" t="inlineStr">
        <is>
          <t>gvgbg6</t>
        </is>
      </c>
      <c r="B1585" t="inlineStr">
        <is>
          <t>Just for fun, what were some of your most random symptoms? (More in comments)</t>
        </is>
      </c>
      <c r="C1585" t="inlineStr">
        <is>
          <t>So, we all know that everyone has had their own smorgasbord of symptoms, but did anyone have any weird, random symptoms? 
My freakish symptoms included constant twitching right eyebrow, constantly twitching left side of tongue, and itchy underarms, with added bonus of curry infused body odour. Haven’t had a curry for about a year, and have been eating terribly bland food.</t>
        </is>
      </c>
      <c r="D1585" t="n">
        <v>1</v>
      </c>
      <c r="E1585" t="n">
        <v>20</v>
      </c>
      <c r="F1585">
        <f>HYPERLINK("https://www.reddit.com/r/COVID19positive/comments/gvgbg6/just_for_fun_what_were_some_of_your_most_random/")</f>
        <v/>
      </c>
      <c r="G1585" t="inlineStr">
        <is>
          <t>2020-06-02 14:30:33</t>
        </is>
      </c>
      <c r="H1585" t="inlineStr">
        <is>
          <t>Presumed Positive - From Doctor</t>
        </is>
      </c>
    </row>
    <row r="1586">
      <c r="A1586" t="inlineStr">
        <is>
          <t>gvgrvu</t>
        </is>
      </c>
      <c r="B1586" t="inlineStr">
        <is>
          <t>Follow up to my previous post</t>
        </is>
      </c>
      <c r="C1586" t="inlineStr">
        <is>
          <t>31M, diabetic, 5 8, 220, i started having symptoms on 5/23 with a runny nose, and tested positive on 5/27. Currently on day 10, 
Fever that I've had for the past week finally broke, I feel like Tylenol is finally keeping it in check. The thermometer read 99.2 last time I took it, down from  a loop of between 99.5 to 101.5 over the past week. 
However, today I started to feel the pain underneath my left breast get more painful, it is a dull pain but it still hurts. It went from randomly hitting me with a 2/10 pain scale to permanently hitting me with a 4/10 just about any time I take a breath. I have shortness of breath also and I got winded putting away groceries earlier, then recovered by laying on the couch. My resting Heart rate is 110-ish, and I haven't been able to buy an oximeter due to most stores being closed due to the riots. I do feel better than other days due to the fever being contained but I was wondering if I should go to the hospital? 
My current medications are 
Metformin 1000 2x a day 
Glimipiride 1x
Januvia 1x 
Tylenol 2x every 8 hours 
Benzonatate 3x a day 
2000 vitamin D a day
Is this chest pain normal or something I should get checked out? Thanks in advance</t>
        </is>
      </c>
      <c r="D1586" t="n">
        <v>1</v>
      </c>
      <c r="E1586" t="n">
        <v>7</v>
      </c>
      <c r="F1586">
        <f>HYPERLINK("https://www.reddit.com/r/COVID19positive/comments/gvgrvu/follow_up_to_my_previous_post/")</f>
        <v/>
      </c>
      <c r="G1586" t="inlineStr">
        <is>
          <t>2020-06-02 14:54:17</t>
        </is>
      </c>
      <c r="H1586" t="inlineStr">
        <is>
          <t>Tested Positive - Me</t>
        </is>
      </c>
    </row>
    <row r="1587">
      <c r="A1587" t="inlineStr">
        <is>
          <t>gvi74h</t>
        </is>
      </c>
      <c r="B1587" t="inlineStr">
        <is>
          <t>is dizziness and brain fog a symptom of post viral fatigue?</t>
        </is>
      </c>
      <c r="C1587" t="inlineStr">
        <is>
          <t>I never really feel tired just mostly dizzy and malaise nd im not as bad as I was getting better just wondering if this was a symptom</t>
        </is>
      </c>
      <c r="D1587" t="n">
        <v>1</v>
      </c>
      <c r="E1587" t="n">
        <v>9</v>
      </c>
      <c r="F1587">
        <f>HYPERLINK("https://www.reddit.com/r/COVID19positive/comments/gvi74h/is_dizziness_and_brain_fog_a_symptom_of_post/")</f>
        <v/>
      </c>
      <c r="G1587" t="inlineStr">
        <is>
          <t>2020-06-02 16:11:10</t>
        </is>
      </c>
      <c r="H1587" t="inlineStr">
        <is>
          <t>Tested Positive - Me</t>
        </is>
      </c>
    </row>
    <row r="1588">
      <c r="A1588" t="inlineStr">
        <is>
          <t>gvi8xd</t>
        </is>
      </c>
      <c r="B1588" t="inlineStr">
        <is>
          <t>Long Termers : I was presumed coronavirus positive in March - Keep having relapses - Just found out my antibody test is negative...?</t>
        </is>
      </c>
      <c r="C1588" t="inlineStr">
        <is>
          <t>I don't know what to say.  I've been very sick from coronavirus and my symptoms match so many other people who have been experiencing inflamation, vein, &amp;amp; heart issues.  If I push myself even the tiniest bit, I have a relapse for a week or more.  However my antibody test just came back negative.  WTH?
Is this why I keep relapsing because my body is not successful creating antibodies to fight this off or it hasn't been long enough at over 2 months or is the test unreliable?
SARS-CoV-2 AB IGG  Negative</t>
        </is>
      </c>
      <c r="D1588" t="n">
        <v>1</v>
      </c>
      <c r="E1588" t="n">
        <v>45</v>
      </c>
      <c r="F1588">
        <f>HYPERLINK("https://www.reddit.com/r/COVID19positive/comments/gvi8xd/long_termers_i_was_presumed_coronavirus_positive/")</f>
        <v/>
      </c>
      <c r="G1588" t="inlineStr">
        <is>
          <t>2020-06-02 16:14:02</t>
        </is>
      </c>
      <c r="H1588" t="inlineStr">
        <is>
          <t>Presumed Positive - From Doctor</t>
        </is>
      </c>
    </row>
    <row r="1589">
      <c r="A1589" t="inlineStr">
        <is>
          <t>gvice8</t>
        </is>
      </c>
      <c r="B1589" t="inlineStr">
        <is>
          <t>Did anyone have skin issues? What were they? (Slightly gross: trigger warning)</t>
        </is>
      </c>
      <c r="C1589" t="inlineStr">
        <is>
          <t>I have had the mildest psoriasis in the past (large, red flaky patches), usually in response to humidity. I have other autoimmune issues--celiac and a mild form of either psoriatic arthritis or ankylosing spondylitis--so it's not surprising.
However, now, I definitely have psoriasis in several places, and it's the worst outbreak I've ever had.  One knee, the back of one calf, and my lower back. 
Anyone else have a nasty exacerbation of existing skin issues, particularly autoimmune ones, during the virus, and after it? Does that go away?</t>
        </is>
      </c>
      <c r="D1589" t="n">
        <v>1</v>
      </c>
      <c r="E1589" t="n">
        <v>5</v>
      </c>
      <c r="F1589">
        <f>HYPERLINK("https://www.reddit.com/r/COVID19positive/comments/gvice8/did_anyone_have_skin_issues_what_were_they/")</f>
        <v/>
      </c>
      <c r="G1589" t="inlineStr">
        <is>
          <t>2020-06-02 16:19:53</t>
        </is>
      </c>
      <c r="H1589" t="inlineStr">
        <is>
          <t>Presumed Positive - From Doctor</t>
        </is>
      </c>
    </row>
    <row r="1590">
      <c r="A1590" t="inlineStr">
        <is>
          <t>gvjgc0</t>
        </is>
      </c>
      <c r="B1590" t="inlineStr">
        <is>
          <t>Roller coaster ride of symptoms. Developed health anxiety.</t>
        </is>
      </c>
      <c r="C1590" t="inlineStr">
        <is>
          <t>31 M CT. I apologize for the lack of organization in this walk of text. Anyways, first let me preface this by noting that I’m a pharmacy technician for a retail pharmacy who works around the general public (especially sick individuals) and I have a history of asthma, GERD, and IBS. Back in March my pulmonologist had ordered a CT scan of my chest to follow up with something unrelated that had been seen previously. It was noted that there were ground glass opacities in my lungs and out of caution he ordered a covid test which came back negative. I was asymptomatic at the time. Toward the end of April I had an antibody test which was also negative. In the beginning of May I began having some worsening asthma symptoms and shortness of breath. Assuming it was just my asthma acting up with seasonal allergies, I went to urgent care for a breathing treatment. Instead they tested me again for covid. That test also came back as negative a few days later. About a week later I came down with mild flu like symptoms on the evening of May 15th (mild fever, chills, sweating, significant fatigue, loss of appetite, etc). By the 17th I was feeling worse and went to urgent care and was covid tested again. My heart rate had also been up. Test came back negative on the 20th. The doctor who had been following on up the cases in my city wasn’t convinced with the accuracy of the testing and since I had been quarantining anyways and decided to order another covid test and a chest X-ray on May 22nd. Chest X-ray was clear, but covid test came back positive on May 26th. By this time I had been largely symptom free besides the fatigue. I hadn’t had any flu like symptoms since the 17th. I was told symptoms could wax and wane at the tail end of the illness. I thought with all the horror stories going around in the media that I got lucky and I was largely in the clear. The fatigue had largely lifted and I didn’t feel like I had to stay in bed and sleep all day. Then this past week I developed significant abdominal pain out of nowhere that feels like a balloon is inflating in my stomach. This accompanies chest pain, back pain, flank pain, and worsening shortness of breath. My sp02 has been within the normal range (95ish). My symptoms (particularly shortness of breath my inhaler couldn’t help) were so bad that I went up the ER three times within the past few days. Had a chest xray, chest ct scan, repeat bloodwork, and abdominal ultrasound, all of which suggested nothing significant (no clots, pneumonia, etc). I’ve also had periods of cramping pains in my fingers, toes, and various joints of my body. Has anyone else experienced a similar course of symptoms and recovered? If so, any advice on what sped up your recovery? I’ve been out of work for nearly 28 days now on repeated quarantines and just want to get back to a relatively normal scheme of things. My doctor gave me a zpak to prevent a secondary bacterial infection with my asthma (which tends to happen to me following a viral illness), and I’ve been hydrating well (pedialyte rocks!) and taking antiinflammatories for the pain.</t>
        </is>
      </c>
      <c r="D1590" t="n">
        <v>1</v>
      </c>
      <c r="E1590" t="n">
        <v>24</v>
      </c>
      <c r="F1590">
        <f>HYPERLINK("https://www.reddit.com/r/COVID19positive/comments/gvjgc0/roller_coaster_ride_of_symptoms_developed_health/")</f>
        <v/>
      </c>
      <c r="G1590" t="inlineStr">
        <is>
          <t>2020-06-02 17:26:37</t>
        </is>
      </c>
      <c r="H1590" t="inlineStr">
        <is>
          <t>Tested Positive - Me</t>
        </is>
      </c>
    </row>
    <row r="1591">
      <c r="A1591" t="inlineStr">
        <is>
          <t>gvmje1</t>
        </is>
      </c>
      <c r="B1591" t="inlineStr">
        <is>
          <t>Mom tested positive today</t>
        </is>
      </c>
      <c r="C1591" t="inlineStr">
        <is>
          <t>My mother tested positive today. She is in San Diego and has been really sick for two days. They did a rapid test which stated she was positive and we are waiting on the results of the second test to confirm. They did an X-ray of her lungs and her right lung is filled with fluid. It is very difficult to understand her, but I was able to catch that she is very cold, her back hurts and every time she breathes it feels like glass. She also has a fever. 
I will updated when I’m able.</t>
        </is>
      </c>
      <c r="D1591" t="n">
        <v>1</v>
      </c>
      <c r="E1591" t="n">
        <v>41</v>
      </c>
      <c r="F1591">
        <f>HYPERLINK("https://www.reddit.com/r/COVID19positive/comments/gvmje1/mom_tested_positive_today/")</f>
        <v/>
      </c>
      <c r="G1591" t="inlineStr">
        <is>
          <t>2020-06-02 20:55:39</t>
        </is>
      </c>
      <c r="H1591" t="inlineStr">
        <is>
          <t>Tested Positive - Family</t>
        </is>
      </c>
    </row>
    <row r="1592">
      <c r="A1592" t="inlineStr">
        <is>
          <t>gvp4ul</t>
        </is>
      </c>
      <c r="B1592" t="inlineStr">
        <is>
          <t>Loss of smell/taste</t>
        </is>
      </c>
      <c r="C1592" t="inlineStr">
        <is>
          <t>Does anyone else have loss of smell and/or taste? Mine started a week into showing my first symptoms. I still haven’t got either back. I’ve heard there are people with long term loss. I’m really hoping that’s not the case with mine.</t>
        </is>
      </c>
      <c r="D1592" t="n">
        <v>1</v>
      </c>
      <c r="E1592" t="n">
        <v>5</v>
      </c>
      <c r="F1592">
        <f>HYPERLINK("https://www.reddit.com/r/COVID19positive/comments/gvp4ul/loss_of_smelltaste/")</f>
        <v/>
      </c>
      <c r="G1592" t="inlineStr">
        <is>
          <t>2020-06-03 00:14:29</t>
        </is>
      </c>
      <c r="H1592" t="inlineStr">
        <is>
          <t>Tested Positive - Me</t>
        </is>
      </c>
    </row>
    <row r="1593">
      <c r="A1593" t="inlineStr">
        <is>
          <t>gvpgbq</t>
        </is>
      </c>
      <c r="B1593" t="inlineStr">
        <is>
          <t>Anyone with lingering nighttime nausea and dizziness post COVID?</t>
        </is>
      </c>
      <c r="C1593" t="inlineStr">
        <is>
          <t>I had an acute 3 weeks of moderate case of COVID : two weeks of respiratory symptoms ( pressure, tightness, shortness of breast, chest pains of different intensities and severities) followed by one week of mostly extreme fatigue and some dizziness. Now I am in week 5 and find myself waking up at nights with nausea and dizziness. last night was the worst, I also had tinnitus and the nausea lingered to mid day. My chest symptoms otherwise are gone . Don't know if I should attribute this COVID?  or should i go and have my ears checked? any one else going through this</t>
        </is>
      </c>
      <c r="D1593" t="n">
        <v>1</v>
      </c>
      <c r="E1593" t="n">
        <v>2</v>
      </c>
      <c r="F1593">
        <f>HYPERLINK("https://www.reddit.com/r/COVID19positive/comments/gvpgbq/anyone_with_lingering_nighttime_nausea_and/")</f>
        <v/>
      </c>
      <c r="G1593" t="inlineStr">
        <is>
          <t>2020-06-03 00:40:44</t>
        </is>
      </c>
      <c r="H1593" t="inlineStr">
        <is>
          <t>Tested Positive</t>
        </is>
      </c>
    </row>
    <row r="1594">
      <c r="A1594" t="inlineStr">
        <is>
          <t>gvpkk1</t>
        </is>
      </c>
      <c r="B1594" t="inlineStr">
        <is>
          <t>Relative Tested positive</t>
        </is>
      </c>
      <c r="C1594" t="inlineStr">
        <is>
          <t>One of my close relatives was tested positive yesterday. However3 days ago he was at our place for the whole day and reported fever and cough. Despite being tested positive he says that he is fine and has isolated himself in a room at his house. However, now I'm worried about my family. Since today morning I've been feeling tired but not sure is it because I'm positive too or because I didn't eat properly yesterday. Also, my body feels a bit warm and the water felt colder while I bath. Not sure if it is because of weakness. Please post relevant advice and links in the comment section.</t>
        </is>
      </c>
      <c r="D1594" t="n">
        <v>1</v>
      </c>
      <c r="E1594" t="n">
        <v>3</v>
      </c>
      <c r="F1594">
        <f>HYPERLINK("https://www.reddit.com/r/COVID19positive/comments/gvpkk1/relative_tested_positive/")</f>
        <v/>
      </c>
      <c r="G1594" t="inlineStr">
        <is>
          <t>2020-06-03 00:50:49</t>
        </is>
      </c>
      <c r="H1594" t="inlineStr">
        <is>
          <t>Tested Positive</t>
        </is>
      </c>
    </row>
    <row r="1595">
      <c r="A1595" t="inlineStr">
        <is>
          <t>gvto2y</t>
        </is>
      </c>
      <c r="B1595" t="inlineStr">
        <is>
          <t>COVID 19 after affects</t>
        </is>
      </c>
      <c r="C1595" t="inlineStr">
        <is>
          <t>I first had symptoms 2 months ago and had 2 weeks off work... I went back to work when my breathing was still very off but otherwise felt okay, I worked 3 weeks straight with only one night off which probably
Wasn’t a very good idea!
Has anyone been feeling similar ? I’ve had all sorts of symptoms since ranging from body aches, mild stiffness, tingling, burning sensation, itchy skin, hot flushes to feet &amp;amp; sometimes feeling cold, waking up and arms feeling a bit odd, restless leg syndrome, feeling weak but not actually being weak, losing weight, sharp pains in legs and arms &amp;amp; mild twitching all over body.
I’m a 22 male and suppose to be quite fit and healthy, these symptoms all come and go and I can still do everything without any struggle.
I had an anti body test come back as positive yesterday</t>
        </is>
      </c>
      <c r="D1595" t="n">
        <v>1</v>
      </c>
      <c r="E1595" t="n">
        <v>7</v>
      </c>
      <c r="F1595">
        <f>HYPERLINK("https://www.reddit.com/r/COVID19positive/comments/gvto2y/covid_19_after_affects/")</f>
        <v/>
      </c>
      <c r="G1595" t="inlineStr">
        <is>
          <t>2020-06-03 06:10:58</t>
        </is>
      </c>
      <c r="H1595" t="inlineStr">
        <is>
          <t>Tested Positive</t>
        </is>
      </c>
    </row>
    <row r="1596">
      <c r="A1596" t="inlineStr">
        <is>
          <t>gvub2s</t>
        </is>
      </c>
      <c r="B1596" t="inlineStr">
        <is>
          <t>Do I keep bothering my doctor for a neurologist referral or not?</t>
        </is>
      </c>
      <c r="C1596" t="inlineStr">
        <is>
          <t>Day 76... I'm beginning to sound like someone stuck on a life raft...
Anyhoo, it's been a while since my suspected Covid-19 infection somewhere in the middle of March. Since then I've been getting increasingly worrying neurological symptoms which don't seem to want to abate any time soon. My left arm doesn't seem to be communicating with my brain properly, I get pins and needles in my hands, face, soles of my feet, lips, tongue and nose. I get sharp stabbing pains just about everywhere and I regularly get a buzzing sensation in the middle of my chest and tinnitus in my ears, which, without fail, means something else will start up again (my throat may feel like it's closing up, or maybe my bottom lip goes numb, or I get a stab in my ankle, it's a crapshoot).
I had an appointment with a doctor last week who said "it's anxiety". I've had anxiety since I was 5. I know anxiety. This isn't it. I told him. He said "it's anxiety". He did some tests to see if I'd had a stroke but since I was in between attacks everything was fine (isn't that always the way?). So he sent me on my merry way with a leaflet about anxiety and told me to call back if I wanted anti-anxiety meds.
Now what do I do? The doctor is sick of me because I've been sick for so long. IF I manage to get a referral to a neurologist (something I literally mentioned during the appointment) it might take weeks or month since it's the NHS. I can't afford a private one since I spent my last spondoolies on a cardiologist (since my heart was also misbehaving).
Do I wait it out? I don't want to wake up one day without a working arm. Or lungs. And if I decide to call again, what on earth am I going to say to convince him? "I found this on the Internet" doesn't really work on doctors.</t>
        </is>
      </c>
      <c r="D1596" t="n">
        <v>6</v>
      </c>
      <c r="E1596" t="n">
        <v>40</v>
      </c>
      <c r="F1596">
        <f>HYPERLINK("https://www.reddit.com/r/COVID19positive/comments/gvub2s/do_i_keep_bothering_my_doctor_for_a_neurologist/")</f>
        <v/>
      </c>
      <c r="G1596" t="inlineStr">
        <is>
          <t>2020-06-03 06:51:34</t>
        </is>
      </c>
      <c r="H1596" t="inlineStr">
        <is>
          <t>Presumed Positive - From Doctor</t>
        </is>
      </c>
    </row>
    <row r="1597">
      <c r="A1597" t="inlineStr">
        <is>
          <t>gvv9wb</t>
        </is>
      </c>
      <c r="B1597" t="inlineStr">
        <is>
          <t>Barely had symptoms, have been cleared to go outside since the 28th, now my lymph node hurts again</t>
        </is>
      </c>
      <c r="C1597" t="inlineStr">
        <is>
          <t>I barely had any symptoms of COVID19. I tested positive on May 17th and had some mild aches and coughing. I had a painful lymph node on the left side of my neck under my chin but that went away quickly. I have felt 100% normal for a week now and was cleared by my city's Dept of Public Health to go back outside on May 28th. 
Now my lymph node in my neck hurts again. I have no other symptoms. Wtf 
I have never had this lymph node hurt for any reason before COVID19 :(</t>
        </is>
      </c>
      <c r="D1597" t="n">
        <v>1</v>
      </c>
      <c r="E1597" t="n">
        <v>10</v>
      </c>
      <c r="F1597">
        <f>HYPERLINK("https://www.reddit.com/r/COVID19positive/comments/gvv9wb/barely_had_symptoms_have_been_cleared_to_go/")</f>
        <v/>
      </c>
      <c r="G1597" t="inlineStr">
        <is>
          <t>2020-06-03 07:47:28</t>
        </is>
      </c>
      <c r="H1597" t="inlineStr">
        <is>
          <t>Tested Positive - Me</t>
        </is>
      </c>
    </row>
    <row r="1598">
      <c r="A1598" t="inlineStr">
        <is>
          <t>gvxupe</t>
        </is>
      </c>
      <c r="B1598" t="inlineStr">
        <is>
          <t>Long tail sufferers , how many have found IgG antibodies?</t>
        </is>
      </c>
      <c r="C1598" t="inlineStr">
        <is>
          <t>I am suffering long tail but did not show IgG antibodies?</t>
        </is>
      </c>
      <c r="D1598" t="n">
        <v>4</v>
      </c>
      <c r="E1598" t="n">
        <v>98</v>
      </c>
      <c r="F1598">
        <f>HYPERLINK("https://www.reddit.com/r/COVID19positive/comments/gvxupe/long_tail_sufferers_how_many_have_found_igg/")</f>
        <v/>
      </c>
      <c r="G1598" t="inlineStr">
        <is>
          <t>2020-06-03 10:06:19</t>
        </is>
      </c>
      <c r="H1598" t="inlineStr">
        <is>
          <t>Presumed Positive - From Doctor</t>
        </is>
      </c>
    </row>
    <row r="1599">
      <c r="A1599" t="inlineStr">
        <is>
          <t>gvyd97</t>
        </is>
      </c>
      <c r="B1599" t="inlineStr">
        <is>
          <t>COVID +, mild disease- if I am not immune, and get this again, could I expect same level of disease symptoms?</t>
        </is>
      </c>
      <c r="C1599" t="inlineStr">
        <is>
          <t>Is there any research of anyone getting reinfected?  If I have no antibodies and get this again, I am curious if I will always respond the same way.  As in, not be hospitalized in the future if I am not hospitalized currently.</t>
        </is>
      </c>
      <c r="D1599" t="n">
        <v>2</v>
      </c>
      <c r="E1599" t="n">
        <v>7</v>
      </c>
      <c r="F1599">
        <f>HYPERLINK("https://www.reddit.com/r/COVID19positive/comments/gvyd97/covid_mild_disease_if_i_am_not_immune_and_get/")</f>
        <v/>
      </c>
      <c r="G1599" t="inlineStr">
        <is>
          <t>2020-06-03 10:33:17</t>
        </is>
      </c>
      <c r="H1599" t="inlineStr">
        <is>
          <t>Tested Positive - Me</t>
        </is>
      </c>
    </row>
    <row r="1600">
      <c r="A1600" t="inlineStr">
        <is>
          <t>gvyzr9</t>
        </is>
      </c>
      <c r="B1600" t="inlineStr">
        <is>
          <t>just been diagnosed, feeling absolutely terrified. should i just calm down?</t>
        </is>
      </c>
      <c r="C1600" t="inlineStr">
        <is>
          <t>i'm only 22, so i have my age going for me, but i'm overweight (probably obese, i'm not entirely sure. BMI charts don't seem to have any consistency really).
my symptoms so far are headaches, dizziness, fatigue and muscle pain with no breathing issues - i also can't really sleep. i'm really trying to just act like it's no big deal but i'm so, so terrified. i have anxiety so i'm really hoping that i'm just exaggerating the risk to myself in my head but i have no idea if i have any conditions like high blood pressure or anything like that.
it seems like everywhere i look is just death rates, death rates, death rates. i can't find anything for people who have actually been diagnosed and want to know how much danger they are in and that's scaring me even more.</t>
        </is>
      </c>
      <c r="D1600" t="n">
        <v>1</v>
      </c>
      <c r="E1600" t="n">
        <v>57</v>
      </c>
      <c r="F1600">
        <f>HYPERLINK("https://www.reddit.com/r/COVID19positive/comments/gvyzr9/just_been_diagnosed_feeling_absolutely_terrified/")</f>
        <v/>
      </c>
      <c r="G1600" t="inlineStr">
        <is>
          <t>2020-06-03 11:05:11</t>
        </is>
      </c>
      <c r="H1600" t="inlineStr">
        <is>
          <t>Tested Positive - Me</t>
        </is>
      </c>
    </row>
    <row r="1601">
      <c r="A1601" t="inlineStr">
        <is>
          <t>gvz613</t>
        </is>
      </c>
      <c r="B1601" t="inlineStr">
        <is>
          <t>am I going crazy?</t>
        </is>
      </c>
      <c r="C1601" t="inlineStr">
        <is>
          <t>I lost my sense of smell about 1 week ago. I have no other symptoms as of right now. however, I will just be sitting or lying in bed doing nothing and I swear I can smell things like I get whiffs of random smells but when I go to smell something obvious like coffee or cinnamon I can’t smell it. is this my brain playing games on me or am I actually smelling these things?</t>
        </is>
      </c>
      <c r="D1601" t="n">
        <v>1</v>
      </c>
      <c r="E1601" t="n">
        <v>9</v>
      </c>
      <c r="F1601">
        <f>HYPERLINK("https://www.reddit.com/r/COVID19positive/comments/gvz613/am_i_going_crazy/")</f>
        <v/>
      </c>
      <c r="G1601" t="inlineStr">
        <is>
          <t>2020-06-03 11:13:14</t>
        </is>
      </c>
      <c r="H1601" t="inlineStr">
        <is>
          <t>Tested Positive - Me</t>
        </is>
      </c>
    </row>
    <row r="1602">
      <c r="A1602" t="inlineStr">
        <is>
          <t>gvzj49</t>
        </is>
      </c>
      <c r="B1602" t="inlineStr">
        <is>
          <t>Bruising</t>
        </is>
      </c>
      <c r="C1602" t="inlineStr">
        <is>
          <t>Does anyone find they are bruising really easily even months after??</t>
        </is>
      </c>
      <c r="D1602" t="n">
        <v>2</v>
      </c>
      <c r="E1602" t="n">
        <v>6</v>
      </c>
      <c r="F1602">
        <f>HYPERLINK("https://www.reddit.com/r/COVID19positive/comments/gvzj49/bruising/")</f>
        <v/>
      </c>
      <c r="G1602" t="inlineStr">
        <is>
          <t>2020-06-03 11:29:52</t>
        </is>
      </c>
      <c r="H1602" t="inlineStr">
        <is>
          <t>Presumed Positive - From Doctor</t>
        </is>
      </c>
    </row>
    <row r="1603">
      <c r="A1603" t="inlineStr">
        <is>
          <t>gvzp9a</t>
        </is>
      </c>
      <c r="B1603" t="inlineStr">
        <is>
          <t>Lingering odd headaches still 3 months later with ear pressure, pain and burning nose?</t>
        </is>
      </c>
      <c r="C1603" t="inlineStr">
        <is>
          <t>Hi all,
Any of you have lingering headaches three months into the post-viral stage? The top of head feels tender and painful which extends to the right part of head reaching to right ear, nose and teeth? Pressure and stiffness at the back of ur head which spreads to the neck? It is really annoying and what did you do about it? Any medications that relieve the pain?</t>
        </is>
      </c>
      <c r="D1603" t="n">
        <v>1</v>
      </c>
      <c r="E1603" t="n">
        <v>36</v>
      </c>
      <c r="F1603">
        <f>HYPERLINK("https://www.reddit.com/r/COVID19positive/comments/gvzp9a/lingering_odd_headaches_still_3_months_later_with/")</f>
        <v/>
      </c>
      <c r="G1603" t="inlineStr">
        <is>
          <t>2020-06-03 11:37:56</t>
        </is>
      </c>
      <c r="H1603" t="inlineStr">
        <is>
          <t>Presumed Positive - From Test</t>
        </is>
      </c>
    </row>
    <row r="1604">
      <c r="A1604" t="inlineStr">
        <is>
          <t>gw1qpz</t>
        </is>
      </c>
      <c r="B1604" t="inlineStr">
        <is>
          <t>Can two positive cases quarantine together ?</t>
        </is>
      </c>
      <c r="C1604" t="inlineStr">
        <is>
          <t>Hi! So to sum it up I (f, 27) tested positive and a about a week and a half later my boyfriend (28) tested positive. This entire time we have been living as we normally do, not really distancing since we both got it already and there is no one else in the house. The only time we really kept apart was for 3 days starting when he began to have symptoms of a fever just because I had this idea that it could increase my viral load but I don't know if it's a thing or not. Anyways, I guess the question is can it take longer to recover from the virus if two sick people are continuously with each other ? It's been 3 weeks since I tested positive and 1.5 weeks that he got his results.</t>
        </is>
      </c>
      <c r="D1604" t="n">
        <v>1</v>
      </c>
      <c r="E1604" t="n">
        <v>4</v>
      </c>
      <c r="F1604">
        <f>HYPERLINK("https://www.reddit.com/r/COVID19positive/comments/gw1qpz/can_two_positive_cases_quarantine_together/")</f>
        <v/>
      </c>
      <c r="G1604" t="inlineStr">
        <is>
          <t>2020-06-03 13:18:48</t>
        </is>
      </c>
      <c r="H1604" t="inlineStr">
        <is>
          <t>Tested Positive - Me</t>
        </is>
      </c>
    </row>
    <row r="1605">
      <c r="A1605" t="inlineStr">
        <is>
          <t>gw1thw</t>
        </is>
      </c>
      <c r="B1605" t="inlineStr">
        <is>
          <t>Long tail inflammation stage what medicine?</t>
        </is>
      </c>
      <c r="C1605" t="inlineStr">
        <is>
          <t>37m, 6ft, 205lbs, usa-va, no preconditions, I am at about 11 weeks or so in.  I came down with this in mid-march.  I have felt like my whole body has been inflamed.  I just received some blood test results back. My tsh (thyroid) test is coming back in line.. in mid April it was at about 9 then in early may it at about 7 and now it is at about 5.25.  I believe it needs to be below 4 to be in the normal range.  The main test result that concerns me is sedimentation.  This came in at 22.  The normal range for a male is between 0 and 15.  This test is to measure inflammation. I really don't know the specifics.  My c reactive came in at .2 and my cpk came in at 108 all within normal range.  I think that this illness is causing some type of vasculitis which impacts various organs.  I still have covid hands and toes.  They burn and are red and splotchy.  My GI is wonky (loud and soft) and occassionally my kidneys hurt and I get random chest pains.  Luckily, I had very minor pneumonia per the chest x ray.  I never had a cough just shortness of breath. Sp02 stayed at 94 and above. It has been a wild ride and while I am not in extraordinary pain I am uncomfortable especially at night. My diet is good and I don't eat a bunch of shit food.  I do miss the occasional french fry. 
Does anyone know what medicines are being used to treat this post inflammation stage? I have read steroids and immunosuppressants but I have not found a specific protocol.  I understand that diet plays a factor.. I am taking 500mg of tumeric and 1250mg of omega 3 fish oil. Also I am on prebiotics and probiotics, 1450mg of liposomal vitamin c, d3, b12, and 50mg zinc sulfate.</t>
        </is>
      </c>
      <c r="D1605" t="n">
        <v>1</v>
      </c>
      <c r="E1605" t="n">
        <v>6</v>
      </c>
      <c r="F1605">
        <f>HYPERLINK("https://www.reddit.com/r/COVID19positive/comments/gw1thw/long_tail_inflammation_stage_what_medicine/")</f>
        <v/>
      </c>
      <c r="G1605" t="inlineStr">
        <is>
          <t>2020-06-03 13:22:55</t>
        </is>
      </c>
      <c r="H1605" t="inlineStr">
        <is>
          <t>Presumed Positive - From Doctor</t>
        </is>
      </c>
    </row>
    <row r="1606">
      <c r="A1606" t="inlineStr">
        <is>
          <t>gw1ypc</t>
        </is>
      </c>
      <c r="B1606" t="inlineStr">
        <is>
          <t>Is coughing up bits of phlegm post viral?</t>
        </is>
      </c>
      <c r="C1606" t="inlineStr">
        <is>
          <t>For 3 months!
It seems to be reducing but it’s hard for me not to think that this is post viral and not ongoing covid. 
How long does this thing really last? 
4-6 months?
1 year? 
Wish I had real answers with so little information</t>
        </is>
      </c>
      <c r="D1606" t="n">
        <v>1</v>
      </c>
      <c r="E1606" t="n">
        <v>9</v>
      </c>
      <c r="F1606">
        <f>HYPERLINK("https://www.reddit.com/r/COVID19positive/comments/gw1ypc/is_coughing_up_bits_of_phlegm_post_viral/")</f>
        <v/>
      </c>
      <c r="G1606" t="inlineStr">
        <is>
          <t>2020-06-03 13:30:34</t>
        </is>
      </c>
      <c r="H1606" t="inlineStr">
        <is>
          <t>Presumed Positive - From Doctor</t>
        </is>
      </c>
    </row>
    <row r="1607">
      <c r="A1607" t="inlineStr">
        <is>
          <t>gw1zp2</t>
        </is>
      </c>
      <c r="B1607" t="inlineStr">
        <is>
          <t>Big respect to hospital cleaner I met last week</t>
        </is>
      </c>
      <c r="C1607" t="inlineStr">
        <is>
          <t>So I was in week 11 of the long tail and got admitted to hospital. Broomfield , Essex UK
I spent two nights in with arrhythmia. 
Met this cleaner, he was an African American living with wife in the UK age 50ish. While he was cleaning my room we got talking, he had been laid off in April from his job in a distribution depot and applied for this hospital cleaning job. 
Being  black he knew the risks he was taking as at the time the pattern of high mortality in his community was already emerging. 
He said his wife was not happy but he said to her “ ok let’s say x is the risk of catching this virus and then x is the risk I die from it” putting the two together he made the call that his chances of dying were slim.
Ok I thought now that’s a calculation not many people have to make.
He then went onto say he actually caught it! He had the classic 7-14 days of symptoms and returned to work on day 14.
Now he really was COVID positive!</t>
        </is>
      </c>
      <c r="D1607" t="n">
        <v>1</v>
      </c>
      <c r="E1607" t="n">
        <v>18</v>
      </c>
      <c r="F1607">
        <f>HYPERLINK("https://www.reddit.com/r/COVID19positive/comments/gw1zp2/big_respect_to_hospital_cleaner_i_met_last_week/")</f>
        <v/>
      </c>
      <c r="G1607" t="inlineStr">
        <is>
          <t>2020-06-03 13:31:57</t>
        </is>
      </c>
      <c r="H1607" t="inlineStr">
        <is>
          <t>Presumed Positive - From Doctor</t>
        </is>
      </c>
    </row>
    <row r="1608">
      <c r="A1608" t="inlineStr">
        <is>
          <t>gw24rx</t>
        </is>
      </c>
      <c r="B1608" t="inlineStr">
        <is>
          <t>Is anyone suffering from vascular issues?</t>
        </is>
      </c>
      <c r="C1608" t="inlineStr">
        <is>
          <t>Hopefully this goes away</t>
        </is>
      </c>
      <c r="D1608" t="n">
        <v>1</v>
      </c>
      <c r="E1608" t="n">
        <v>7</v>
      </c>
      <c r="F1608">
        <f>HYPERLINK("https://www.reddit.com/r/COVID19positive/comments/gw24rx/is_anyone_suffering_from_vascular_issues/")</f>
        <v/>
      </c>
      <c r="G1608" t="inlineStr">
        <is>
          <t>2020-06-03 13:39:18</t>
        </is>
      </c>
      <c r="H1608" t="inlineStr">
        <is>
          <t>Presumed Positive - From Doctor</t>
        </is>
      </c>
    </row>
    <row r="1609">
      <c r="A1609" t="inlineStr">
        <is>
          <t>gw4bho</t>
        </is>
      </c>
      <c r="B1609" t="inlineStr">
        <is>
          <t>How many of you are not quarantining, despite ongoing symptoms months later?</t>
        </is>
      </c>
      <c r="C1609" t="inlineStr">
        <is>
          <t>I’m seeing posts of a lot of people who are testing positive after many weeks, with no lingering fevers, or other symptoms. I’m also seeing people saying they have relapses with sore throats, exhaustion, SOB, fevers, and have a negative test and/or no antibodies, or maybe antibodies, but never got tested, or tested positive, but are now negative, but symptomatic. 
Are we supposed to quarantine indefinitely until the relapses stop? People cannot possibly be contagious for months on end, can they?</t>
        </is>
      </c>
      <c r="D1609" t="n">
        <v>1</v>
      </c>
      <c r="E1609" t="n">
        <v>29</v>
      </c>
      <c r="F1609">
        <f>HYPERLINK("https://www.reddit.com/r/COVID19positive/comments/gw4bho/how_many_of_you_are_not_quarantining_despite/")</f>
        <v/>
      </c>
      <c r="G1609" t="inlineStr">
        <is>
          <t>2020-06-03 15:29:54</t>
        </is>
      </c>
      <c r="H1609" t="inlineStr">
        <is>
          <t>Presumed Positive - From Doctor</t>
        </is>
      </c>
    </row>
    <row r="1610">
      <c r="A1610" t="inlineStr">
        <is>
          <t>gw5bq5</t>
        </is>
      </c>
      <c r="B1610" t="inlineStr">
        <is>
          <t>Doctor (Neumologist) prescribed me daily brief walks on my backyard. Kinda worried with all the post saying not to do physical activity.</t>
        </is>
      </c>
      <c r="C1610" t="inlineStr">
        <is>
          <t>M37. Day 24. Tested Positive May 19, started symtpoms may 11. 
The only important remaining symptom is night sweats (still feel tired sometimes and little aches, occasional anxiety and other minimum symptoms but nothing else to worry about. 
I got diagnosed Pneumonia a few days back, the doctor thinks it's getting better (only had 1 CT SCan), so today he prescribed a few Meds and told me to take a walk every day for a few minutes. Didn't tell me how many minutes, but a little physical activity. I don't feel that bad anymore, but I've read people get worse after walking or jogging. What do you guys think? I did my first walk today, 15 minutes, felt like I jogged for at least 30-40 minutes... didn't get any bad symptoms but that was only a couple of minutes ago. Going to rest a while and take my MEDs. It's the most active I've gotten in a month.</t>
        </is>
      </c>
      <c r="D1610" t="n">
        <v>1</v>
      </c>
      <c r="E1610" t="n">
        <v>16</v>
      </c>
      <c r="F1610">
        <f>HYPERLINK("https://www.reddit.com/r/COVID19positive/comments/gw5bq5/doctor_neumologist_prescribed_me_daily_brief/")</f>
        <v/>
      </c>
      <c r="G1610" t="inlineStr">
        <is>
          <t>2020-06-03 16:24:11</t>
        </is>
      </c>
      <c r="H1610" t="inlineStr">
        <is>
          <t>Tested Positive - Me</t>
        </is>
      </c>
    </row>
    <row r="1611">
      <c r="A1611" t="inlineStr">
        <is>
          <t>gw5i9w</t>
        </is>
      </c>
      <c r="B1611" t="inlineStr">
        <is>
          <t>Mom tested positive:/</t>
        </is>
      </c>
      <c r="C1611" t="inlineStr">
        <is>
          <t>My mom tested positive but everyone in our house tested negative? We all tested the same day and have been really really close to each other days before?</t>
        </is>
      </c>
      <c r="D1611" t="n">
        <v>1</v>
      </c>
      <c r="E1611" t="n">
        <v>2</v>
      </c>
      <c r="F1611">
        <f>HYPERLINK("https://www.reddit.com/r/COVID19positive/comments/gw5i9w/mom_tested_positive/")</f>
        <v/>
      </c>
      <c r="G1611" t="inlineStr">
        <is>
          <t>2020-06-03 16:34:16</t>
        </is>
      </c>
      <c r="H1611" t="inlineStr">
        <is>
          <t>Tested Positive - Family</t>
        </is>
      </c>
    </row>
    <row r="1612">
      <c r="A1612" t="inlineStr">
        <is>
          <t>gw6z4p</t>
        </is>
      </c>
      <c r="B1612" t="inlineStr">
        <is>
          <t>Lab lost test results.</t>
        </is>
      </c>
      <c r="C1612" t="inlineStr">
        <is>
          <t>So I came into direct contact with someone 2 days before their confirmed diagnosis. Instead of going to a testing center, I called my doctor instead who recommended I take a test instead despite having no symptoms. I was told the results would be back in 2-5 days and to quarantine at least until the results come back. That was 2 and a half weeks ago. Everytime I called for the results they'd say some cop out like "there's been a delay", " we'll call you", etc. They still won't admit that they lost the results. 
But my question actually lies in the fact that I'm being charged for the test. As I said, since I went through a "private" practice the test is not free. My insurance did cover most but I still owe a bit. Is there anyway to argue against this since I never got the results and had to quarantine a full 2 weeks anyway?</t>
        </is>
      </c>
      <c r="D1612" t="n">
        <v>1</v>
      </c>
      <c r="E1612" t="n">
        <v>2</v>
      </c>
      <c r="F1612">
        <f>HYPERLINK("https://www.reddit.com/r/COVID19positive/comments/gw6z4p/lab_lost_test_results/")</f>
        <v/>
      </c>
      <c r="G1612" t="inlineStr">
        <is>
          <t>2020-06-03 18:01:33</t>
        </is>
      </c>
      <c r="H1612" t="inlineStr">
        <is>
          <t>Presumed Positive - From Doctor</t>
        </is>
      </c>
    </row>
    <row r="1613">
      <c r="A1613" t="inlineStr">
        <is>
          <t>gw7d4l</t>
        </is>
      </c>
      <c r="B1613" t="inlineStr">
        <is>
          <t>My mom tested positive but results took a week and we’ve been really really close to each other before and after the tests. She’s the only one who was positive.</t>
        </is>
      </c>
      <c r="C1613" t="inlineStr">
        <is>
          <t>Can I get tested again?</t>
        </is>
      </c>
      <c r="D1613" t="n">
        <v>1</v>
      </c>
      <c r="E1613" t="n">
        <v>7</v>
      </c>
      <c r="F1613">
        <f>HYPERLINK("https://www.reddit.com/r/COVID19positive/comments/gw7d4l/my_mom_tested_positive_but_results_took_a_week/")</f>
        <v/>
      </c>
      <c r="G1613" t="inlineStr">
        <is>
          <t>2020-06-03 18:25:23</t>
        </is>
      </c>
      <c r="H1613" t="inlineStr">
        <is>
          <t>Tested Positive - Family</t>
        </is>
      </c>
    </row>
    <row r="1614">
      <c r="A1614" t="inlineStr">
        <is>
          <t>gw7oje</t>
        </is>
      </c>
      <c r="B1614" t="inlineStr">
        <is>
          <t>Just tested positive</t>
        </is>
      </c>
      <c r="C1614" t="inlineStr">
        <is>
          <t>Had a test done on the weekend. No symptoms at all. Got a call this morning with a positive test result. By the afternoon today I had a low grade fever, a little tired but what I’m feeling the most is this terrible pain in my legs. Cramping almost? I did a leg workout a few days ago, but this seems much more than my typical soreness. Anyone else experience this? I’m worried.
Secondly, my wife just went out and got the test done. We are assuming she has it and our two little ones. We have been at home isolating since March and I’ve only gone out to get groceries a handful of times using all precautions available (mask, gloves, lysol wipes, etc).
I’m worried about what to do in terms of my little kids. I’m worried I’ve given them this virus and so worried about the next couple of weeks... should I simply isolate from my family at this time? Do we continue on (I put them to sleep, change diapers, etc...)? Doctor told me to continue on as usual, and more importantly stay home for the 14 days minimum. Any advice would be great.
Thanks!</t>
        </is>
      </c>
      <c r="D1614" t="n">
        <v>1</v>
      </c>
      <c r="E1614" t="n">
        <v>11</v>
      </c>
      <c r="F1614">
        <f>HYPERLINK("https://www.reddit.com/r/COVID19positive/comments/gw7oje/just_tested_positive/")</f>
        <v/>
      </c>
      <c r="G1614" t="inlineStr">
        <is>
          <t>2020-06-03 18:45:00</t>
        </is>
      </c>
      <c r="H1614" t="inlineStr">
        <is>
          <t>Tested Positive</t>
        </is>
      </c>
    </row>
    <row r="1615">
      <c r="A1615" t="inlineStr">
        <is>
          <t>gw7qmq</t>
        </is>
      </c>
      <c r="B1615" t="inlineStr">
        <is>
          <t>5 weeks of 0% smell - anybody else?</t>
        </is>
      </c>
      <c r="C1615" t="inlineStr">
        <is>
          <t>Tested positive first week of May. No smell symptom started days before that. I’m depressed and worried. Anyone else have absolutely NO ability to smell weeks out? 
Other symptoms : cough (4 weeks now), fatigue, headaches, SOB - all improved at this point.</t>
        </is>
      </c>
      <c r="D1615" t="n">
        <v>1</v>
      </c>
      <c r="E1615" t="n">
        <v>3</v>
      </c>
      <c r="F1615">
        <f>HYPERLINK("https://www.reddit.com/r/COVID19positive/comments/gw7qmq/5_weeks_of_0_smell_anybody_else/")</f>
        <v/>
      </c>
      <c r="G1615" t="inlineStr">
        <is>
          <t>2020-06-03 18:48:38</t>
        </is>
      </c>
      <c r="H1615" t="inlineStr">
        <is>
          <t>Tested Positive - Me</t>
        </is>
      </c>
    </row>
    <row r="1616">
      <c r="A1616" t="inlineStr">
        <is>
          <t>gw7rw4</t>
        </is>
      </c>
      <c r="B1616" t="inlineStr">
        <is>
          <t>Driving Lesson</t>
        </is>
      </c>
      <c r="C1616" t="inlineStr">
        <is>
          <t>My friends Mother just tested positive for COVID-19 that friend and I took a specialized driving lesson four days ago and the steering wheel door handle and other thing that we touched were throughly wiped down. My friends mom took me home and the only common thing I touched was a door handle (outside) and nothing else. My question is, how likely is it that I might have caught the virus? Also, should I get tested myself? I work in a high contact job. Thanks for any advice.</t>
        </is>
      </c>
      <c r="D1616" t="n">
        <v>1</v>
      </c>
      <c r="E1616" t="n">
        <v>3</v>
      </c>
      <c r="F1616">
        <f>HYPERLINK("https://www.reddit.com/r/COVID19positive/comments/gw7rw4/driving_lesson/")</f>
        <v/>
      </c>
      <c r="G1616" t="inlineStr">
        <is>
          <t>2020-06-03 18:50:47</t>
        </is>
      </c>
      <c r="H1616" t="inlineStr">
        <is>
          <t>Tested Positive - Friends</t>
        </is>
      </c>
    </row>
    <row r="1617">
      <c r="A1617" t="inlineStr">
        <is>
          <t>gw7yzp</t>
        </is>
      </c>
      <c r="B1617" t="inlineStr">
        <is>
          <t>COVID gave me Buerger's disease/phenomenon</t>
        </is>
      </c>
      <c r="C1617" t="inlineStr">
        <is>
          <t>am fully recovered. Used to vape no problem before covid. Now I get pains in my toes randomly and today I woke up with a sore on my foot. Rip.</t>
        </is>
      </c>
      <c r="D1617" t="n">
        <v>1</v>
      </c>
      <c r="E1617" t="n">
        <v>10</v>
      </c>
      <c r="F1617">
        <f>HYPERLINK("https://www.reddit.com/r/COVID19positive/comments/gw7yzp/covid_gave_me_buergers_diseasephenomenon/")</f>
        <v/>
      </c>
      <c r="G1617" t="inlineStr">
        <is>
          <t>2020-06-03 19:02:31</t>
        </is>
      </c>
      <c r="H1617" t="inlineStr">
        <is>
          <t>Tested Positive</t>
        </is>
      </c>
    </row>
    <row r="1618">
      <c r="A1618" t="inlineStr">
        <is>
          <t>gw8dge</t>
        </is>
      </c>
      <c r="B1618" t="inlineStr">
        <is>
          <t>Explaining Post-Virus to Friends</t>
        </is>
      </c>
      <c r="C1618" t="inlineStr">
        <is>
          <t>So I had COVID-19 and it was pretty mild for most of the time. It started to get worse about a month ago and there was a solid 5 days where I couldn’t get out of bed because I felt so terrible. The days I could get out of bed I didn’t feel like I had energy to do things I normally would (like workout etc). I’m also a musician and I play a wind instrument, and I 100% had no energy to play it. So as I’m sure a lot of others here can relate to, I didn’t do much for a few weeks while I was sick. This week I’m finally feeling better and I’m starting to get back into things I really should be doing for my profession/ for myself. 
Anyway, I was practicing my instrument today and I felt like it’s definitely harder to breathe than it used to be. It’s not like something is wrong but it’s just something I’ve noticed after having COVID-19. And it takes a lot of air to play my instrument. I was kind of bothered by this and I told my roommate about how frustrating it was. He replied that I should just start “working out” and how he goes out everyday to run and workout but I’ve been staying home a lot. I found this really upsetting just because I felt like I had no control over my body while having COVID, energy-wise. It has been a really tough month for me physically. I explained this to him and it seemed like he didn’t try / understand at all. Obviously I don’t care that much if he believes me but it was frustrating. I also feel like I’ve gained weight since I got sick because I have no energy to go workout, and I feel very self conscious about this, along with not being able to get work done that I needed to. 
I feel like some of my friends don’t understand what it was like to have COVID. Even when I didn’t feel the worst out of the few weeks, I was just so tired and would want to lay in bed. Friends who would video chat me started asking if I was still in bed in the middle of the afternoon. Anyway I find it completely frustrating and I feel like I’m sounding dramatic when telling people why this widespread virus doesn’t just last 14 days like people think. There’s after effects I guess? 
Has anyone else experienced friends/family not understanding how much of a toll this takes on your life?</t>
        </is>
      </c>
      <c r="D1618" t="n">
        <v>1</v>
      </c>
      <c r="E1618" t="n">
        <v>11</v>
      </c>
      <c r="F1618">
        <f>HYPERLINK("https://www.reddit.com/r/COVID19positive/comments/gw8dge/explaining_postvirus_to_friends/")</f>
        <v/>
      </c>
      <c r="G1618" t="inlineStr">
        <is>
          <t>2020-06-03 19:27:53</t>
        </is>
      </c>
      <c r="H1618" t="inlineStr">
        <is>
          <t>Presumed Positive - From Doctor</t>
        </is>
      </c>
    </row>
    <row r="1619">
      <c r="A1619" t="inlineStr">
        <is>
          <t>gw8mla</t>
        </is>
      </c>
      <c r="B1619" t="inlineStr">
        <is>
          <t>Just got the results- I have COVID. Completely Asymptomatic</t>
        </is>
      </c>
      <c r="C1619" t="inlineStr">
        <is>
          <t>I took the COVID test 8 days ago because it was free and said “why not?” Turns out that I am positive with COVID and have had it for who knows how long. Today was 8 days since the test and I just received the results this morning at 10 am. I have not felt any symptoms whatsoever and it is unclear where I got it from or even if i still have it. For all we know, I already got over it. The only thing that I can think of as close to being a symptom is an itchy throat. I had been feeling an itchy throat for about a week now and chocked it up to allergies because it was very minor. I would take an allergy pill and it would go away. This whole thing is so strange and although I am asymptomatic up until now, Im still terrified. Especially for my family, who I live with. My two parents (f53 and m49) are in the age group of at risks. Luckily neither have underlying health conditions and have felt no symptoms either. Same with my sister who is 25. I hope im the only one who has it. Will post more updates as I self isolate through the remaining 6 days.</t>
        </is>
      </c>
      <c r="D1619" t="n">
        <v>1</v>
      </c>
      <c r="E1619" t="n">
        <v>207</v>
      </c>
      <c r="F1619">
        <f>HYPERLINK("https://www.reddit.com/r/COVID19positive/comments/gw8mla/just_got_the_results_i_have_covid_completely/")</f>
        <v/>
      </c>
      <c r="G1619" t="inlineStr">
        <is>
          <t>2020-06-03 19:43:52</t>
        </is>
      </c>
      <c r="H1619" t="inlineStr">
        <is>
          <t>Tested Positive - Me</t>
        </is>
      </c>
    </row>
    <row r="1620">
      <c r="A1620" t="inlineStr">
        <is>
          <t>gw8ppf</t>
        </is>
      </c>
      <c r="B1620" t="inlineStr">
        <is>
          <t>Positive long after recovered</t>
        </is>
      </c>
      <c r="C1620" t="inlineStr">
        <is>
          <t>Ok so I have been symptom free for almost 2 weeks and I feel great. I had a pretty decent case of diagnosed COVID-19  with all symptoms and I feel just fine now and have for the last week and a half. I was supposed to go get a procedure in the hospital so they had to retest me and I am still positive!!! I thought for sure I wouldn't be because I feel fine. Has anyone tested positive for some time after feeling better? And if so for now long? The health department said I have to reisolate even after I was told last week I didn't have to and I'm sorry but I cannot sit in my home anymore. I find it hard to believe Im still contagious when I have no symptoms at all anymore.</t>
        </is>
      </c>
      <c r="D1620" t="n">
        <v>1</v>
      </c>
      <c r="E1620" t="n">
        <v>8</v>
      </c>
      <c r="F1620">
        <f>HYPERLINK("https://www.reddit.com/r/COVID19positive/comments/gw8ppf/positive_long_after_recovered/")</f>
        <v/>
      </c>
      <c r="G1620" t="inlineStr">
        <is>
          <t>2020-06-03 19:49:46</t>
        </is>
      </c>
      <c r="H1620" t="inlineStr">
        <is>
          <t>Tested Positive - Me</t>
        </is>
      </c>
    </row>
    <row r="1621">
      <c r="A1621" t="inlineStr">
        <is>
          <t>gw917u</t>
        </is>
      </c>
      <c r="B1621" t="inlineStr">
        <is>
          <t>What health “issues” did you end up getting from covid that you never had issues from before?</t>
        </is>
      </c>
      <c r="C1621" t="inlineStr">
        <is>
          <t>For example, April 12th is when I had my first symptom (diarrhea). And even almost two months since my first symptom, I’ve gained what it likely long term effects from this virus. These long term effects are: I’ve developed asthma that is triggered by anything but pure air (smoke is a killer for me), sleep apnea with at least one known episode a night (I’m normal BMI and never had apnea before), I used to have amazing lungs than can fill up with more air than the average person, now I feel like I have about 1/2 or 1/3 of what I used to have and not showing signs of getting better, constant fatigue (not as bad as it was the first two weeks of symptoms). 
What “long term” symptoms or health issues are you experiencing due to having COVID?</t>
        </is>
      </c>
      <c r="D1621" t="n">
        <v>1</v>
      </c>
      <c r="E1621" t="n">
        <v>7</v>
      </c>
      <c r="F1621">
        <f>HYPERLINK("https://www.reddit.com/r/COVID19positive/comments/gw917u/what_health_issues_did_you_end_up_getting_from/")</f>
        <v/>
      </c>
      <c r="G1621" t="inlineStr">
        <is>
          <t>2020-06-03 20:10:16</t>
        </is>
      </c>
      <c r="H1621" t="inlineStr">
        <is>
          <t>Presumed Positive - From Doctor</t>
        </is>
      </c>
    </row>
    <row r="1622">
      <c r="A1622" t="inlineStr">
        <is>
          <t>gw9ood</t>
        </is>
      </c>
      <c r="B1622" t="inlineStr">
        <is>
          <t>Questions about symptoms</t>
        </is>
      </c>
      <c r="C1622" t="inlineStr">
        <is>
          <t>Male 28. I’ve been sick for 7 days now. 
My question is how long has everyone’s fevers been lasting them? I’ve had mild fever everyday for 7 days
Fever, fatigue and headache has been my main symptoms. My mouth has been having this weird Taste to it and I have no appetite.</t>
        </is>
      </c>
      <c r="D1622" t="n">
        <v>1</v>
      </c>
      <c r="E1622" t="n">
        <v>5</v>
      </c>
      <c r="F1622">
        <f>HYPERLINK("https://www.reddit.com/r/COVID19positive/comments/gw9ood/questions_about_symptoms/")</f>
        <v/>
      </c>
      <c r="G1622" t="inlineStr">
        <is>
          <t>2020-06-03 20:53:47</t>
        </is>
      </c>
      <c r="H1622" t="inlineStr">
        <is>
          <t>Presumed Positive - From Doctor</t>
        </is>
      </c>
    </row>
    <row r="1623">
      <c r="A1623" t="inlineStr">
        <is>
          <t>gw9y47</t>
        </is>
      </c>
      <c r="B1623" t="inlineStr">
        <is>
          <t>Mom tested positive and went to the store after getting her test results.</t>
        </is>
      </c>
      <c r="C1623" t="inlineStr">
        <is>
          <t>Today has been unbelievably taxing. My face is raw from all the tears. Please keep in mind that I had nothing to do with my mothers actions. Please don’t blame me. I just want there to be awareness of what is going on.
Yesterday I informed you my mother tested positive for covid under the rapid test. Her second test results came today and verified that she is indeed positive. Last night she sounded like she was on the brink of death. I was terrified.
Apparently she felt better today because she decided to go out to cash her paycheck. Please keep this in mind when going to the store without a mask on.</t>
        </is>
      </c>
      <c r="D1623" t="n">
        <v>1</v>
      </c>
      <c r="E1623" t="n">
        <v>47</v>
      </c>
      <c r="F1623">
        <f>HYPERLINK("https://www.reddit.com/r/COVID19positive/comments/gw9y47/mom_tested_positive_and_went_to_the_store_after/")</f>
        <v/>
      </c>
      <c r="G1623" t="inlineStr">
        <is>
          <t>2020-06-03 21:11:12</t>
        </is>
      </c>
      <c r="H1623" t="inlineStr">
        <is>
          <t>Tested Positive - Family</t>
        </is>
      </c>
    </row>
    <row r="1624">
      <c r="A1624" t="inlineStr">
        <is>
          <t>gwbuyz</t>
        </is>
      </c>
      <c r="B1624" t="inlineStr">
        <is>
          <t>Severe migraines possibly linked to COVID? (unconfirmed yet)</t>
        </is>
      </c>
      <c r="C1624" t="inlineStr">
        <is>
          <t>So about two days ago in the middle of the night, I spiked a fever, chills, body aches, a very sorry throat, a bunch of sores on the inside my mouth on my cheeks, swelling in one of my molar gums, and unbearable migraine. I went to a doctor for a nasal swab and am hoping to hear back tomorrow with the results, but my major issue with this whole thing so far, is the migraines. I'm not sure if it's more a migraine or a pulsing headache or what, but it only strikes when I have a high fever and I check my temperature every 2 hours, which could fluctuate anywhere from 98 to 102.
Does anybody know how I can reduce or (God willing) get rid of these migraines? It's mainly in the front area of my forehead only and when it strikes, I try to snuff out any shred of light I can around me. In addition to this, I've tried a hot compress, cold compress, both sometimes, drinking plenty of liquids such as Pedialytes, Gatorade, water, hot tea, and I'm take meds such as DayQuil, NyQuil, ibuprofen, and Sudafed, but none of them seem to reduce the headache. Any suggestions to help would be greatly appreciated!</t>
        </is>
      </c>
      <c r="D1624" t="n">
        <v>1</v>
      </c>
      <c r="E1624" t="n">
        <v>11</v>
      </c>
      <c r="F1624">
        <f>HYPERLINK("https://www.reddit.com/r/COVID19positive/comments/gwbuyz/severe_migraines_possibly_linked_to_covid/")</f>
        <v/>
      </c>
      <c r="G1624" t="inlineStr">
        <is>
          <t>2020-06-03 23:26:45</t>
        </is>
      </c>
      <c r="H1624" t="inlineStr">
        <is>
          <t>Presumed Positive - From Doctor</t>
        </is>
      </c>
    </row>
    <row r="1625">
      <c r="A1625" t="inlineStr">
        <is>
          <t>gwc1s1</t>
        </is>
      </c>
      <c r="B1625" t="inlineStr">
        <is>
          <t>To those who have lost a loved one to COVID-19: How do you process?</t>
        </is>
      </c>
      <c r="C1625" t="inlineStr">
        <is>
          <t>We lost my grandma on Sunday. She was in the hospital exactly 1 week from covid19. It all happened so fast. She had some underlying conditions but was still independent and active for her age. None of us had seen her since March due to not wanting to spread it to her or my grandpa.
Not getting to see her in the hospital while she was sick was so disorienting. We all had this overwhelming urge to do something but we couldn't, and we couldn't even get together as a family to deal with it together. 
So when she died on Sunday it felt like we should all be grieving. But the only way I can describe my feelings is numbness. I mean I have been sad and I cried but I feel like something is blocking me from feeling this fully. Tonight my family video chatted as a group for the first time since her death. It was hard but everyone had the same feeling about not knowing how to process it. We all said the same thing: it doesn't seem real. It's almost like someone came and kidnapped her and now she's just gone... 
If anyone has been thru something similar or has resources you can point me to I would be so appreciative.
Thank you ♥️</t>
        </is>
      </c>
      <c r="D1625" t="n">
        <v>1</v>
      </c>
      <c r="E1625" t="n">
        <v>12</v>
      </c>
      <c r="F1625">
        <f>HYPERLINK("https://www.reddit.com/r/COVID19positive/comments/gwc1s1/to_those_who_have_lost_a_loved_one_to_covid19_how/")</f>
        <v/>
      </c>
      <c r="G1625" t="inlineStr">
        <is>
          <t>2020-06-03 23:41:21</t>
        </is>
      </c>
      <c r="H1625" t="inlineStr">
        <is>
          <t>Tested Positive - Family</t>
        </is>
      </c>
    </row>
    <row r="1626">
      <c r="A1626" t="inlineStr">
        <is>
          <t>gwcwim</t>
        </is>
      </c>
      <c r="B1626" t="inlineStr">
        <is>
          <t>Only lost of taste and smell</t>
        </is>
      </c>
      <c r="C1626" t="inlineStr">
        <is>
          <t>Hey 
So i lost my taste and smell from five days and that's it nothing else i talked to few doctors and some say they think i have and some think i don't but right now i can't get a test of COVID 19 
Do any one lost his taste and smell only and got Positive on COVID19? Is it common? 
Thank you</t>
        </is>
      </c>
      <c r="D1626" t="n">
        <v>1</v>
      </c>
      <c r="E1626" t="n">
        <v>4</v>
      </c>
      <c r="F1626">
        <f>HYPERLINK("https://www.reddit.com/r/COVID19positive/comments/gwcwim/only_lost_of_taste_and_smell/")</f>
        <v/>
      </c>
      <c r="G1626" t="inlineStr">
        <is>
          <t>2020-06-04 00:49:00</t>
        </is>
      </c>
      <c r="H1626" t="inlineStr">
        <is>
          <t>Presumed Positive - From Doctor</t>
        </is>
      </c>
    </row>
    <row r="1627">
      <c r="A1627" t="inlineStr">
        <is>
          <t>gwej5i</t>
        </is>
      </c>
      <c r="B1627" t="inlineStr">
        <is>
          <t>Anyone had smell and taste in decline for 2 months with COVID and recovered?</t>
        </is>
      </c>
      <c r="C1627" t="inlineStr">
        <is>
          <t>I lost my sense of smell and taste to some degree on April 2nd. figured it was Covid, stayed home for 7 weeks until May 18.  In April, Some days I improved so much, I thought recovery was in a matter of days.  Other days, smell and taste more muted.  Crazy roller coaster and I now have anxiety.  Since May, sense of smell and taste has been declining.  Was tested week of May 18 and was given covid positive result - even after 7 weeks.  Not sure why it seems sense of smell and taste are worsening since May.  Has anyone gone through this where they worsened in terms of smell and taste so radically from 1 month to the next?!  Any feedback would be appreciated</t>
        </is>
      </c>
      <c r="D1627" t="n">
        <v>1</v>
      </c>
      <c r="E1627" t="n">
        <v>8</v>
      </c>
      <c r="F1627">
        <f>HYPERLINK("https://www.reddit.com/r/COVID19positive/comments/gwej5i/anyone_had_smell_and_taste_in_decline_for_2/")</f>
        <v/>
      </c>
      <c r="G1627" t="inlineStr">
        <is>
          <t>2020-06-04 03:01:26</t>
        </is>
      </c>
      <c r="H1627" t="inlineStr">
        <is>
          <t>Tested Positive - Me</t>
        </is>
      </c>
    </row>
    <row r="1628">
      <c r="A1628" t="inlineStr">
        <is>
          <t>gweqh8</t>
        </is>
      </c>
      <c r="B1628" t="inlineStr">
        <is>
          <t>How many here have POTS/tachycardia that doesn't seem to get better?</t>
        </is>
      </c>
      <c r="C1628" t="inlineStr">
        <is>
          <t>Since catching covid I've been having extreme tachycardia. My HR goes 70 --&amp;gt; 140 bpm just by standing up and doesn't go below 120 when I walk around.
I've had ultrasound and EKG done which were normal. I'm going in for a stress test and Holter monitor.
I'm wondering if anyone else is experiencing this post covid? And if so, did you ever recover?</t>
        </is>
      </c>
      <c r="D1628" t="n">
        <v>1</v>
      </c>
      <c r="E1628" t="n">
        <v>39</v>
      </c>
      <c r="F1628">
        <f>HYPERLINK("https://www.reddit.com/r/COVID19positive/comments/gweqh8/how_many_here_have_potstachycardia_that_doesnt/")</f>
        <v/>
      </c>
      <c r="G1628" t="inlineStr">
        <is>
          <t>2020-06-04 03:18:08</t>
        </is>
      </c>
      <c r="H1628" t="inlineStr">
        <is>
          <t>Presumed Positive - From Doctor</t>
        </is>
      </c>
    </row>
    <row r="1629">
      <c r="A1629" t="inlineStr">
        <is>
          <t>gwgsij</t>
        </is>
      </c>
      <c r="B1629" t="inlineStr">
        <is>
          <t>Positive antibody test - could I still have the virus?</t>
        </is>
      </c>
      <c r="C1629" t="inlineStr">
        <is>
          <t>This week I completed an antibody test (the Abbott blood test) which showed the presence of antibodies in my blood. This confirmed my suspicions that I had Covid-19 in early March when I lost my sense of smell and taste for a week. Other very mild symptoms included an odd 'cold' feeling in my nose for about two weeks, some digestive issues, and an ongoing issue where I wake up every morning with a headache and very dry/sore throat, which goes away once I get up and about. Could this be a longer lasting symptom or just something else?
My understanding is that this test is very unlikely to have a false positive but I'd be interested in hearing from anyone else who has had this.</t>
        </is>
      </c>
      <c r="D1629" t="n">
        <v>1</v>
      </c>
      <c r="E1629" t="n">
        <v>6</v>
      </c>
      <c r="F1629">
        <f>HYPERLINK("https://www.reddit.com/r/COVID19positive/comments/gwgsij/positive_antibody_test_could_i_still_have_the/")</f>
        <v/>
      </c>
      <c r="G1629" t="inlineStr">
        <is>
          <t>2020-06-04 05:47:21</t>
        </is>
      </c>
      <c r="H1629" t="inlineStr">
        <is>
          <t>Tested Positive - Me</t>
        </is>
      </c>
    </row>
    <row r="1630">
      <c r="A1630" t="inlineStr">
        <is>
          <t>gwhgkq</t>
        </is>
      </c>
      <c r="B1630" t="inlineStr">
        <is>
          <t>3 months of illness</t>
        </is>
      </c>
      <c r="C1630" t="inlineStr">
        <is>
          <t>So far, anyway. I became symptomatic on March 4th. Every day since then I’ve had a fever of 100+. Almost every day I wake up with a weird “toxic” feeling throughout my body, like the feeling of cold sweats without the sweating part. Tachycardia is at a minimum now, but I attribute that to increased fluid intake. Still have fatigue and general weakness. Sometimes my balance is a bit off. Sometimes I get dizzy for no reason. I also dream literally every single time I sleep, as in remember the dreams after waking, and that is the strangest thing. 3 months of nightly memorable dreams. 
Nothing seems to improve the fever at all besides Tylenol for a couple hours. Lots of moving around or anything that could resemble exercise if you squinted a little seems to bring on a fever or exacerbate a present one. Tbh just existing brings on a fever or exacerbates one, so I guess it doesn’t even really matter if I do anything or not because I’ll be sick either way. The waves of body aches with the fever fkn sucks, though, because it’s pretty painful.
The nausea is ridiculous most days. Apparently my taste has changed somewhat - had mac n cheese the other day and it tasted incredibly salty, was hard to finish, and it was made exactly the same as I’ve always made it. Same kind of mac n cheese and everything. Couldn’t even taste the cheese. Just noodle and salt with more salt.  Was confusing and frustrating because it’s one of my favorite lazy meals. I’m not sure what other things taste different since my diet is very very limited currently. 
No advice, please, unless the advice suggests that covid or whatever post-covid syndrome thing is cured by a weekend of rum and/or a LOTR extended edition marathon. I’m just posting an update for whoever is curious.</t>
        </is>
      </c>
      <c r="D1630" t="n">
        <v>1</v>
      </c>
      <c r="E1630" t="n">
        <v>35</v>
      </c>
      <c r="F1630">
        <f>HYPERLINK("https://www.reddit.com/r/COVID19positive/comments/gwhgkq/3_months_of_illness/")</f>
        <v/>
      </c>
      <c r="G1630" t="inlineStr">
        <is>
          <t>2020-06-04 06:29:47</t>
        </is>
      </c>
      <c r="H1630" t="inlineStr">
        <is>
          <t>Tested Positive - Me</t>
        </is>
      </c>
    </row>
    <row r="1631">
      <c r="A1631" t="inlineStr">
        <is>
          <t>gwhhgi</t>
        </is>
      </c>
      <c r="B1631" t="inlineStr">
        <is>
          <t>Took an antibody and nasal swab</t>
        </is>
      </c>
      <c r="C1631" t="inlineStr">
        <is>
          <t>So I took a nasal swab and antibody test at CityMd a few days ago. The day I took them, my symptoms seemed to get a little less intense at the end of the day. Not perfect breathing but way better than it has been for two weeks. I got my results back today and I’m negative for both the virus and antibodies. 
I for sure feel like I had covid since I’ve never felt the way I have the past 2 weeks. I know the tests aren’t super accurate but I figured I’d at least have some sort of antibodies. Maybe I tested to early since I still felt sick? Anyone else have a similar experience?</t>
        </is>
      </c>
      <c r="D1631" t="n">
        <v>1</v>
      </c>
      <c r="E1631" t="n">
        <v>5</v>
      </c>
      <c r="F1631">
        <f>HYPERLINK("https://www.reddit.com/r/COVID19positive/comments/gwhhgi/took_an_antibody_and_nasal_swab/")</f>
        <v/>
      </c>
      <c r="G1631" t="inlineStr">
        <is>
          <t>2020-06-04 06:31:12</t>
        </is>
      </c>
      <c r="H1631" t="inlineStr">
        <is>
          <t>Presumed Positive - From Doctor</t>
        </is>
      </c>
    </row>
    <row r="1632">
      <c r="A1632" t="inlineStr">
        <is>
          <t>gwi7cg</t>
        </is>
      </c>
      <c r="B1632" t="inlineStr">
        <is>
          <t>Tested positive again.. 17 days after 1st test</t>
        </is>
      </c>
      <c r="C1632" t="inlineStr">
        <is>
          <t>Hi 👋🏾 
Yesterday My institute took a sample for me, If it was negative I would be able to return to my activity right away, but it was positive today I received the results.
It has been 17 days since I’ve been tested positive initially.
Any thoughts guys or anyone has the same experience or anything that could help??</t>
        </is>
      </c>
      <c r="D1632" t="n">
        <v>1</v>
      </c>
      <c r="E1632" t="n">
        <v>4</v>
      </c>
      <c r="F1632">
        <f>HYPERLINK("https://www.reddit.com/r/COVID19positive/comments/gwi7cg/tested_positive_again_17_days_after_1st_test/")</f>
        <v/>
      </c>
      <c r="G1632" t="inlineStr">
        <is>
          <t>2020-06-04 07:12:26</t>
        </is>
      </c>
      <c r="H1632" t="inlineStr">
        <is>
          <t>Tested Positive</t>
        </is>
      </c>
    </row>
    <row r="1633">
      <c r="A1633" t="inlineStr">
        <is>
          <t>gwit3j</t>
        </is>
      </c>
      <c r="B1633" t="inlineStr">
        <is>
          <t>Took father to the hospital two days ago</t>
        </is>
      </c>
      <c r="C1633" t="inlineStr">
        <is>
          <t>** I apologize if I made this too long I just really wanted to go into detail about his situation.
Hey everyone. My father is turning 60 in a month, lives a generally healthy lifestyle, healthy weight, currently a nonsmoker for around 30 years now.
He developed a dry-ish cough last Thursday (5/28) night. 
On Friday he still had the same dry cough. He would cough every once in a while, he wasn't having constant coughing fits.
On Saturday he began to have chills and I believe he also started to have some shortness of breath sometime around this day. He would speak fine, but he would have to breathe in every 10-15 words. His cough was also going away, he was just mainly clearing his throat now. Around Saturday night he also said his nose felt clogged up and he couldn't smell anything. He was still walking around the house, he seemed somewhat alright.
On Sunday, he woke up with a fever of around 100 F. He still had on and off chills, some shortness of breath. His cough was gone by now but he was still clearing his throat. He stayed mainly in bed all day and we were giving him Tylenol if his fever got too high (102 F at one point) and Vitamins C and D. He was also drinking water and gatorade. I also used a pulse oximeter on him and it would read around 93-95 and sometimes up to 96, so I wasn't too concerned. Oddly enough, he still had an appetite and was eating normally.
Monday he still had a fever and same shortness of breath. Pulse oximeter read the same. 
Tuesday his fever was still around, sometimes throughout the day it would break but it would always come back. It was on this day that I decided it would be best if we took him to the ER. He was still having trouble speaking in full sentences and his pulse oximeter read around 92-94.
In the ER they took his X-Ray, tested some blood and tested him for Covid. They put him on the oxygen cannula device and gave him tylenol whenever his fever was too high. His X-Ray came out clean and so did everything else but he did come out positive for Covid. His condition was improving. He no longer looked feverish and tired according to the nurses. I believe yesterday was when he had a fever of 103 and it went down quickly with Tylenol. For now, they are monitoring his oxygen levels. He is doing great, and even without the oxygen cannula his levels read 98-99. 
I spoke to him on the phone just half an hour ago, however, and he is still having shortness of breath when he talks. Not every word, but every 10-15 words like before. I am a little concerned about this, but his fever seems to be returning less frequently and in lower levels. The nurses don't seem to be too concerned at all, they actually told us that we did good bringing him really early. I have been reading a lot of stories on this sub and I encountered a lot of posts that mention fever and shortness of breath. I'm just a bit worried due to my father's age.
I also think I (23/M) may have contracted it from him. I started experiencing symptoms Tuesday night and yesterday was worse but today I am feeling a little better. Just an annoying headache and itchy throat. 
I just can't help but be stressed over my father's condition. He is doing great but my anxiety is a real pain and it often makes me go into panic mode. This virus is incredibly stressful.</t>
        </is>
      </c>
      <c r="D1633" t="n">
        <v>2</v>
      </c>
      <c r="E1633" t="n">
        <v>6</v>
      </c>
      <c r="F1633">
        <f>HYPERLINK("https://www.reddit.com/r/COVID19positive/comments/gwit3j/took_father_to_the_hospital_two_days_ago/")</f>
        <v/>
      </c>
      <c r="G1633" t="inlineStr">
        <is>
          <t>2020-06-04 07:45:46</t>
        </is>
      </c>
      <c r="H1633" t="inlineStr">
        <is>
          <t>Tested Positive - Family</t>
        </is>
      </c>
    </row>
    <row r="1634">
      <c r="A1634" t="inlineStr">
        <is>
          <t>gwjxkh</t>
        </is>
      </c>
      <c r="B1634" t="inlineStr">
        <is>
          <t>Termination of automatic breathing?</t>
        </is>
      </c>
      <c r="C1634" t="inlineStr">
        <is>
          <t>Has anyone else experienced termination of automatic breathing from COVID? 
My automatic breathing stopped for 5sec then followed by a headache and nausea. This is messing up with the blood vessels in the brain or what? No sensation in the lungs though, no pressure or pain.</t>
        </is>
      </c>
      <c r="D1634" t="n">
        <v>1</v>
      </c>
      <c r="E1634" t="n">
        <v>33</v>
      </c>
      <c r="F1634">
        <f>HYPERLINK("https://www.reddit.com/r/COVID19positive/comments/gwjxkh/termination_of_automatic_breathing/")</f>
        <v/>
      </c>
      <c r="G1634" t="inlineStr">
        <is>
          <t>2020-06-04 08:44:51</t>
        </is>
      </c>
      <c r="H1634" t="inlineStr">
        <is>
          <t>Presumed Positive - From Doctor</t>
        </is>
      </c>
    </row>
    <row r="1635">
      <c r="A1635" t="inlineStr">
        <is>
          <t>gwk429</t>
        </is>
      </c>
      <c r="B1635" t="inlineStr">
        <is>
          <t>Do you guys think this virus can cause anxiety disorders</t>
        </is>
      </c>
      <c r="C1635" t="inlineStr">
        <is>
          <t>i feel like its caused one in me as Im starting to have symptoms of depression and anxiety</t>
        </is>
      </c>
      <c r="D1635" t="n">
        <v>2</v>
      </c>
      <c r="E1635" t="n">
        <v>34</v>
      </c>
      <c r="F1635">
        <f>HYPERLINK("https://www.reddit.com/r/COVID19positive/comments/gwk429/do_you_guys_think_this_virus_can_cause_anxiety/")</f>
        <v/>
      </c>
      <c r="G1635" t="inlineStr">
        <is>
          <t>2020-06-04 08:54:39</t>
        </is>
      </c>
      <c r="H1635" t="inlineStr">
        <is>
          <t>Tested Positive - Me</t>
        </is>
      </c>
    </row>
    <row r="1636">
      <c r="A1636" t="inlineStr">
        <is>
          <t>gwkwmy</t>
        </is>
      </c>
      <c r="B1636" t="inlineStr">
        <is>
          <t>Positive three times!</t>
        </is>
      </c>
      <c r="C1636" t="inlineStr">
        <is>
          <t>I’m so confused! I had my first test May 2nd and it came back positive May 6th. Took my second test May 20th and it came back positive May 21st. I took my third test June 3rd. I don’t feel as sick as I did. Still have minor discomfort in my chest and a cough that isn’t persistent. I can’t go back to work until I have two negative results back to back. Am I still contagious?</t>
        </is>
      </c>
      <c r="D1636" t="n">
        <v>2</v>
      </c>
      <c r="E1636" t="n">
        <v>13</v>
      </c>
      <c r="F1636">
        <f>HYPERLINK("https://www.reddit.com/r/COVID19positive/comments/gwkwmy/positive_three_times/")</f>
        <v/>
      </c>
      <c r="G1636" t="inlineStr">
        <is>
          <t>2020-06-04 09:35:43</t>
        </is>
      </c>
      <c r="H1636" t="inlineStr">
        <is>
          <t>Tested Positive</t>
        </is>
      </c>
    </row>
    <row r="1637">
      <c r="A1637" t="inlineStr">
        <is>
          <t>gwl9c5</t>
        </is>
      </c>
      <c r="B1637" t="inlineStr">
        <is>
          <t>My experience- presumed positive because of no taste/smell, wife tested negative but I think it’s false negative</t>
        </is>
      </c>
      <c r="C1637" t="inlineStr">
        <is>
          <t>So here’s the thing, my wife was tested and after 4 days results came back as negative, but she has all classic symptoms: dry cough, loss of taste/smell, breathing issues, fever. I had mild symptoms of low grade fever and mild body aches. That started to go away and then about 5 days ago I lost all my smell and taste. It’s so frustrating to not be able to smell or taste anything. But also it’s weird because I never got tested (I don’t see a need now since I’m sure I have it and it’s been 10 days since symptoms started) but on top of that my wife got a negative test. It’s a strange place to be in. 
And also I’m freaking out a little with wondering when taste and smell will come back.</t>
        </is>
      </c>
      <c r="D1637" t="n">
        <v>1</v>
      </c>
      <c r="E1637" t="n">
        <v>5</v>
      </c>
      <c r="F1637">
        <f>HYPERLINK("https://www.reddit.com/r/COVID19positive/comments/gwl9c5/my_experience_presumed_positive_because_of_no/")</f>
        <v/>
      </c>
      <c r="G1637" t="inlineStr">
        <is>
          <t>2020-06-04 09:54:04</t>
        </is>
      </c>
      <c r="H1637" t="inlineStr">
        <is>
          <t>Presumed Positive - From Doctor</t>
        </is>
      </c>
    </row>
    <row r="1638">
      <c r="A1638" t="inlineStr">
        <is>
          <t>gwmf4g</t>
        </is>
      </c>
      <c r="B1638" t="inlineStr">
        <is>
          <t>Question for the Long Timers</t>
        </is>
      </c>
      <c r="C1638" t="inlineStr">
        <is>
          <t>I'm trying to determine when exactly I got infected and how long this may last for me. Trying to keep positive, but these ups and downs are brutal.
Anyways, I had a fever, for a day, in late February and then felt perfectly fine. My husband was terribly sick for a week after this, but we just assumed flu or infection since this was before Covid was really a thing where we live. When I say a was fine, I was 100% - never would've suspected anything was wrong. And then on April 15th (6 weeks after the fever) I went downhill fast. Shortness of breath, chest tightness, extreme fatigue, elevated d dimer, scary low potassium levels, neurological issues, etc. These have ebbed and flowed since mid April, but I'm still struggling. My doctors now are realizing it is Covid and possibly an inflammatory response or post viral response since my body did seem to fight off the actual virus well. But, this boggles my mind. Did anyone else have almost no symptoms at all after being infected and then get so much worse weeks after? Any insight as to why this would happen?</t>
        </is>
      </c>
      <c r="D1638" t="n">
        <v>1</v>
      </c>
      <c r="E1638" t="n">
        <v>11</v>
      </c>
      <c r="F1638">
        <f>HYPERLINK("https://www.reddit.com/r/COVID19positive/comments/gwmf4g/question_for_the_long_timers/")</f>
        <v/>
      </c>
      <c r="G1638" t="inlineStr">
        <is>
          <t>2020-06-04 10:53:24</t>
        </is>
      </c>
      <c r="H1638" t="inlineStr">
        <is>
          <t>Presumed Positive - From Doctor</t>
        </is>
      </c>
    </row>
    <row r="1639">
      <c r="A1639" t="inlineStr">
        <is>
          <t>gwmy2a</t>
        </is>
      </c>
      <c r="B1639" t="inlineStr">
        <is>
          <t>I got covid-19 from jacking off. AMA.</t>
        </is>
      </c>
      <c r="C1639" t="inlineStr">
        <is>
          <t>Just finished jacking off and I'm showing symptoms of the virus.</t>
        </is>
      </c>
      <c r="D1639" t="n">
        <v>0</v>
      </c>
      <c r="E1639" t="n">
        <v>4</v>
      </c>
      <c r="F1639">
        <f>HYPERLINK("https://www.reddit.com/r/COVID19positive/comments/gwmy2a/i_got_covid19_from_jacking_off_ama/")</f>
        <v/>
      </c>
      <c r="G1639" t="inlineStr">
        <is>
          <t>2020-06-04 11:19:48</t>
        </is>
      </c>
      <c r="H1639" t="inlineStr">
        <is>
          <t>Presumed Positive - From Doctor</t>
        </is>
      </c>
    </row>
    <row r="1640">
      <c r="A1640" t="inlineStr">
        <is>
          <t>gwnvuw</t>
        </is>
      </c>
      <c r="B1640" t="inlineStr">
        <is>
          <t>IgE levels??</t>
        </is>
      </c>
      <c r="C1640" t="inlineStr">
        <is>
          <t>Hi everyone. Day 80 something here. Has anyone had their IgE tested while having covid symptoms? Mine was extremely high and I had a rash at the time when tested. Wondering if others are experiencing this too.</t>
        </is>
      </c>
      <c r="D1640" t="n">
        <v>1</v>
      </c>
      <c r="E1640" t="n">
        <v>12</v>
      </c>
      <c r="F1640">
        <f>HYPERLINK("https://www.reddit.com/r/COVID19positive/comments/gwnvuw/ige_levels/")</f>
        <v/>
      </c>
      <c r="G1640" t="inlineStr">
        <is>
          <t>2020-06-04 12:07:05</t>
        </is>
      </c>
      <c r="H1640" t="inlineStr">
        <is>
          <t>Presumed Positive - From Doctor</t>
        </is>
      </c>
    </row>
    <row r="1641">
      <c r="A1641" t="inlineStr">
        <is>
          <t>gwohg1</t>
        </is>
      </c>
      <c r="B1641" t="inlineStr">
        <is>
          <t>IgM Postitive but IgG Negative</t>
        </is>
      </c>
      <c r="C1641" t="inlineStr">
        <is>
          <t>Hello.  Like a lot of you I've been going through some kind of sickness since March or maybe even as far back as February.  It ebbs and flows cyclically leaving me with SOB, tachycardia, pain in my chest/lungs, clearing my throat excessively, a weird ear crackling, light temperature, etc etc. A Z-pak did nothing for it.   I wasn't swabbed for covid until the end of April and it came back negative.  
Today I finally got the results of my antibody testing and it came back positive for SARS-CoV-2 IgM antibodies but negative for SARS-CoV-2 IgG antibodies.  I find myself wondering if the test just didn't detect the IgG antibodies or if my body hasn't actually made them which is why I've been sick for so long.  
Has anyone out there had a similar experience? Is the lack of IgG response playing a roll in continuing resurgence of sickness?  I will say that this week for the first time in months it feels like a big cloud has been lifted from my head.  I feel more normal (my wife even commented that I seem more like myself) for the first in as long as I can remember.  I am thinking I might try getting tested again in another week or 2 just to see if I've managed to get the IgG antibodies now.  Has anyone else had antibody test results like these?</t>
        </is>
      </c>
      <c r="D1641" t="n">
        <v>1</v>
      </c>
      <c r="E1641" t="n">
        <v>11</v>
      </c>
      <c r="F1641">
        <f>HYPERLINK("https://www.reddit.com/r/COVID19positive/comments/gwohg1/igm_postitive_but_igg_negative/")</f>
        <v/>
      </c>
      <c r="G1641" t="inlineStr">
        <is>
          <t>2020-06-04 12:37:28</t>
        </is>
      </c>
      <c r="H1641" t="inlineStr">
        <is>
          <t>Tested Positive - Me</t>
        </is>
      </c>
    </row>
    <row r="1642">
      <c r="A1642" t="inlineStr">
        <is>
          <t>gwojzx</t>
        </is>
      </c>
      <c r="B1642" t="inlineStr">
        <is>
          <t>Weird symptom?</t>
        </is>
      </c>
      <c r="C1642" t="inlineStr">
        <is>
          <t>Hi! So I’m a 30 year old female. No prior health conditions. I got covid May 4th. Had only two days of a fever and other symptoms. Haven’t had a fever since then. Never developed a cough. I still have no sense of smell. &amp;amp; I have the feeling that I need to yawn or take a good breath in all day. When does that go away?!
But i Had the oddest thing happen last night. Had been laying down all day in my room with the ac cause it was humid. Got up to go into kitchen. And all of a sudden felt like my heart skipped, my hands and legs had tingling in them and my upper lip, I was dizzy and shaking. My oxygen was at 100??? I was panicking and crying. Slowly calmed down but terrified. Wtf is going on? My blood pressure was 98/56 but went up to 100/73. And today it’s normal. It was so terrifying. My doctor said dehydration.</t>
        </is>
      </c>
      <c r="D1642" t="n">
        <v>1</v>
      </c>
      <c r="E1642" t="n">
        <v>7</v>
      </c>
      <c r="F1642">
        <f>HYPERLINK("https://www.reddit.com/r/COVID19positive/comments/gwojzx/weird_symptom/")</f>
        <v/>
      </c>
      <c r="G1642" t="inlineStr">
        <is>
          <t>2020-06-04 12:41:02</t>
        </is>
      </c>
      <c r="H1642" t="inlineStr">
        <is>
          <t>Tested Positive - Me</t>
        </is>
      </c>
    </row>
    <row r="1643">
      <c r="A1643" t="inlineStr">
        <is>
          <t>gwp2s5</t>
        </is>
      </c>
      <c r="B1643" t="inlineStr">
        <is>
          <t>Felt normal for the last three weeks. Can it be back again?</t>
        </is>
      </c>
      <c r="C1643" t="inlineStr">
        <is>
          <t>So long story short. I'm feeling like its either a reinfection or a strange relapse. Was what I thought was a recovered long termer, symptoms kicked in 19th March. I started feeling nearly back to 100% about three weeks ago. Evidently living the life of a slime, not doing much as I've been terrified of replacing. Okay for a good three weeks. Then a couple of days I started the pitiful cough but ever so intermittently, then tired again (but nowhere near as bad as it was the first time around) and stomach aches which I never had before and my diet is Healthy. Also weird non existent smells which didn't happen until the latent stages of the illness. And today I got the chills and feeling rather warm in waves. I can't go through this again. I'm just thinking about how there is talk of non long term antibodies. I dont feel like I've strained my body at all to do a relapse and considering I've been pretty much back to normal for a while now, but you know when you know your body and things don't feel right. Anyone else?</t>
        </is>
      </c>
      <c r="D1643" t="n">
        <v>1</v>
      </c>
      <c r="E1643" t="n">
        <v>9</v>
      </c>
      <c r="F1643">
        <f>HYPERLINK("https://www.reddit.com/r/COVID19positive/comments/gwp2s5/felt_normal_for_the_last_three_weeks_can_it_be/")</f>
        <v/>
      </c>
      <c r="G1643" t="inlineStr">
        <is>
          <t>2020-06-04 13:07:20</t>
        </is>
      </c>
      <c r="H1643" t="inlineStr">
        <is>
          <t>Presumed Positive - From Doctor</t>
        </is>
      </c>
    </row>
    <row r="1644">
      <c r="A1644" t="inlineStr">
        <is>
          <t>gwq2r9</t>
        </is>
      </c>
      <c r="B1644" t="inlineStr">
        <is>
          <t>11 weeks in and I don’t know what to do anymore</t>
        </is>
      </c>
      <c r="C1644" t="inlineStr">
        <is>
          <t>I’m a 16 year old with asthma for reference. I’ve never been considered to have bad asthma, and only had to take medication before exercise not to prevent an attack but to make it easier to run for sustained time.
It started March 18th, that was the first day I had my fever. Throughout that time and about a week before I had some feeling like I had just been swimming and my lungs felt a little uncomfortable. Not in pain but just a weird feeling. I remember having like a 101, but a fever, headache, and general congestion were the only things I can remember.  
About a week later I started to feel a little better, and online school began right around then so I was able to go back for a day. I had no breathing troubles and that strange swimming feeling had gone away. No fever, congestion etc. I had generally felt healthy again.  
The next day, I began to feel a tightness in my chest with more congestion, burning eyes, clogged head, confusion, and some various burning pain around my body. When I took a deep breath, it would feel like I had a band wrapped around my chest that would stop me from breathing any further. Getting up and walking around (e.g. going to the bathroom) would be a little difficult, short of breath-wise.  
Around then was when we started talking to the doctor. It was difficult to get a test at that time, especially being so young and it being late March it was hard for anyone to get a test. However I had just been with people from Long Island the week before, touring a college campus, and that was right when New York was emerging as a hotspot and that was good enough to get a test.  
The test didn’t go very deep into my nasal cavity, the doctor just swabbed my immediate nostril once and that was it. It came back negative, which worried me a bit because it seemed like I was experiencing breathing troubles without a cause, but my doctor told me that I was “textbook” for COVID up to that point and he was generally sure that I had the virus.  
The next few weeks stayed the same, I would have on-and-off congestion and brain fog, almost as if I had continuous sinus infections. I at that point started antibiotics and prednisone as a possible treatment (antibiotics for sinuses, prednisone for possible complications from asthma. I was also taking my inhalers throughout this period because of my sick plan for asthma). However, the breathing tightness hadn’t gone away up to this point. I was able to take a deep breath, but it was difficult to get to that point and felt a burning sensation on the exhale.  
Early April, right when I started the prednisone, I began to get rashes all over my skin and chest with a feeling of a closing throat. An ambulance came, and because of my status as possible-COVID it had to be a dedicated-COVID doctor. It was a possible allergic reaction to prednisone, however it just turned out to be unrelated. The doctor said that he was sure I had the virus and that this might be just the aftermath of healing. This was the beginning of April, and right when the multisystem inflammatory syndrome in children was being documented in Europe and New York, but I believe there wasn’t a name or connection for it at that time (I cannot really remember so I’m sorry if this is incorrect).  
The week leading up to Easter I had felt the same, congestion, sinus pain, brain fog, and breathing tightness/discomfort, however the day I woke up on Easter I felt much better and only had light breathing tightness. That morning, I began to have extreme confusion and experienced some lightheadedness with brain fog, and began to stare a lot into nothing. This was believed to be a side-effect of my Pepcid medication I was taking for my GERD, (note: I had used Prevacid for most of my life, however I just started on Pepcid for its cooling effect as long as acid reduction I believe. This was because my reflux was thought to be compacted by the virus, so getting this under control was important) however after switching to Prevacid I would still experience this. To this day (June 4) I haven’t had confusion and lightheadedness to that degree. It seemed to have subsided in the coming days.  
My symptoms remained the same in the following weeks, I would still have tightness breathing, and that seemed to be the main symptom left. However, I would sometimes have irregular heartbeats (some fast, some slow in a short period of time) and palpitations despite having no history of heart issues. I remember going for a short 10 minute walk to the end of my street, and after coming in and sitting down my heart palpitated multiple times.  
One day (I can’t remember the exact date but I believe this was early May now) I had some abdominal pain in the lower right section right before going to sleep. I assumed it was gas pain and tried to go to sleep. The next morning waking up, however, the pain had not gone away and even increased. It was hard to move around and I had to bend over to be comfortable. Later in the evening it had gotten worse, and I also felt confused and out-of-it, so I was taken to the hospital for possible appendicitis. The results were just swollen lymph nodes in that section of my abdomen which should resolve themselves.  
The abdomen pain remained with me and would hurt in and off, pain-medication sometimes working, other times not. I began getting pain in the upper left section of my chest, with a rhythm to it. This pain would come and go, generally getting worse at night but I would get it all throughout the day. I also around this time started getting tingling and numbness in my hands, fingers, and forearm area extending from my wrist and about halfway to my elbow. The tingling and numbness were most like panic-attack related, and I seemed to get panic attacks a few nights of the week. I never had severe anxiety or panic attacks before any of the illness began.  
Note that throughout this time I would be visiting doctors in person and online. I was suggested to take another COVID test around mid May, and this one once again came back negative. I started on my prednisone for one day once again for asthma-related reasons, but stopped after a day of doses because it did not seem to help.  
A week later we visit the hospital as a possible case of the MIS-C. Note that this was a month and a half/two months after first showing symptoms. My heart rate was normal, chest x-ray was normal, and while we were there I had blood taken for a COVID antibody test. Came back IgG and IgM COVID not detected, once again confirming that I did not have the virus. (This test was taken a week after I had started the second round of prednisone for that single day and about a month after the first round of prednisone, and we later learned that prednisone suppresses the antibodies and might cause there to be a false-negative. This may or may not have affected me, but I hope to take another antibody test in the coming weeks/month). My inflammation markers were a little elevated, but not much to raise any concern so I was not believed to be an MIS-C patient at that time.  
We went to a pulmonologist at the end of May, and after a CT scan of my chest, I was found to have pneumomediastinum, and while I did not have a hole in my lung anymore, I did still have air trapped in the center of my chest that was pushing on my heart and caused the pain I had when breathing. Whatever illness I had before seemed to have been the cause of this (the pulmonologist believes COVID), and it is thought to be another month before I’m pain-free and the air is absorbed.  
Today, I still have breathing pain and burning when I take a deep breath, however those seem to be the only physical symptoms I still continue to experience (the abdominal pain has subsided, and I have not had a fever in two months with the highest being 102.7). Most of what I’m experiencing today stems from the mental symptoms. I feel completely drained like I have no energy, and I have certain periods throughout the day where I will just stare and have no thoughts. My brain is completely fogged. It’s hard to concentrate a lot of the time, and I have not began the schoolwork from months ago. It’s hard to find the energy to do a lot, and I get headaches at night most nights for the past week now.  
I’m mostly writing this as a way to vent. I have been experiencing this for 11 weeks now, and at my best during this time I feel like I’ve only been at most 75% of my healthy self. I’m losing hope that this will be a short term issue. It’s strange how you never think something will happen to you until it does. And I’ve tested negative 3 different times for this illness so I’m still unsure of what has caused these issues I’ve been dealing with for almost 3 months now. Even though I’ve had countless doctors tell me they believe it’s COVID, it still doesn’t give me reassurance and I’ve become paranoid of being sick again. I barely go out without being extremely anxious, and constantly hand wash even around the house. However, I’ll keep being optimistic that one day things will get better and my normal life can return, because this sure can take a heavy toll on a person mentally. Thank you.</t>
        </is>
      </c>
      <c r="D1644" t="n">
        <v>1</v>
      </c>
      <c r="E1644" t="n">
        <v>37</v>
      </c>
      <c r="F1644">
        <f>HYPERLINK("https://www.reddit.com/r/COVID19positive/comments/gwq2r9/11_weeks_in_and_i_dont_know_what_to_do_anymore/")</f>
        <v/>
      </c>
      <c r="G1644" t="inlineStr">
        <is>
          <t>2020-06-04 13:58:12</t>
        </is>
      </c>
      <c r="H1644" t="inlineStr">
        <is>
          <t>Presumed Positive - From Doctor</t>
        </is>
      </c>
    </row>
    <row r="1645">
      <c r="A1645" t="inlineStr">
        <is>
          <t>gwqckq</t>
        </is>
      </c>
      <c r="B1645" t="inlineStr">
        <is>
          <t>Statins and High Blood Pressure Meds</t>
        </is>
      </c>
      <c r="C1645" t="inlineStr">
        <is>
          <t>Hey guys I am nearing the 3 month mark here with the flurry of Covid 19 symptoms everyone has been dealing with. Now that more studies and reports have been surfacing regarding it being more of a blood/endothelial damaging virus, I wanted to ask and see if anyone has taken any Statins or High Blood Medication to combat all the "never-ending" symptoms. And if so, what have been the outcomes of that till now? 
It's been a long dreadful recovery but I'm certain that our bodies will eventually reach some homeostasis given its "continuous healing" components. 
Lets keep going✌🏼</t>
        </is>
      </c>
      <c r="D1645" t="n">
        <v>1</v>
      </c>
      <c r="E1645" t="n">
        <v>11</v>
      </c>
      <c r="F1645">
        <f>HYPERLINK("https://www.reddit.com/r/COVID19positive/comments/gwqckq/statins_and_high_blood_pressure_meds/")</f>
        <v/>
      </c>
      <c r="G1645" t="inlineStr">
        <is>
          <t>2020-06-04 14:11:52</t>
        </is>
      </c>
      <c r="H1645" t="inlineStr">
        <is>
          <t>Presumed Positive - From Doctor</t>
        </is>
      </c>
    </row>
    <row r="1646">
      <c r="A1646" t="inlineStr">
        <is>
          <t>gwrysi</t>
        </is>
      </c>
      <c r="B1646" t="inlineStr">
        <is>
          <t>Dad positive &amp;amp; in ICU with Covid viral pneumonia</t>
        </is>
      </c>
      <c r="C1646" t="inlineStr">
        <is>
          <t>Hi. Wow, where to start. First to say I’m happy that I found this subreddit. 
Two weeks ago I got the call no one wants. My dad tested positive. He’s 74 and has diabetes, just had a watchman put in his heart, and asthma. Talk about underlying conditions...He had a 103 fever, cough, sore throat. After testing positive at the hospital with a rapid test, they send him home. 
Two days later, my mom is picking up an oximeter and she starts to get chills. She checks my dad’s oxygen when she gets home and it’s 94%. A family friend says a hospital an hour away will give the anti-viral Remdesivir to covid positive patients. She puts my dad in the car and goes. 
There, she tests positive. They take my dad to another room. After doing an EKG, they release my mom. She waits in the car for three hours for them to finally release my dad. They won’t even let her use the restroom in the hospital in those 3 hours. 
Two days after that, my dad’s oxygen is reading 89-92%. My mom decides to take him back to the original hospital. They admit him and he now has novel covid viral pneumonia. The doctor is pretty frank with us— no extra oxygen needed right now but he will. So then it begins. First 1 liter every minute. They ask my dad if he’d like plasma from recovered patients or Remdesivir. They recommend plasma, so he chooses plasma. A day goes by. More liters of oxygen. He stops calling and texting because he’s too weak. Now our only way of knowing how he is are through the amazing nurses and doctors. Good news though, my mom hasn’t had a fever in a few days.
Another day— I guess the plasma isn’t working. More oxygen. Still not working, so now let’s go with Remdesivir. It should show improvement on the 3rd day of the dose. It’s the 2nd day of the dose and now he’s on a bigger oxygen machine with 60 liters every minute. We get to FaceTime him for the first time. It’s so good to see him but sad to see someone full of life just two weeks ago now kind of out of it. They try an IL6 inhibitor. Furiously googling what that means. His d-dimer is off the charts. Googling what that means. And then the call— he took a turn for the worse and he’s being moved to ICU.
Now it’s two weeks after Dad tested positive. My mom is almost fully recovered. He’s in the ICU. The Intensive Care Doctor is honest with us. His lungs are bad. White sacs everywhere. He’s at the max settings of 100% oxygen with a new machine. If his oxygen saturation still goes down, he will need to be intubated. My dad tells the doctor he doesn’t want it. She tells him if he needs it and refuses, he’ll die. My mom says it’s okay to do it if they need to. My dad tells the nurse he’s scared. Tells her to pray for him and to not let him die. 
I’m trying to be strong for my family and put on a strong face to family and friends— praying and hoping for the best! but I am at a loss. I don’t know what to do. I wait and worry all day...It’s not that I’m not hoping for the best. It’s just for two weeks I have and every phone call is bad. 
Amidst all the worry and sadness, I also have a lot of anger. Anger about a country that thinks this thing is magically gone. Because I know what the news says about these critical cases— “Underlying conditions.” If it wasn’t for Covid-19, my dad would be walking me down the aisle in two weeks WITH diabetes, WITH a heart condition, WITH asthma. 
I don’t know what I am really trying to say here...if there’s anyone else going through this or having gone through it, I literally know how you feel. And if you could let me know, because I wish I knew how to get through this.</t>
        </is>
      </c>
      <c r="D1646" t="n">
        <v>1</v>
      </c>
      <c r="E1646" t="n">
        <v>52</v>
      </c>
      <c r="F1646">
        <f>HYPERLINK("https://www.reddit.com/r/COVID19positive/comments/gwrysi/dad_positive_in_icu_with_covid_viral_pneumonia/")</f>
        <v/>
      </c>
      <c r="G1646" t="inlineStr">
        <is>
          <t>2020-06-04 15:36:32</t>
        </is>
      </c>
      <c r="H1646" t="inlineStr">
        <is>
          <t>Tested Positive - Family</t>
        </is>
      </c>
    </row>
    <row r="1647">
      <c r="A1647" t="inlineStr">
        <is>
          <t>gws8tw</t>
        </is>
      </c>
      <c r="B1647" t="inlineStr">
        <is>
          <t>My Experience with COVID</t>
        </is>
      </c>
      <c r="C1647" t="inlineStr">
        <is>
          <t>I am a Doctor and there was already plenty of exposure for me and my colleagues and most of us ended up being positive. Heres my experience and the medicines I took.
Day 1 First major symptom, Fever. I had a feeling of something in my throat for last 2-3 days but it didn't catch my attention.
Day 2: Took panadol and went to Hospital in the morning feeling fine and then went to do Emergency at night. Midnight I noticed major cramping in my legs. Thought it was due to dehydration as I was fasting during the day and drank plenty of water and did ER till morning 8am and felt very tired during that.
Day 3: Slept for almost entire day and woke up with fever around 100-101 and severe sorethroat, body aches and severe diarrhea.
Day 4: Woke up with Severe eye irritation, redness,tearing and fever. Went to hospital and got tested, was very tired after coming back from hospital, slept again for 8-10hrs and again woke up with fever, sorethroat body aches and diarrhea
Day 5. got report and found out I was positive. That day i felt much better symptomwise and thought i was recovering.
Day 6-7. Mild fever, eye reddness and diarrhea. Felt much better.
Day 8 Worst day symptomwise. Developed high grade fever. Joint pain, Tinnitus (Ringing in ears) Loss of taste and smell and little bit out of breath after walking. Also started sneezing like crazy. 
Day 9-10 Similar symptoms with intermittent fever and headache. It was a total mess for these 3 days and I literally couldn't get out of bed except for going to bathroom.
Day 11No more diarrhea. mild intermittent fever joint pain resolved but still fatigued.
Day 12-13. Finally felt like i was recovering. Mild fever only at night and No taste and smell. Decided to get tested again.
Day 14-15 Finally got the report and Tested -ve.
Today Still after 3 weeks I haven't gotten my taste and smell back and fatigue although much better is still lingering around and if I work too much I feel really tired afterwards. My brain also feels foggy and I don't feel fresh at all.
Main Symptoms: Sorethroat,Fever, Myalgias,joint pain and headache, Eye Irritation, Diarrhea. I had no cough and very Little Shortness of breath. 
Medications: Panadol every 6 hours.
Azomax (Azithromycin) 500mg first day then 250mg for next 4 days
Ebastine 10mg Once daily
Vitamin D 100000IU ampule Orally with milk.
Surbez Z (Multivitamin with Zinc)
Tamiflu(Oseltamivir) 75mg Twice daily
Breathing exercises (You can look these up on Youtube)
Senna Herbal Tea and Steam 
Fruits and lot of water and ORS
These 12-13 days were really hard being in isolation and consistently feeling feverish. But as with any viral illness you just have to wait and let it pass. Anxiety can really cause problems so try to stay as much calm as possible. Drinking fluids and Senna(Known as Sanna makki in my area) really helped my sore throat. I would like to say I feel 70-80% better but there's still this brain fog and lack of taste and smell which I think will be back by another week or two fingers crossed. 
Hope this helps u guys. Stay Home Stay Safe.</t>
        </is>
      </c>
      <c r="D1647" t="n">
        <v>1</v>
      </c>
      <c r="E1647" t="n">
        <v>40</v>
      </c>
      <c r="F1647">
        <f>HYPERLINK("https://www.reddit.com/r/COVID19positive/comments/gws8tw/my_experience_with_covid/")</f>
        <v/>
      </c>
      <c r="G1647" t="inlineStr">
        <is>
          <t>2020-06-04 15:51:31</t>
        </is>
      </c>
      <c r="H1647" t="inlineStr">
        <is>
          <t>Tested Positive - Me</t>
        </is>
      </c>
    </row>
    <row r="1648">
      <c r="A1648" t="inlineStr">
        <is>
          <t>gwsyzs</t>
        </is>
      </c>
      <c r="B1648" t="inlineStr">
        <is>
          <t>my stepfather is in the hospital on life support and the doctors said he tested positive and he has a pneumonia. his ventilator is on the highest level.</t>
        </is>
      </c>
      <c r="C1648" t="inlineStr">
        <is>
          <t>okay my stepdad dont believe in the virus and he stayed with us but he stayed in a different room. as he was coming in and out my mom didnt feel safe and told him to stay in a room by himself until the virus things hopefully goes away. my stepdad dad is a drinker. he didnt care for the virus and he would mock us because we would tell him to wash his hands and wear a mask. my mom would tell him to dont touch the dog and he wouldnt listen. my mom never went near him. we all stay in separate rooms. 
&amp;amp;#x200B;
a few months ago (april 9th) i got diagnosed with pneumonia and i was told i tested positive based off the ct chest scan. i went on time before the pnemonia got worse. almost two months later i feel better. 20 days after my pnemonia went away i was able to get tested for covid-19. i tested negative. i took a antibody testing a few weeks later. i tested negative. so basically i dont have it. 
&amp;amp;#x200B;
last night i knew something was wrong. he was sweating. he was complaining that his back was hurting. he was vomitting. i tol him last night he should go to the ER. my gut feeling knew something was wrong. the family dog was acting weird last night crying for no reason. so something didnt feel right. then this morning i woke up. i saw him stumbling trying to walk. he was breathing really really hard. he told me he is hungry and asked if i could make him something. dispite all those symtoms hunger was one he was having. he was shaking uncontrollably. i made him food and told him to go t the ER fast. 
&amp;amp;#x200B;
one hour ago i got off the phone with the doctor. i know doctor cares but i feel as if he was too negative in his thinking. nothing he told me was positive. the doctor said his oxygen level is on the highest level on the ventilator. he's on life support and the pneumonia is bad. the doctor said he dont know if he will make it. 
&amp;amp;#x200B;
my mom has the choice now. either to pull the plug or not. the doctor said my mom has to decide and she started crying. the doctor said they are trying there best to save him and since there isnt no cure he's not sure if he will make it.. the doctor asked about my past niagnosis and after i told him about my pneumonia he said i had the virus and i told him i recovered and the swap test and antibody test shows both negative 
&amp;amp;#x200B;
im depressed because i dont wanna lose my stepfather. to lose someone close is the hardest thing and i know lots of people have lost loved ones due to the virus but im not prepared for the pain and sadness thats gonna come if something bad happens. on top of that my mother is elderly and even though we all live in the same house and we kept our distance it makes me think if i have or she has it or my brother. this virus was so close to home. im shocked right now. i dont know what to do.</t>
        </is>
      </c>
      <c r="D1648" t="n">
        <v>1</v>
      </c>
      <c r="E1648" t="n">
        <v>12</v>
      </c>
      <c r="F1648">
        <f>HYPERLINK("https://www.reddit.com/r/COVID19positive/comments/gwsyzs/my_stepfather_is_in_the_hospital_on_life_support/")</f>
        <v/>
      </c>
      <c r="G1648" t="inlineStr">
        <is>
          <t>2020-06-04 16:31:12</t>
        </is>
      </c>
      <c r="H1648" t="inlineStr">
        <is>
          <t>Tested Positive - Family</t>
        </is>
      </c>
    </row>
    <row r="1649">
      <c r="A1649" t="inlineStr">
        <is>
          <t>gwu4b5</t>
        </is>
      </c>
      <c r="B1649" t="inlineStr">
        <is>
          <t>I tested positive on April 13 &amp;amp; still having symptoms.</t>
        </is>
      </c>
      <c r="C1649" t="inlineStr">
        <is>
          <t>Hey guys. I just wanted to post my experience with COVID. I had no previous health conditions. 25 y/o female. 
I started feeling symptoms the last week of March and by the first week of April, I became worried. I was always nervous about getting sick and tried my best to stay indoors as much as possible. I wasn’t working anymore so I was able to stay home and stay away from outside except food shopping. My first real symptom was horrible headaches that wouldn’t go away. I didn’t think much of it because I didn’t know it was a symptom and I have always gotten horrible migraines in general. I’d take my migraine pills but nothing seemed to help. Shortly after I began having a cough that wouldn’t go away. This is when I became worried and started searching my area for testing sites. This was extremely stressful because things were so insane and my boyfriend was not believing me. My family thought it might’ve been in my head since I am one to worry often. My fever was never too high. I believe the highest it went to was 100.1 and that was just for a few hours. No chills and no serious symptoms just a lot of worry. Finally I got tested and the result was positive. I couldn’t stop crying and didn’t know what to do. I did my 14 days quarantine and it was so scary. The news kept mentioning how worse it was getting and I was so scared. During this time I began feeling slight chest pressure and it would keep me up at night. I had horrible heart palpitations and my heart was racing out my chest. I hated every moment of it. Finally things began looking up towards the end and I was so much better. I made sure to eat healthy and drink a lot of water. I kept away from anything cold and cold showers because I worried they would lead to pneumonia (I’m not a doctor it’s just something I always believed in). When I was feeling like myself again, I decided to go out with my live in boyfriend to run errands. My cough came back that same day and it went back down hill. It sucks that I feel like maybe if I would’ve just stayed inside a bit longer I wouldn’t be feeling this aftermath now. I am trying my best not to blame myself but I can’t help to think “what if.”
Today: I have slight chest pressure that is better some days that others. My cough comes and goes. I run out of breath speaking and exercising. I have some neck and shoulder soreness. Whenever I am near a fan or AC I get a sore throat and cough. Some nights I wake up with a fast heart rate and like I skipped a breath. 
I’ve gotten blood work and chest x rays. Both come clear and doctors say it’s inflammation. I visited a cardiologist who ran an echo test that was also clear. It scares me so much and even worse there’s no one I can speak to about it. I feel helpless and try to stay hopeful that I can one day return to my healthy self. I am not taking any medicines but am eating healthy and drinking a lot of water. 
I pray we all overcomes this. Thank you all.</t>
        </is>
      </c>
      <c r="D1649" t="n">
        <v>1</v>
      </c>
      <c r="E1649" t="n">
        <v>23</v>
      </c>
      <c r="F1649">
        <f>HYPERLINK("https://www.reddit.com/r/COVID19positive/comments/gwu4b5/i_tested_positive_on_april_13_still_having/")</f>
        <v/>
      </c>
      <c r="G1649" t="inlineStr">
        <is>
          <t>2020-06-04 17:38:26</t>
        </is>
      </c>
      <c r="H1649" t="inlineStr">
        <is>
          <t>Tested Positive - Me</t>
        </is>
      </c>
    </row>
    <row r="1650">
      <c r="A1650" t="inlineStr">
        <is>
          <t>gwuh8x</t>
        </is>
      </c>
      <c r="B1650" t="inlineStr">
        <is>
          <t>Recovering from COVID and Nightshades</t>
        </is>
      </c>
      <c r="C1650" t="inlineStr">
        <is>
          <t>I am 28 days out from being sick with COVID. I was a pretty minor case where I lost my smell and taste, had diarrhea and constipation, dizziness and fatigue. No upper respiratory infection lucky, but everything else knocked me on my butt. 
Since I am in recovery still, I have removed processed sugar from my diet since that causes my dizzy spells and fatigue to flare up again. I’m on a whole food plant based diet for the most part, and that has helped a ton in keeping the flare ups of fatigue and dizziness at bay. 
Another thing I have noticed is that when I eat eggplant or potatoes is that I get a flare up of fatigue, and the only thing I can think of is that these two things are in the nightshade family and for some people that is inflammatory. I hope this isn’t the case since I love potatoes, tomatoes, and peppers. 
I was wondering if anyone else has had similar symptoms with eating nightshade vegetables?</t>
        </is>
      </c>
      <c r="D1650" t="n">
        <v>1</v>
      </c>
      <c r="E1650" t="n">
        <v>18</v>
      </c>
      <c r="F1650">
        <f>HYPERLINK("https://www.reddit.com/r/COVID19positive/comments/gwuh8x/recovering_from_covid_and_nightshades/")</f>
        <v/>
      </c>
      <c r="G1650" t="inlineStr">
        <is>
          <t>2020-06-04 18:00:42</t>
        </is>
      </c>
      <c r="H1650" t="inlineStr">
        <is>
          <t>Presumed Positive - From Doctor</t>
        </is>
      </c>
    </row>
    <row r="1651">
      <c r="A1651" t="inlineStr">
        <is>
          <t>gwzpij</t>
        </is>
      </c>
      <c r="B1651" t="inlineStr">
        <is>
          <t>Another long-termer negative for IgG</t>
        </is>
      </c>
      <c r="C1651" t="inlineStr">
        <is>
          <t>Just thought I'd add to the chorus of long-termers here negative for antibodies. 
My husband and I got ill with Covid in early March.  He had flu-like symptoms for the first week, and then mild symptoms for the next 5 weeks (coughing/sneezing, some chest pains and a mild temp). He tested positive for IGG antibodies.
I had more serious symptoms than his that lasted a full 6.5 weeks (painful deep breathing that felt like fire in my lungs, massive headaches, hallucinations, chest pains, cough, fever).  I tested NEGATIVE for antibodies.
We were definitely both sick with Covid, and we both took the Abbott test.  
I plan to get an IgM test next week and will report back with those results.</t>
        </is>
      </c>
      <c r="D1651" t="n">
        <v>1</v>
      </c>
      <c r="E1651" t="n">
        <v>6</v>
      </c>
      <c r="F1651">
        <f>HYPERLINK("https://www.reddit.com/r/COVID19positive/comments/gwzpij/another_longtermer_negative_for_igg/")</f>
        <v/>
      </c>
      <c r="G1651" t="inlineStr">
        <is>
          <t>2020-06-05 00:06:44</t>
        </is>
      </c>
      <c r="H1651" t="inlineStr">
        <is>
          <t>Tested Positive - Family</t>
        </is>
      </c>
    </row>
    <row r="1652">
      <c r="A1652" t="inlineStr">
        <is>
          <t>gx0pch</t>
        </is>
      </c>
      <c r="B1652" t="inlineStr">
        <is>
          <t>Could our long term symptoms be due to vasculitis?</t>
        </is>
      </c>
      <c r="C1652" t="inlineStr">
        <is>
          <t>I noticed long term sufferers have all/most of the symptoms that indicated vasculitis (inflammation of the blood vessels or micro blood vessels in several parts of the body). Can you put this forward to your doctor and get tests done for it?</t>
        </is>
      </c>
      <c r="D1652" t="n">
        <v>1</v>
      </c>
      <c r="E1652" t="n">
        <v>14</v>
      </c>
      <c r="F1652">
        <f>HYPERLINK("https://www.reddit.com/r/COVID19positive/comments/gx0pch/could_our_long_term_symptoms_be_due_to_vasculitis/")</f>
        <v/>
      </c>
      <c r="G1652" t="inlineStr">
        <is>
          <t>2020-06-05 01:31:36</t>
        </is>
      </c>
      <c r="H1652" t="inlineStr">
        <is>
          <t>Presumed Positive - From Doctor</t>
        </is>
      </c>
    </row>
    <row r="1653">
      <c r="A1653" t="inlineStr">
        <is>
          <t>gx2162</t>
        </is>
      </c>
      <c r="B1653" t="inlineStr">
        <is>
          <t>Update, think I'm finally over the worst of it</t>
        </is>
      </c>
      <c r="C1653" t="inlineStr">
        <is>
          <t>Thursday May 28, 2020. During the evening I went out for walk in order to purchase groceries for the family and I. That night I started to smell a very faint smell in my noise, best way to describe it is a chemical one like bleach or nail polish cleaner that burning sensation you get after cleaning a bathroom with bleach and not wearing a mask. 
The following morning on Friday May 29, 2020 I felt sluggish and this smell increased to the point where it was driving me crazy. 
It was not until Saturday morning of May 30, 2020 that I knew something was not right, my head was pounding, I now had a fever and this chemical smell in my nose was so bad I lost all sense of smell. I could no longer taste food as well. 
Sunday May 30, 2020 spent most of the day in bed covering my nose trying to keep smell away, I think I am going crazy, family says they do not smell it, but it is so strong. 
Monday June 1, 2020 sent work an email taking week off to heal 
Tuesday June 2, 2020 in bed most of the day, eyes hurt to move, tears wont stop coming out, fever is high, drinking lots of water. Nose is running. last two days where nightmare, felt like I was dying. Slept most of the days away, fever still high, will go to ER if it does not go down
Wednesday June 3, 2020, fever finally broke feel good. Can smell a little bit and chemical smell is not as strong. Very hard to eat food, everything has strange taste, example chocolate cannot taste sweet part of it, only taste back up flavors and bitterness, toothpaste is this disgusting thing, I understand why they make it so sweet now. 
Thursday June 4, 2020 last night was scary I almost went to the ER, I thought I was getting better, so I started to lax up a little bit. It was hard to breath, and coughs hurt a lot. I started spiting into a bottle to prevent mucus build up in lungs. Sister purchase humidifier for me, still cannot eat. 
Friday June 5, 2020, I can breathe a little better today, still feel like I cannot take in a deep breath, but the mucus is less now. Spitting in bottle, having humidifier on and taking ibuprofen has helped a lot. I am sleeping most of the day away, but I think its manageable now. Hoping it does not get any worse. 
I highly recommend doing breathing exercises and staying moving, worst thing you can do is lose lung capacity, try not to swallow saliva or mucus and instead spit it into a bottle. Will update in a week, hoping for best.</t>
        </is>
      </c>
      <c r="D1653" t="n">
        <v>1</v>
      </c>
      <c r="E1653" t="n">
        <v>2</v>
      </c>
      <c r="F1653">
        <f>HYPERLINK("https://www.reddit.com/r/COVID19positive/comments/gx2162/update_think_im_finally_over_the_worst_of_it/")</f>
        <v/>
      </c>
      <c r="G1653" t="inlineStr">
        <is>
          <t>2020-06-05 03:27:57</t>
        </is>
      </c>
      <c r="H1653" t="inlineStr">
        <is>
          <t>Tested Positive - Me</t>
        </is>
      </c>
    </row>
    <row r="1654">
      <c r="A1654" t="inlineStr">
        <is>
          <t>gx2aj1</t>
        </is>
      </c>
      <c r="B1654" t="inlineStr">
        <is>
          <t>My case</t>
        </is>
      </c>
      <c r="C1654" t="inlineStr">
        <is>
          <t>I am a 19 year old female and my only underlying condition is obesity. I am otherwise healthy. I have had covid for around a week now. My symptoms at first were a just a weird feeling of being unwell, like something had come over me. My throat hurt for a while and then went away. The fatigue and constant weakness and tiredness gave it away as well. Then I lost my smell and taste which was a huge blow to my mental health because I am used to comforting myself with food. I have lost 10 pounds due to the fact I cannot taste anything. Now, on day 8, I can get whiffs of the spices and candles I try to smell but that's about it. My breathing is what sent me into panic mode. I noticed a change in my breathing at the beginning and my doctor prescribed me an albuterol sulfate inhaler which does help. I have had a fluctuating fever every day but it never goes above 99.6. I also have diarhhea. Every so often I will get dizzy or just feel really weird in my head. I have had so much trouble sleeping that I cannot sleep unless it's during the day and everyone else is awake. This virus has taken a toll on my mental health. My mind is the main part of all of this; I feel like I will never get better but then half of me is telling myself it's just a little worse than the flu, and when it's over, it's over. Then I read stories on here about people that have had it for months and that freaks me out even more because I thought I was supposed to have it for 2 weeks maximum. My symptoms aren't that bad it's just the mental toll. I also had to tell my friends because I was around them whenever I had it and didn't know and now I feel like they will never want to see me again. Honestly I just want my smell and taste back if anything. If anyone can offer some advice or comfort that would be awesome. I want to hear from people that are completely recovered and tell me when you got your smell and taste back. I just need reassurance that this won't last forever. Any feedback is appreciated.</t>
        </is>
      </c>
      <c r="D1654" t="n">
        <v>1</v>
      </c>
      <c r="E1654" t="n">
        <v>2</v>
      </c>
      <c r="F1654">
        <f>HYPERLINK("https://www.reddit.com/r/COVID19positive/comments/gx2aj1/my_case/")</f>
        <v/>
      </c>
      <c r="G1654" t="inlineStr">
        <is>
          <t>2020-06-05 03:49:42</t>
        </is>
      </c>
      <c r="H1654" t="inlineStr">
        <is>
          <t>Tested Positive</t>
        </is>
      </c>
    </row>
    <row r="1655">
      <c r="A1655" t="inlineStr">
        <is>
          <t>gx2q19</t>
        </is>
      </c>
      <c r="B1655" t="inlineStr">
        <is>
          <t>Sense of smell and taste declining with COVID-19</t>
        </is>
      </c>
      <c r="C1655" t="inlineStr">
        <is>
          <t>Thanks to those of you who responded- really helpful. Anyone else had smell and taste in decline for 2 months with COVID and recovered? Want to hear more of your experiences
I lost my sense of smell and taste to some degree on April 2nd. figured it was Covid, stayed home for 7 weeks until May 18.  In April, Some days I improved so much, I thought recovery was in a matter of days.  Other days, smell and taste more muted.  Crazy roller coaster and I now have anxiety.  Since May, sense of smell and taste has been declining.  Was tested week of May 18 and was given covid positive result - even after 7 weeks.  Not sure why it seems sense of smell and taste are worsening since May.  Has anyone gone through this where they worsened in terms of smell and taste so radically from 1 month to the next?!  Any feedback would be appreciated</t>
        </is>
      </c>
      <c r="D1655" t="n">
        <v>1</v>
      </c>
      <c r="E1655" t="n">
        <v>8</v>
      </c>
      <c r="F1655">
        <f>HYPERLINK("https://www.reddit.com/r/COVID19positive/comments/gx2q19/sense_of_smell_and_taste_declining_with_covid19/")</f>
        <v/>
      </c>
      <c r="G1655" t="inlineStr">
        <is>
          <t>2020-06-05 04:24:14</t>
        </is>
      </c>
      <c r="H1655" t="inlineStr">
        <is>
          <t>Tested Positive - Me</t>
        </is>
      </c>
    </row>
    <row r="1656">
      <c r="A1656" t="inlineStr">
        <is>
          <t>gx40a6</t>
        </is>
      </c>
      <c r="B1656" t="inlineStr">
        <is>
          <t>Positive cases leaving the house?</t>
        </is>
      </c>
      <c r="C1656" t="inlineStr">
        <is>
          <t>Hi! It’s almost been a week since I tested positive, and I’m fortunate enough to have a mild case of it. I’m taking care of myself as best I can, and my doctor is hopeful that I’ll be able to fight it off and be back to work soon. 
I live with my father and brother. My father is also positive. He felt a little sick last week but we wouldn’t have even known about it if I hadn’t been tested routinely at work. My brother is negative. 
My question is, our local health department recommends total quarantine, but my dad insists that I’d be able to leave the house, go drive to pick up food somewhere, and take walks around the block. I’ve told him a number of times that our DOH told us to totally quarantine ourselves, though we’ve been doing things in and outside of the house (like cleaning). 
Leaving the house for anything else is completely irresponsible, right? Like I feel like I’ve tried to tell him that I don’t feel comfortable going anywhere for now because I’m still feeling under the weather, but he insists that I can just leave since we’re not REALLY coming in to contact with anybody.</t>
        </is>
      </c>
      <c r="D1656" t="n">
        <v>1</v>
      </c>
      <c r="E1656" t="n">
        <v>29</v>
      </c>
      <c r="F1656">
        <f>HYPERLINK("https://www.reddit.com/r/COVID19positive/comments/gx40a6/positive_cases_leaving_the_house/")</f>
        <v/>
      </c>
      <c r="G1656" t="inlineStr">
        <is>
          <t>2020-06-05 05:53:10</t>
        </is>
      </c>
      <c r="H1656" t="inlineStr">
        <is>
          <t>Tested Positive - Me</t>
        </is>
      </c>
    </row>
    <row r="1657">
      <c r="A1657" t="inlineStr">
        <is>
          <t>gx46fp</t>
        </is>
      </c>
      <c r="B1657" t="inlineStr">
        <is>
          <t>What Now???</t>
        </is>
      </c>
      <c r="C1657" t="inlineStr">
        <is>
          <t>I’ve been almost back to normal and have been pushing myself the last couple days physically. I’ve been sick since mid March. Yesterday I overdid it and when I realized I needed to rest (I get a sore throat before I relapse) I had to make dinner for my family. Anyways today I woke up with body aches and pain and just feeling extremely tired. I haven’t had this ever with covid! It actually reminds me of when I had Lyme disease several years ago. I’m hoping its not a strange foray into more and new symptoms but just a different kind of relapse. Has anyone had the body aches 3 months in?</t>
        </is>
      </c>
      <c r="D1657" t="n">
        <v>1</v>
      </c>
      <c r="E1657" t="n">
        <v>11</v>
      </c>
      <c r="F1657">
        <f>HYPERLINK("https://www.reddit.com/r/COVID19positive/comments/gx46fp/what_now/")</f>
        <v/>
      </c>
      <c r="G1657" t="inlineStr">
        <is>
          <t>2020-06-05 06:03:46</t>
        </is>
      </c>
      <c r="H1657" t="inlineStr">
        <is>
          <t>Presumed Positive - From Doctor</t>
        </is>
      </c>
    </row>
    <row r="1658">
      <c r="A1658" t="inlineStr">
        <is>
          <t>gx4txw</t>
        </is>
      </c>
      <c r="B1658" t="inlineStr">
        <is>
          <t>Long Termers with SOB and/or elevated HR - Has anyone been able to get a chest CT recently ?</t>
        </is>
      </c>
      <c r="C1658" t="inlineStr">
        <is>
          <t>Have any long termers with SOB and/or elevated HR/Tachycardia been able to get a chest CT in the recent weeks ?  
I have been SOB (in varying degrees - with few days without it) since almost 13 weeks now.   Tested negative for COVID in week 9 and positive for antibodies in week 11.  I got an Xray in week 12 which came clear.  Met a pulmonologist yesterday and he wants to do a breathing test before ordering a CAT scan.</t>
        </is>
      </c>
      <c r="D1658" t="n">
        <v>1</v>
      </c>
      <c r="E1658" t="n">
        <v>19</v>
      </c>
      <c r="F1658">
        <f>HYPERLINK("https://www.reddit.com/r/COVID19positive/comments/gx4txw/long_termers_with_sob_andor_elevated_hr_has/")</f>
        <v/>
      </c>
      <c r="G1658" t="inlineStr">
        <is>
          <t>2020-06-05 06:44:10</t>
        </is>
      </c>
      <c r="H1658" t="inlineStr">
        <is>
          <t>Tested Positive - Me</t>
        </is>
      </c>
    </row>
    <row r="1659">
      <c r="A1659" t="inlineStr">
        <is>
          <t>gx6w76</t>
        </is>
      </c>
      <c r="B1659" t="inlineStr">
        <is>
          <t>102 year old Aunt died</t>
        </is>
      </c>
      <c r="C1659" t="inlineStr">
        <is>
          <t>Hey all - just thought I’d post here since I want to say it on some platform. My 102 year old great-Aunt died yesterday (who was healthy and still walking - it’s a very long lived family). Alone. In a hospital. She was infected with covid-19 about 10ish days ago in a Michigan nursing home. A lot to unpack - she lived a long healthy life. I’m a little annoyed that my local family didn’t take her out of the nursing home after they all quarantined for 2 weeks. I’m frustrated that the Michigan Governor seems to just mindlessly copied Cuomo at ever turn - including putting nursing home residents at risk. I’m sad about the loss of that generation- she was the last sibling of that generation still alive and the last connection to my grandpa’s childhood/upbringing during the Great Depression. But mostly bummed she died alone in a hospital. And that I won’t see her again.</t>
        </is>
      </c>
      <c r="D1659" t="n">
        <v>2</v>
      </c>
      <c r="E1659" t="n">
        <v>28</v>
      </c>
      <c r="F1659">
        <f>HYPERLINK("https://www.reddit.com/r/COVID19positive/comments/gx6w76/102_year_old_aunt_died/")</f>
        <v/>
      </c>
      <c r="G1659" t="inlineStr">
        <is>
          <t>2020-06-05 08:39:33</t>
        </is>
      </c>
      <c r="H1659" t="inlineStr">
        <is>
          <t>Tested Positive - Family</t>
        </is>
      </c>
    </row>
    <row r="1660">
      <c r="A1660" t="inlineStr">
        <is>
          <t>gx6x41</t>
        </is>
      </c>
      <c r="B1660" t="inlineStr">
        <is>
          <t>Will it actually go away</t>
        </is>
      </c>
      <c r="C1660" t="inlineStr">
        <is>
          <t>My chest tightness will completely be gone for a few days then comes back worse than before a lot of my other symptoms have calmed down or maybe I’m just very use to them, but I can’t get use to the chest tightness it’s too much.
Anyone else experiencing this?</t>
        </is>
      </c>
      <c r="D1660" t="n">
        <v>1</v>
      </c>
      <c r="E1660" t="n">
        <v>4</v>
      </c>
      <c r="F1660">
        <f>HYPERLINK("https://www.reddit.com/r/COVID19positive/comments/gx6x41/will_it_actually_go_away/")</f>
        <v/>
      </c>
      <c r="G1660" t="inlineStr">
        <is>
          <t>2020-06-05 08:40:56</t>
        </is>
      </c>
      <c r="H1660" t="inlineStr">
        <is>
          <t>Presumed Positive - From Doctor</t>
        </is>
      </c>
    </row>
    <row r="1661">
      <c r="A1661" t="inlineStr">
        <is>
          <t>gx7hbr</t>
        </is>
      </c>
      <c r="B1661" t="inlineStr">
        <is>
          <t>False Negative?</t>
        </is>
      </c>
      <c r="C1661" t="inlineStr">
        <is>
          <t>Hey guys, so I had all the symptoms under the sun. Started with swollen lymph nodes, then fever, shivering uncontrollably, chills, sharp joint pains and body aches, headache. Went and got tested the next morning for strep, was negative, then swabbed for covid19 (I heard the swab is less accurate when done immediately upon initial symptoms?). Also I feel she didn't stick it far enough back in my nose? That day i had a headache still, extreme fatigue so I slept the whole day, and diahrrea. Day 3 and I now have the dry cough, nodes are not as swollen but had a migraine last night. Still tired. Anyway I asked them for additional testing. Has anyone else had this happen, got tested again and came back positive?</t>
        </is>
      </c>
      <c r="D1661" t="n">
        <v>1</v>
      </c>
      <c r="E1661" t="n">
        <v>2</v>
      </c>
      <c r="F1661">
        <f>HYPERLINK("https://www.reddit.com/r/COVID19positive/comments/gx7hbr/false_negative/")</f>
        <v/>
      </c>
      <c r="G1661" t="inlineStr">
        <is>
          <t>2020-06-05 09:11:14</t>
        </is>
      </c>
      <c r="H1661" t="inlineStr">
        <is>
          <t>Presumed Positive - From Doctor</t>
        </is>
      </c>
    </row>
    <row r="1662">
      <c r="A1662" t="inlineStr">
        <is>
          <t>gx7t7q</t>
        </is>
      </c>
      <c r="B1662" t="inlineStr">
        <is>
          <t>Negative antibody test after three months of being sick?</t>
        </is>
      </c>
      <c r="C1662" t="inlineStr">
        <is>
          <t>I just received my antibody blood test for COVID, and it was negative. HOw is that possible? I have been sick since early March and I had my antibody test at the end of April, and my doctor told me that my antibody test is negative. I gave another blood test today because a whole month has passed so it might be I have not recovered well enough to produce antibodies? And my doctor says usually,  patients develop antibodies after two weeks to one month of this virus, but I do not think it might be true with this virus? 
Has anyone else tested negative for the antibodies as well as the swab?</t>
        </is>
      </c>
      <c r="D1662" t="n">
        <v>1</v>
      </c>
      <c r="E1662" t="n">
        <v>22</v>
      </c>
      <c r="F1662">
        <f>HYPERLINK("https://www.reddit.com/r/COVID19positive/comments/gx7t7q/negative_antibody_test_after_three_months_of/")</f>
        <v/>
      </c>
      <c r="G1662" t="inlineStr">
        <is>
          <t>2020-06-05 09:29:12</t>
        </is>
      </c>
      <c r="H1662" t="inlineStr">
        <is>
          <t>Presumed Positive - From Doctor</t>
        </is>
      </c>
    </row>
    <row r="1663">
      <c r="A1663" t="inlineStr">
        <is>
          <t>gx8gks</t>
        </is>
      </c>
      <c r="B1663" t="inlineStr">
        <is>
          <t>Day 13 Upper Abdominal Pain?</t>
        </is>
      </c>
      <c r="C1663" t="inlineStr">
        <is>
          <t>Hey Reddit,
So I'm on day 13 with COVID-19, and for the past few days, I've had this uncomfortable abdominal pain in my epigastric (upper abdomen area). I thought I had indigestion, but today I woke up with the pain, which I became concerned about. It feels like someone is pushing on my stomach all day. It's not too bad, but its definitely uncomfortable. When I try to press down on the area, the pain gets stronger. I was wondering if anyone was experiencing this? I'm on day 13, so I was hoping I was recovering, but it seems otherwise.</t>
        </is>
      </c>
      <c r="D1663" t="n">
        <v>1</v>
      </c>
      <c r="E1663" t="n">
        <v>8</v>
      </c>
      <c r="F1663">
        <f>HYPERLINK("https://www.reddit.com/r/COVID19positive/comments/gx8gks/day_13_upper_abdominal_pain/")</f>
        <v/>
      </c>
      <c r="G1663" t="inlineStr">
        <is>
          <t>2020-06-05 10:03:23</t>
        </is>
      </c>
      <c r="H1663" t="inlineStr">
        <is>
          <t>Tested Positive - Me</t>
        </is>
      </c>
    </row>
    <row r="1664">
      <c r="A1664" t="inlineStr">
        <is>
          <t>gx8msw</t>
        </is>
      </c>
      <c r="B1664" t="inlineStr">
        <is>
          <t>Covid Positive after 2.5 months</t>
        </is>
      </c>
      <c r="C1664" t="inlineStr">
        <is>
          <t>I recently tested positive for Covid after 10 weeks of my initial symptoms. I’ve also tested positive for antibodies TWICE. I live with 3 other family members and we are not careful at all about how we social distance without each other. Nobody has gotten sick and nobody has tested positive for antibodies or covid. I honesty don’t think I’ve ever been contagious for this virus and can provide more context into that if needed. My grandmother is experiencing a similar thing and is preventing us from seeing her. At this point I think we should be able to visit her after she’s been positive for nearly 6 weeks. 
I want to reiterate I have had no symptoms and have not infected anybody else that I know of. I spent a weekend at my friends shore house and nobody got sick. Why aren’t major news outlets talking about this occurrence? The Korean cdc did a study that showed that people who test positive without symptoms are not contagious but even that didn’t get any major news coverage.</t>
        </is>
      </c>
      <c r="D1664" t="n">
        <v>1</v>
      </c>
      <c r="E1664" t="n">
        <v>12</v>
      </c>
      <c r="F1664">
        <f>HYPERLINK("https://www.reddit.com/r/COVID19positive/comments/gx8msw/covid_positive_after_25_months/")</f>
        <v/>
      </c>
      <c r="G1664" t="inlineStr">
        <is>
          <t>2020-06-05 10:12:22</t>
        </is>
      </c>
      <c r="H1664" t="inlineStr">
        <is>
          <t>Tested Positive - Me</t>
        </is>
      </c>
    </row>
    <row r="1665">
      <c r="A1665" t="inlineStr">
        <is>
          <t>gx9o72</t>
        </is>
      </c>
      <c r="B1665" t="inlineStr">
        <is>
          <t>GI Issues and Joint pain?</t>
        </is>
      </c>
      <c r="C1665" t="inlineStr">
        <is>
          <t>Is anybody still dealing with joint pain and GI issues? I am 2.5 months into this terrible saga and these two symptoms are lingering and driving me mad. Every joint in my body hurts and I experience random bouts of diarrhea several times a week. For reference, I first contracted the virus mid-March and got every other symptom but coughing and fever.(Im positive for the antibody) I am healthy 31/f (I do have some form of arthritis and had childhood asthma) I feel like my body still on overdrive mode. This sucks!</t>
        </is>
      </c>
      <c r="D1665" t="n">
        <v>1</v>
      </c>
      <c r="E1665" t="n">
        <v>25</v>
      </c>
      <c r="F1665">
        <f>HYPERLINK("https://www.reddit.com/r/COVID19positive/comments/gx9o72/gi_issues_and_joint_pain/")</f>
        <v/>
      </c>
      <c r="G1665" t="inlineStr">
        <is>
          <t>2020-06-05 11:07:01</t>
        </is>
      </c>
      <c r="H1665" t="inlineStr">
        <is>
          <t>Tested Positive - Me</t>
        </is>
      </c>
    </row>
    <row r="1666">
      <c r="A1666" t="inlineStr">
        <is>
          <t>gxa15q</t>
        </is>
      </c>
      <c r="B1666" t="inlineStr">
        <is>
          <t>Dad recently diagnosed with COVID</t>
        </is>
      </c>
      <c r="C1666" t="inlineStr">
        <is>
          <t>My Dad was recently diagnosed with COVID-19 and I don't know what to do. He's currently in the hospital and has some underlying condition(diabetes). He often wants to video chat, but I don't like seeing him in the hospital in pain. He also could have potentially exposed my grandmother, aunt and great-aunt(who just had a major surgery). Two of them have other health issues. I don't know if this is right place to ask, but how do I support them/my dad during this time while keeping my own sanity?</t>
        </is>
      </c>
      <c r="D1666" t="n">
        <v>2</v>
      </c>
      <c r="E1666" t="n">
        <v>4</v>
      </c>
      <c r="F1666">
        <f>HYPERLINK("https://www.reddit.com/r/COVID19positive/comments/gxa15q/dad_recently_diagnosed_with_covid/")</f>
        <v/>
      </c>
      <c r="G1666" t="inlineStr">
        <is>
          <t>2020-06-05 11:26:26</t>
        </is>
      </c>
      <c r="H1666" t="inlineStr">
        <is>
          <t>Tested Positive - Family</t>
        </is>
      </c>
    </row>
    <row r="1667">
      <c r="A1667" t="inlineStr">
        <is>
          <t>gxa7a6</t>
        </is>
      </c>
      <c r="B1667" t="inlineStr">
        <is>
          <t>Symptoms for 3 months. At this point, I'm convinced it is life-long complications.</t>
        </is>
      </c>
      <c r="C1667" t="inlineStr">
        <is>
          <t>Sick since mid-march.  No longer actively infected, but still have symptoms.  Been on multiple antibiotics, inhalers, steroids, which all did nothing.  Been to the hospital 4 times since infection.
Horrible fatigue but unable to sleep more than 4 hours at a time.  Constant headaches, chest pain, and shortness of breath.  Elevated heart rate and lowish o2 levels at random times during the day.
People in my family think I'm making it all up.  I guess this is just life now.  I still can't return to work or do anything that requires any bit of attention.  Money is all gone at this point and no help from the government as they are all convinced the pandemic is over or that it was never real in the first place.  Ready to just ignore all my bills and let everything go to collections.  Medical staff all baffled and acting like they've never seen anyone with issues for this long.
Mental health has gone down the toilet and constantly battling thoughts of suicide.  I know this is selfish and I know others have to deal with far worse, but this is zero quality of life, and having this be all there is for the remainder of my lifetime is just unfathomable.</t>
        </is>
      </c>
      <c r="D1667" t="n">
        <v>1</v>
      </c>
      <c r="E1667" t="n">
        <v>2</v>
      </c>
      <c r="F1667">
        <f>HYPERLINK("https://www.reddit.com/r/COVID19positive/comments/gxa7a6/symptoms_for_3_months_at_this_point_im_convinced/")</f>
        <v/>
      </c>
      <c r="G1667" t="inlineStr">
        <is>
          <t>2020-06-05 11:35:25</t>
        </is>
      </c>
      <c r="H1667" t="inlineStr">
        <is>
          <t>Tested Positive - Me</t>
        </is>
      </c>
    </row>
    <row r="1668">
      <c r="A1668" t="inlineStr">
        <is>
          <t>gxcdgb</t>
        </is>
      </c>
      <c r="B1668" t="inlineStr">
        <is>
          <t>Weird Covid Timeline</t>
        </is>
      </c>
      <c r="C1668" t="inlineStr">
        <is>
          <t>Hi everyone, 
&amp;amp;#x200B;
I spent a week in NYC in mid-march, two days after I came back to Brazil on March 16, I had the first symptoms. So here's my weird timeline that I didn't understand until I found out about this subreddit.
&amp;amp;#x200B;
* March 14 - I arrived in Brazil
* March 16 - First symptoms (short of breath and eventual coughs)
* March 17 - I went to the Hospital. The Doctor said it could be Covid-19 but the protocol had changed and they only tested the worst cases. He sent me back home and told me to take Tylenol and only go back to the hospital if the symptoms got worse.
* March 18 -23 - Short of breath, headaches, low fever, and a lot of joint pains too.
* Around March 20 - I noticed that my sense of smell had vanished.
* April 22 -  Short of breath got worse. I Went back to the hospital and finally got tested. RT-PCR positive, a small stain on my lung but both IgG and IgM were negative. The Doctor gave me a lot of antibiotics for 10 days and I got a little better and then got back to where I was: shorts of breath and eventual coughs only when I talked.
* May 22 - I got tested again since the shorts of breath didn't get any better. And, again, both IgG and IgM were negative.
So here I am, on June 5, still with shortness of breath and eventual coughs. 
This timeline is crazy. Almost 3 months and I don't get any better. 
My wife, stepdaughter, and my children haven´t shown any symptoms. 
&amp;amp;#x200B;
This RT-PCR positive and IgG/IgM negative (twice) is really strange. Anyone else had an experience like that?</t>
        </is>
      </c>
      <c r="D1668" t="n">
        <v>1</v>
      </c>
      <c r="E1668" t="n">
        <v>11</v>
      </c>
      <c r="F1668">
        <f>HYPERLINK("https://www.reddit.com/r/COVID19positive/comments/gxcdgb/weird_covid_timeline/")</f>
        <v/>
      </c>
      <c r="G1668" t="inlineStr">
        <is>
          <t>2020-06-05 13:27:52</t>
        </is>
      </c>
      <c r="H1668" t="inlineStr">
        <is>
          <t>Tested Positive - Me</t>
        </is>
      </c>
    </row>
    <row r="1669">
      <c r="A1669" t="inlineStr">
        <is>
          <t>gxcjen</t>
        </is>
      </c>
      <c r="B1669" t="inlineStr">
        <is>
          <t>They thought it was fake news. - Venting.</t>
        </is>
      </c>
      <c r="C1669" t="inlineStr">
        <is>
          <t>I’m so angry right now. My fiancé’s family thought all of this was fake news. Especially the mom. Slowly, she started to take it more seriously, but she still thought it was fake. 
And then her company decided to open back up and she went back to work (she didn’t have too much choice in the matter tbh, but she didn’t throw a stink over it.)
Well. She caught it and spread it to her husband. Then, because no one in that family covers their damn mouths, the kids have it too. 
And now I just got word that my father-in-law is in the hospital due to lung issues. He’s having trouble breathing now. 
I’m so sad and angry. And I hope he’ll be ok. Please tell your family members from a me that none of this is a joke. Just because things reopened up doesn’t mean it’s safe. 
And now my fiancé is at the hospital with his dad putting himself at risk. Now I’ve got to worry about him too, but how the heck am I supposed to tell him that he needs to please protect his health too without sounding like a absolute jerk.</t>
        </is>
      </c>
      <c r="D1669" t="n">
        <v>1</v>
      </c>
      <c r="E1669" t="n">
        <v>44</v>
      </c>
      <c r="F1669">
        <f>HYPERLINK("https://www.reddit.com/r/COVID19positive/comments/gxcjen/they_thought_it_was_fake_news_venting/")</f>
        <v/>
      </c>
      <c r="G1669" t="inlineStr">
        <is>
          <t>2020-06-05 13:36:27</t>
        </is>
      </c>
      <c r="H1669" t="inlineStr">
        <is>
          <t>Tested Positive - Family</t>
        </is>
      </c>
    </row>
    <row r="1670">
      <c r="A1670" t="inlineStr">
        <is>
          <t>gxcqaf</t>
        </is>
      </c>
      <c r="B1670" t="inlineStr">
        <is>
          <t>i went to the hospital today to see my stepdad. but i was afraid to see him. i only stood in the waiting room for a few hours crying. his kidneys and liver is failing.</t>
        </is>
      </c>
      <c r="C1670" t="inlineStr">
        <is>
          <t>they only allow one person to visit per day. so today i went. tomorrow my mom will go. the doctors said my stepdad has bad pneumonia. his liver and kidneys are failing and its not likely he will make it. the doctor suggested i should start making arrangements. the doctor suggested that i get tested again so today i took two test. the swab and the antibody testing. tomorrow my mother will get tested for the same. im now waiting for my results. the doctor told me they have a vaccine they testing but it cant be used on my step father because his kidney and liver is failing.
 it hurts so bad knowing that i may never see him again. last night i was crying so much so i had to call the suicide hotline to speak to someone. i can't fathom a world without him. when you lose a family member thats the hardest. today i was at the doctors office getting tested and i broke down crying. 
&amp;amp;#x200B;
my stepdad had a pneumonia and he didnt know. he mistaken it and thought it was nothing. he got help too late. we told him to go to the ER and he always refused. ill be honest with you. my stepdad didnt care about his life. he was already going through depression because he lost his mother. so he was a drinker. he didnt care about his life but i did. my mother did. i feel like we are the ones that are left with the pain. if he would have cared about his life he would of stopped drinking and took the virus more seriously. he would always mock us. he would pretend like he was sick and then laugh when we came to him asking if he was okay. yeah he might sound dumn and bad but only we knew why he was like this. my step dad would say stupid things like the virus dont want him because he drinks. i tried to explain that the virus dont care if hes a drinker or not or his skin color. its still dangerous. my step dad lost his mother and he was using liquor to cope with the pain. we understood why he was the way he was. 
&amp;amp;#x200B;
 i didnt know he was positive. in our apartment we all kept our distance. but im afraid for my mother and my brother and myself. my father kept touching the dog as well. my mother would tell him to dont go near the dog. he put our lives in danger because he was careless with his. im kinda angry but i still love him. i was the last one to see him. i knew it in his face how scared he was when he couldnt breath and he knew what he had. that scared look on his face will always be indented in my memory.</t>
        </is>
      </c>
      <c r="D1670" t="n">
        <v>1</v>
      </c>
      <c r="E1670" t="n">
        <v>19</v>
      </c>
      <c r="F1670">
        <f>HYPERLINK("https://www.reddit.com/r/COVID19positive/comments/gxcqaf/i_went_to_the_hospital_today_to_see_my_stepdad/")</f>
        <v/>
      </c>
      <c r="G1670" t="inlineStr">
        <is>
          <t>2020-06-05 13:46:42</t>
        </is>
      </c>
      <c r="H1670" t="inlineStr">
        <is>
          <t>Tested Positive - Family</t>
        </is>
      </c>
    </row>
    <row r="1671">
      <c r="A1671" t="inlineStr">
        <is>
          <t>gxdgqu</t>
        </is>
      </c>
      <c r="B1671" t="inlineStr">
        <is>
          <t>Tested positive today after 77 days from the first symptom</t>
        </is>
      </c>
      <c r="C1671" t="inlineStr">
        <is>
          <t>I am 21, male and fit, I don’t know who to talk to, I am both scared and worried... The first symptom showed March 20, I had high fever (over 38°C, peak at around 38.5ºC) for 3 days, low fever for another 3/4 (~37.4ºC) and lost taste and smell for about another 7/10 days during which I had a little cough but fortunately nothing to be worried about and no breathing issues. After that it was completely gone, I was and I am PERFECTLY FINE. Even when I was ill, I spoke to the doctor, I took paracetamol when fever was high but I was rather good, I did flues that struck me harder than this. My country was at the highest peak of new daily cases and tests were reserved only to severe cases so I was not able to be tested. Last week to be sure I had covid I did an antibody test which resulted positive, yesterday I did the test and today came back positive after 77 days from the first symptom, I think this might be a record! I am worried because I quarantined myself for about 50 days but after that I saw my girlfriend, she’s fine for now but who knows! Has anyone had a similar experience?</t>
        </is>
      </c>
      <c r="D1671" t="n">
        <v>1</v>
      </c>
      <c r="E1671" t="n">
        <v>33</v>
      </c>
      <c r="F1671">
        <f>HYPERLINK("https://www.reddit.com/r/COVID19positive/comments/gxdgqu/tested_positive_today_after_77_days_from_the/")</f>
        <v/>
      </c>
      <c r="G1671" t="inlineStr">
        <is>
          <t>2020-06-05 14:26:18</t>
        </is>
      </c>
      <c r="H1671" t="inlineStr">
        <is>
          <t>Tested Positive - Me</t>
        </is>
      </c>
    </row>
    <row r="1672">
      <c r="A1672" t="inlineStr">
        <is>
          <t>gxf4rs</t>
        </is>
      </c>
      <c r="B1672" t="inlineStr">
        <is>
          <t>Loss of taste/smell</t>
        </is>
      </c>
      <c r="C1672" t="inlineStr">
        <is>
          <t>For those who have lost the ability to taste or smell and have recovered, how long did it take for your senses to return? Or how long has it been since you have been symptom free waiting for your senses to return?
I got my test taken on 6/1, the same day I started showing symptoms. By 6/3, the day my test came back positive, my sense of smell/ taste was already diminishing, and by 6/4 it was gone completely.</t>
        </is>
      </c>
      <c r="D1672" t="n">
        <v>1</v>
      </c>
      <c r="E1672" t="n">
        <v>7</v>
      </c>
      <c r="F1672">
        <f>HYPERLINK("https://www.reddit.com/r/COVID19positive/comments/gxf4rs/loss_of_tastesmell/")</f>
        <v/>
      </c>
      <c r="G1672" t="inlineStr">
        <is>
          <t>2020-06-05 16:00:19</t>
        </is>
      </c>
      <c r="H1672" t="inlineStr">
        <is>
          <t>Tested Positive - Me</t>
        </is>
      </c>
    </row>
    <row r="1673">
      <c r="A1673" t="inlineStr">
        <is>
          <t>gxg416</t>
        </is>
      </c>
      <c r="B1673" t="inlineStr">
        <is>
          <t>Feeling Better on day 3?</t>
        </is>
      </c>
      <c r="C1673" t="inlineStr">
        <is>
          <t>On June 2nd, I (M18) had a fever of 103.5 F throughout the night and chills beyond believe. Throughout the next day the fever died down to a 100 and later in the evening it completely disappeared. Got tested and positive result. On June 5th, today, second day without a fever but now i have shortness of breath and chest discomfort. Weird pattern of symptoms. Understood that I am very early into this illness but just wondering if anyone had anything similar?? Overall I feel better but worried it will come back again sometime soon.</t>
        </is>
      </c>
      <c r="D1673" t="n">
        <v>1</v>
      </c>
      <c r="E1673" t="n">
        <v>8</v>
      </c>
      <c r="F1673">
        <f>HYPERLINK("https://www.reddit.com/r/COVID19positive/comments/gxg416/feeling_better_on_day_3/")</f>
        <v/>
      </c>
      <c r="G1673" t="inlineStr">
        <is>
          <t>2020-06-05 16:56:40</t>
        </is>
      </c>
      <c r="H1673" t="inlineStr">
        <is>
          <t>Tested Positive - Me</t>
        </is>
      </c>
    </row>
    <row r="1674">
      <c r="A1674" t="inlineStr">
        <is>
          <t>gxhesz</t>
        </is>
      </c>
      <c r="B1674" t="inlineStr">
        <is>
          <t>Long Termer Tested Negative For IgG Antibodies</t>
        </is>
      </c>
      <c r="C1674" t="inlineStr">
        <is>
          <t>Some background, I'm a healthy/athletic 28M who started to feel symptoms in the middle of March this year. Like many other long-termers on this sub, it has been a rollercoaster of good weeks and bad weeks. Last week I finally gave in and got an antibody test done at Quest Diagnostics (IgG test). Based off of how long I had waited to get the test done (it had been about 9 weeks at this time), I was sure that it would come back positive. Nope. Doctor's office called and notified me that it had come back negative.
What does this mean? This is the second time I've gotten a negative test back (first being the PCR) and makes me believe that either these tests are a waste of time or that my body is not fighting this thing properly. Am I susceptible of getting more sick the more I'm around Covid (grocery stores, ect.)?
I plan on demanding a CT scan for my lungs this week, as well as a D-Dimer test for any potential clotting.</t>
        </is>
      </c>
      <c r="D1674" t="n">
        <v>1</v>
      </c>
      <c r="E1674" t="n">
        <v>22</v>
      </c>
      <c r="F1674">
        <f>HYPERLINK("https://www.reddit.com/r/COVID19positive/comments/gxhesz/long_termer_tested_negative_for_igg_antibodies/")</f>
        <v/>
      </c>
      <c r="G1674" t="inlineStr">
        <is>
          <t>2020-06-05 18:15:41</t>
        </is>
      </c>
      <c r="H1674" t="inlineStr">
        <is>
          <t>Presumed Positive - From Doctor</t>
        </is>
      </c>
    </row>
    <row r="1675">
      <c r="A1675" t="inlineStr">
        <is>
          <t>gxhl0r</t>
        </is>
      </c>
      <c r="B1675" t="inlineStr">
        <is>
          <t>Tested positive</t>
        </is>
      </c>
      <c r="C1675" t="inlineStr">
        <is>
          <t>So yesterday I found out I was positive for covid-19 (30F).
My Symptoms started Sunday night May 31st
With a slight headache and fever of 100.6
Headache lasted a couple of days and Tylenol and Ibuprofen worked for fever but not headache.
My symptoms have mostly consisted of Fever, chills and loss of smell.
Yesterday I started coughing a little.
Another symptom I just noticed is that it hurts to take a deep breath but I'm still able to be breathe normally without any problems.
Has anyone had pain when breathing deeply?</t>
        </is>
      </c>
      <c r="D1675" t="n">
        <v>1</v>
      </c>
      <c r="E1675" t="n">
        <v>20</v>
      </c>
      <c r="F1675">
        <f>HYPERLINK("https://www.reddit.com/r/COVID19positive/comments/gxhl0r/tested_positive/")</f>
        <v/>
      </c>
      <c r="G1675" t="inlineStr">
        <is>
          <t>2020-06-05 18:26:36</t>
        </is>
      </c>
      <c r="H1675" t="inlineStr">
        <is>
          <t>Tested Positive - Me</t>
        </is>
      </c>
    </row>
    <row r="1676">
      <c r="A1676" t="inlineStr">
        <is>
          <t>gxi3d8</t>
        </is>
      </c>
      <c r="B1676" t="inlineStr">
        <is>
          <t>I tested positive, my wife came back negative.</t>
        </is>
      </c>
      <c r="C1676" t="inlineStr">
        <is>
          <t>Neither myself, my wife or two kids are showing any symptoms. I went to get retested today and while I understand that a false positive is pretty much out of the question, I guess I’m just hoping.
Hearing my wife tested negative felt great. I felt like maybe her and our kids may have a chance of not getting covid, so I’m holding on strong to staying positive with that assumption.
Anyone get a false positive? The nurses pretty much said sorry but if you were positive, you have it. Plain and simple.
Again, completely asymptomatic thus far.
Hope you’re all well and feeling the best you can.</t>
        </is>
      </c>
      <c r="D1676" t="n">
        <v>1</v>
      </c>
      <c r="E1676" t="n">
        <v>5</v>
      </c>
      <c r="F1676">
        <f>HYPERLINK("https://www.reddit.com/r/COVID19positive/comments/gxi3d8/i_tested_positive_my_wife_came_back_negative/")</f>
        <v/>
      </c>
      <c r="G1676" t="inlineStr">
        <is>
          <t>2020-06-05 18:59:14</t>
        </is>
      </c>
      <c r="H1676" t="inlineStr">
        <is>
          <t>Tested Positive</t>
        </is>
      </c>
    </row>
    <row r="1677">
      <c r="A1677" t="inlineStr">
        <is>
          <t>gxinr3</t>
        </is>
      </c>
      <c r="B1677" t="inlineStr">
        <is>
          <t>My lung capacity is garbage after covid lol</t>
        </is>
      </c>
      <c r="C1677" t="inlineStr">
        <is>
          <t>I got COVID in late March and recovered by April 6 or so. I had flu like symptoms plus loss of taste/smell etc. I didn't have breathing troubles, which surprised me bc I'm asthmatic. 
However now I'm trying to get back into running after being sick (+ 2 months of excuses. It's hard to fall off the wagon) and my lung capacity is SHOT
Don't get me wrong I wasn't the best at breathing before COVID, but I've never felt my chest tighten like this. It's going to take a lot to recondition.</t>
        </is>
      </c>
      <c r="D1677" t="n">
        <v>1</v>
      </c>
      <c r="E1677" t="n">
        <v>20</v>
      </c>
      <c r="F1677">
        <f>HYPERLINK("https://www.reddit.com/r/COVID19positive/comments/gxinr3/my_lung_capacity_is_garbage_after_covid_lol/")</f>
        <v/>
      </c>
      <c r="G1677" t="inlineStr">
        <is>
          <t>2020-06-05 19:35:07</t>
        </is>
      </c>
      <c r="H1677" t="inlineStr">
        <is>
          <t>Tested Positive</t>
        </is>
      </c>
    </row>
    <row r="1678">
      <c r="A1678" t="inlineStr">
        <is>
          <t>gxjace</t>
        </is>
      </c>
      <c r="B1678" t="inlineStr">
        <is>
          <t>Questions</t>
        </is>
      </c>
      <c r="C1678" t="inlineStr">
        <is>
          <t>Hello! I took a covid test on 5/30, I wasn’t having any symptoms but I wanted to make sure I was negative before I went back to work. On 6/1 I started experiencing chest tightness and a bit of a cough so I got kind of scared. On 6/2 I got a call that my results were negative so I got pretty happy but I was still having the same chest tightness and cough so I stayed away, my brother had gotten really sick and he got tested (6/1) so I wanted to wait to hear his results. Finally today (6/5) he got a call that his results were positive. I’m assuming I’m positive now so I went back for another test but I just wanna see what I should be expecting for the next two weeks? I haven’t had a fever and all I’ve experienced was chest tightness the first two days and a cough. The chest tightness has gone away now and I only have a small cough and a slight headache. Anyone have any recommendations? I’m staying quarantined and I should get my test results in 4-7 days</t>
        </is>
      </c>
      <c r="D1678" t="n">
        <v>1</v>
      </c>
      <c r="E1678" t="n">
        <v>4</v>
      </c>
      <c r="F1678">
        <f>HYPERLINK("https://www.reddit.com/r/COVID19positive/comments/gxjace/questions/")</f>
        <v/>
      </c>
      <c r="G1678" t="inlineStr">
        <is>
          <t>2020-06-05 20:15:38</t>
        </is>
      </c>
      <c r="H1678" t="inlineStr">
        <is>
          <t>Tested Positive - Family</t>
        </is>
      </c>
    </row>
    <row r="1679">
      <c r="A1679" t="inlineStr">
        <is>
          <t>gxl1oh</t>
        </is>
      </c>
      <c r="B1679" t="inlineStr">
        <is>
          <t>I just want to vent about how mentally tiring this thing is</t>
        </is>
      </c>
      <c r="C1679" t="inlineStr">
        <is>
          <t>My family and I started with symptoms 17 days ago. We were scared, not only because this thing is new and unknown, but also because we thought my parents were at risk given their physical condition (almost 60, both with high blood pressure) The first week was hard, and we share a lot of the symptoms (cough, headache, lost of smell and taste, etc) but as the days have passed, we have all been feeling much better. I even got some monetary help from someone on Reddit, which I will forever treasure and appreciate, as things are really hard on my country right now.
Fast forward to today, and I just realized how exhausting this thing has been. I've been told that we should be safe as we never presented any serious symptoms during the last 17 days. However, every time someone coughs, every time someone says "my head hurts" or "I feel tired," all I can do is to get scared to shit about things getting worst. My heart rate goes crazy, I get all sweaty and nervous. I just can't relax anymore and you have to add that I was also infected, so I have to deal with my body not healing completely and also with the stress of thinking the worst things possible. Even a single cough puts me at my worst.
I even had nightmares about taking my mom into the hospital and not having any luck with it. I wake up crying and during the day I cry as well, waiting until this real life nightmare is finally over one day.
As I write this, I feel awful thinking that something serious can happen to my family, even when we are all feeling much better as days pass. I hope it doesn't bother anyone that I just used this platform to vent myself. I hope things go back to normal soon, as I don't know if I will able to stand another day of this.</t>
        </is>
      </c>
      <c r="D1679" t="n">
        <v>1</v>
      </c>
      <c r="E1679" t="n">
        <v>45</v>
      </c>
      <c r="F1679">
        <f>HYPERLINK("https://www.reddit.com/r/COVID19positive/comments/gxl1oh/i_just_want_to_vent_about_how_mentally_tiring/")</f>
        <v/>
      </c>
      <c r="G1679" t="inlineStr">
        <is>
          <t>2020-06-05 22:22:14</t>
        </is>
      </c>
      <c r="H1679" t="inlineStr">
        <is>
          <t>Tested Positive</t>
        </is>
      </c>
    </row>
    <row r="1680">
      <c r="A1680" t="inlineStr">
        <is>
          <t>gxndzf</t>
        </is>
      </c>
      <c r="B1680" t="inlineStr">
        <is>
          <t>What is working for me.</t>
        </is>
      </c>
      <c r="C1680" t="inlineStr">
        <is>
          <t>A bit of background on my (m28) situation.
I first got it in mid-march and have been suffering ever since in intervals. The original symptoms I got were mild and I was able to work all of the way through until my first recovery. 
Not knowing anything about how exertion affect the body after Covid I went ahead and quickly resumed my workout schedule which triggered a relapse. I have since had a couple more relapses, each coming after me attempting to resume exercising. Symptoms of the relapses include feeling my heart beating constantly as if I just stopped running, headaches and general tiredness (napping during the day a lot). Also my sense of smell has only returned to about 20% of what it used to be and seems to have plateaued. Can't smell burnt bacon or cleaning chemicals. Also after the last relapse I started having heart aches. I guess the muscle was just starting to get tired after working overtime for so long, or perhaps the immune system started attacking the heart. Who knows. 
Either way, this is not the first time I am having a long recovery after a viral infection. A couple of years back I got sick and spent two years coughing, presumably from a wonky autoimmune reaction. I went to about 7 different doctors during those 2 years and got 8 different diagnoses. Also all blood work was coming back normal and x-rays were showing no signs of strangeness either.
In the end I switched my diet and life habit to become super healthy (very few carbs, few inflammatory foods, exercising 3 times/week). This lessened the chronic cough to some extent but never resolved it fully. What finally did fix it was when I started taking something called "4Life Factor Transfer". This somehow transfers the immunity from cows through their milk in the form of these powder tablets. Honestly I cannot say exactly how they work, but I got recommended them by someone who was suffering from cancer and apparently in that community the supplement is known for improving the immunity. Long story short this did the trick for me and my chronic cough went to near 0. 
**Getting back to my Covid recovery:**
Some of the symptoms I was getting did seem similar to what I had experienced before so I did start taking the supplement again when I first got sick. As mentioned before my recovery was speedy (15 days) and I was able to do HIIT classes about a month after first getting sick. 
Once I got better I stopped taking the supplement (it simply ran out and I did not bother purchasing more) but looking back this might have been a mistake. Now, 13 weeks in I started taking the supplement again (I am taking 4 capsules per day of the "Classic" variant) and my symptoms have quickly faded to near zero within 4 days. 
From my experience with my chronic cough and now Covid there seems to be something in these milk tablets that regulates an overactive immune system. Again, not telling anyone what they should do, just retelling what seems to be doing the trick for me. A couple of days ago I was going to bed thinking this might actually kill me, today I woke up feeling 95% normal. There could be confounding factors here that I am not taking into account, but I can tell that nothing in my diet has changed, and my routine has been constant over the last month.</t>
        </is>
      </c>
      <c r="D1680" t="n">
        <v>1</v>
      </c>
      <c r="E1680" t="n">
        <v>9</v>
      </c>
      <c r="F1680">
        <f>HYPERLINK("https://www.reddit.com/r/COVID19positive/comments/gxndzf/what_is_working_for_me/")</f>
        <v/>
      </c>
      <c r="G1680" t="inlineStr">
        <is>
          <t>2020-06-06 01:48:38</t>
        </is>
      </c>
      <c r="H1680" t="inlineStr">
        <is>
          <t>Tested Positive - Me</t>
        </is>
      </c>
    </row>
    <row r="1681">
      <c r="A1681" t="inlineStr">
        <is>
          <t>gxqy1t</t>
        </is>
      </c>
      <c r="B1681" t="inlineStr">
        <is>
          <t>Cannabis and covid</t>
        </is>
      </c>
      <c r="C1681" t="inlineStr">
        <is>
          <t>I am a long termer dealing with what I think is the inflammatory part of this virus.  Approaching the 12th week or so and at about 80% for the last few weeks.  Still have rashes on bottoms of hands and feet.  GI is still wonky.  Still have trouble sleeping.  Still have minor tachycardia.  Still lack appetite.  Also inflammation and joint pain.
It seems like a little herb could alleviate some of these symptoms.  I luckily got over the lung thing early.  I haven't had the desire to smoke or consume recently but wonder if anyone else has found it useful in recovery or a detriment to recovery?</t>
        </is>
      </c>
      <c r="D1681" t="n">
        <v>1</v>
      </c>
      <c r="E1681" t="n">
        <v>14</v>
      </c>
      <c r="F1681">
        <f>HYPERLINK("https://www.reddit.com/r/COVID19positive/comments/gxqy1t/cannabis_and_covid/")</f>
        <v/>
      </c>
      <c r="G1681" t="inlineStr">
        <is>
          <t>2020-06-06 06:25:41</t>
        </is>
      </c>
      <c r="H1681" t="inlineStr">
        <is>
          <t>Presumed Positive - From Doctor</t>
        </is>
      </c>
    </row>
    <row r="1682">
      <c r="A1682" t="inlineStr">
        <is>
          <t>gxrbjy</t>
        </is>
      </c>
      <c r="B1682" t="inlineStr">
        <is>
          <t>Quick question</t>
        </is>
      </c>
      <c r="C1682" t="inlineStr">
        <is>
          <t>I have a question that I don’t know if it’s going to make me sound stupid but I’m going to ask anyway 😂
If I no longer actively have the virus but am still symptomatic is there a still a chance my symptoms can deteriorate and I can become more unwell? 
Thanks</t>
        </is>
      </c>
      <c r="D1682" t="n">
        <v>1</v>
      </c>
      <c r="E1682" t="n">
        <v>0</v>
      </c>
      <c r="F1682">
        <f>HYPERLINK("https://www.reddit.com/r/COVID19positive/comments/gxrbjy/quick_question/")</f>
        <v/>
      </c>
      <c r="G1682" t="inlineStr">
        <is>
          <t>2020-06-06 06:49:32</t>
        </is>
      </c>
      <c r="H1682" t="inlineStr">
        <is>
          <t>Tested Positive - Me</t>
        </is>
      </c>
    </row>
    <row r="1683">
      <c r="A1683" t="inlineStr">
        <is>
          <t>gxsg65</t>
        </is>
      </c>
      <c r="B1683" t="inlineStr">
        <is>
          <t>Help needed</t>
        </is>
      </c>
      <c r="C1683" t="inlineStr">
        <is>
          <t>Okay, I’m not COVID positive but I’m getting worried.
3 weeks ago I got tested for COVID-19, I tested negative and came back to work. Last week to today we’ve had so far 5 employees test positive. One of them was a close co-worker and we would eat breakfast and lunch together along with working together. Since Sunday, I’ve been feeling like crap.
My taste and smell, completely gone since Sunday evening. I’m having fevers every now and then, not constant though. Cough occasionally, what really gets me is I’m having major fatigue. I feel like crap because of it. 
Do y’all think there’s a good chance I have it? Should I go get re-tested? I’m in a bind because if I leave work, my store manager is by himself and I would much rather not piss my district manager off.</t>
        </is>
      </c>
      <c r="D1683" t="n">
        <v>1</v>
      </c>
      <c r="E1683" t="n">
        <v>18</v>
      </c>
      <c r="F1683">
        <f>HYPERLINK("https://www.reddit.com/r/COVID19positive/comments/gxsg65/help_needed/")</f>
        <v/>
      </c>
      <c r="G1683" t="inlineStr">
        <is>
          <t>2020-06-06 07:57:16</t>
        </is>
      </c>
      <c r="H1683" t="inlineStr">
        <is>
          <t>Tested Positive - Friends</t>
        </is>
      </c>
    </row>
    <row r="1684">
      <c r="A1684" t="inlineStr">
        <is>
          <t>gxsm9l</t>
        </is>
      </c>
      <c r="B1684" t="inlineStr">
        <is>
          <t>Diaphragm tightness</t>
        </is>
      </c>
      <c r="C1684" t="inlineStr">
        <is>
          <t>I am on day 32. I realized in the am that when I wake up and feel like I can’t get a good inhale that it isn’t my chest or lungs, it’s more my diaphragm / right above my stomach. Anyone else?? I had a chest x Ray yesterday and it came back perfectly clear. My oxygen is perfect. Not sure how to get that to be better. My last symptom.</t>
        </is>
      </c>
      <c r="D1684" t="n">
        <v>1</v>
      </c>
      <c r="E1684" t="n">
        <v>12</v>
      </c>
      <c r="F1684">
        <f>HYPERLINK("https://www.reddit.com/r/COVID19positive/comments/gxsm9l/diaphragm_tightness/")</f>
        <v/>
      </c>
      <c r="G1684" t="inlineStr">
        <is>
          <t>2020-06-06 08:06:42</t>
        </is>
      </c>
      <c r="H1684" t="inlineStr">
        <is>
          <t>Tested Positive - Me</t>
        </is>
      </c>
    </row>
    <row r="1685">
      <c r="A1685" t="inlineStr">
        <is>
          <t>gxsn0h</t>
        </is>
      </c>
      <c r="B1685" t="inlineStr">
        <is>
          <t>Tingling in hands and feet?</t>
        </is>
      </c>
      <c r="C1685" t="inlineStr">
        <is>
          <t>Had a relapse recently and noticed what I thought might be light tingling in my hands and feet. Seemed like it was only here and there that I would feel it, so I didn't think much of it.
Well, skip to last night and both my feet feel like pins and needles. Later on, I feel a slight tingling in my right hand as well. Freaky.
From what I have gathered, it may be the product of inflammation near the spinal cord or micro clots in the extremities. I've on day 75 now so it's weird that I'm just getting this now. Anyone have have any thoughts/similar experiences?</t>
        </is>
      </c>
      <c r="D1685" t="n">
        <v>1</v>
      </c>
      <c r="E1685" t="n">
        <v>23</v>
      </c>
      <c r="F1685">
        <f>HYPERLINK("https://www.reddit.com/r/COVID19positive/comments/gxsn0h/tingling_in_hands_and_feet/")</f>
        <v/>
      </c>
      <c r="G1685" t="inlineStr">
        <is>
          <t>2020-06-06 08:07:53</t>
        </is>
      </c>
      <c r="H1685" t="inlineStr">
        <is>
          <t>Presumed Positive - From Doctor</t>
        </is>
      </c>
    </row>
    <row r="1686">
      <c r="A1686" t="inlineStr">
        <is>
          <t>gxt45e</t>
        </is>
      </c>
      <c r="B1686" t="inlineStr">
        <is>
          <t>Loosing my mind, please help.</t>
        </is>
      </c>
      <c r="C1686" t="inlineStr">
        <is>
          <t>So, as the title suggests, i am on the very brink of loosing it. I am 25m.
Apology for the cluttered texts but i am very scared as i am writing this down. 
My father got tested on Tuesday (2nd of June) and got his reports on Thursday (4th of June) and he tested positive. He’s still asymptomatic as of today with his vitals still good and no inflammation whatsoever.
So, here’s a bit of a backstory.
My father had a urinary bladder related surgery two weeks ago (23rd of June), surgery went well and he was recovering well and all, but he complained that he was feeling some burning sensation every time he peed so we took him back to the doctor a couple of times every now and then. So, he drove to the hospitals ER again on Tuesday (2nd June) and was admitted for UTI and was tested for the same and was also tested for covid (common procedure here for anyone getting admitted to any hospital)
Now, my mother is an ovarian cancer patient and has been fighting it for quite some time, 5 years to be exact. She was planned for a gastric reduction surgery (cancerous cyst) this Tuesday (2nd of June) so my mother and i got admitted to the hospital on Monday (1st of June), the doctors suggested she gets tested for covid-19 before they perform a surgery, so we got her tested on Saturday (30th May) which came out negative so they did the surgery as planned and we were at the hospital till yesterday (5th of June) and then I got her discharged and brought her home to quarantine till we get tested.
Now, my father is in a covid specific hospital since I couldn’t bring him home as i just can’t take care of both my mother and father as they are both in need of some great deal of care, be it covid or not.
So, what i am worried about is if my mother and I are covid positive or not. We’ll get tested on this coming Monday (8th of June) since our last contact with my father was on this Monday (1st of June), making it a complete week since the last contact.
Ever since my father tested positive i have been checking both my mothers and my temperature, spo2 levels and heart rate every 2 hours and we are both healthy at the moment. We’re also taking vitamin C, vitamin D, multivitamins and zinc.
All i want to know is what are the chances that my father passed on the virus to us? since it’s been quite some time from when we made our last contact with my father and we’re still pretty healthy at the moment, my mother being a very high risk patient would need very high attention from the get go which scares me to death.
What do i do now?</t>
        </is>
      </c>
      <c r="D1686" t="n">
        <v>1</v>
      </c>
      <c r="E1686" t="n">
        <v>6</v>
      </c>
      <c r="F1686">
        <f>HYPERLINK("https://www.reddit.com/r/COVID19positive/comments/gxt45e/loosing_my_mind_please_help/")</f>
        <v/>
      </c>
      <c r="G1686" t="inlineStr">
        <is>
          <t>2020-06-06 08:35:29</t>
        </is>
      </c>
      <c r="H1686" t="inlineStr">
        <is>
          <t>Tested Positive - Family</t>
        </is>
      </c>
    </row>
    <row r="1687">
      <c r="A1687" t="inlineStr">
        <is>
          <t>gxt5g5</t>
        </is>
      </c>
      <c r="B1687" t="inlineStr">
        <is>
          <t>Day 6, I think I’m recovered</t>
        </is>
      </c>
      <c r="C1687" t="inlineStr">
        <is>
          <t>Took nasal swab test at drive thru CVS testing center on June 1st due to sore throat and swollen lymph nodes. June 2nd I lost my sense of smell and taste, got positive test result. June 3rd -5th low fever 99-100.5 off and on. Fatigue and minor muscle aches. Little GI upset. No coughing or SOB at all. 
Throughout I’ve been supplementing with vit c and zinc plus multivitamin, getting sunshine each day, and started melatonin last night. 
Here we are day 6... and I feel good.
My temp was 99 when I woke up but didn’t feel feverish. I have an appetite and seem to have regained my sense of smell at least. 
Could this be over for me? I plan on finishing my quarantine and have four kids with no symptoms at home that need to finish 14 day quarantine as well. But does this sound like the normal trajectory of a mild illness?</t>
        </is>
      </c>
      <c r="D1687" t="n">
        <v>1</v>
      </c>
      <c r="E1687" t="n">
        <v>15</v>
      </c>
      <c r="F1687">
        <f>HYPERLINK("https://www.reddit.com/r/COVID19positive/comments/gxt5g5/day_6_i_think_im_recovered/")</f>
        <v/>
      </c>
      <c r="G1687" t="inlineStr">
        <is>
          <t>2020-06-06 08:37:34</t>
        </is>
      </c>
      <c r="H1687" t="inlineStr">
        <is>
          <t>Tested Positive - Me</t>
        </is>
      </c>
    </row>
    <row r="1688">
      <c r="A1688" t="inlineStr">
        <is>
          <t>gxtigx</t>
        </is>
      </c>
      <c r="B1688" t="inlineStr">
        <is>
          <t>My dad died this week</t>
        </is>
      </c>
      <c r="C1688" t="inlineStr">
        <is>
          <t>Just posting the final, unfortunate update on my dad (previous posts [here](https://www.reddit.com/r/COVID19_support/comments/fxxi7l/dad_on_vent_for_over_two_weeks_just_got_a_scary/) and [here](https://www.reddit.com/r/COVID19positive/comments/gdfiu9/looking_for_hope_dad_on_vent_for_40_days/)). After suffering through two collapsed lungs and more secondary infections my dad finally died peacefully on Wednesday June 3. He's gone way too soon and I have a lot of anger about this entire situation but for now we are just trying to celebrate his amazing life and find our new way forward. Thanks to everybody who read my previous posts and contacted me, my family followed along and all the supportive comments we received really meant a lot to us - and we also used the medical suggestions in our discussions with his care team. We are heartbroken and devastated but we know that there are thousands of other families across the country and the world who know how we feel right now :(</t>
        </is>
      </c>
      <c r="D1688" t="n">
        <v>1</v>
      </c>
      <c r="E1688" t="n">
        <v>0</v>
      </c>
      <c r="F1688">
        <f>HYPERLINK("https://www.reddit.com/r/COVID19positive/comments/gxtigx/my_dad_died_this_week/")</f>
        <v/>
      </c>
      <c r="G1688" t="inlineStr">
        <is>
          <t>2020-06-06 08:58:54</t>
        </is>
      </c>
      <c r="H1688" t="inlineStr">
        <is>
          <t>Tested Positive - Family</t>
        </is>
      </c>
    </row>
    <row r="1689">
      <c r="A1689" t="inlineStr">
        <is>
          <t>gxu53m</t>
        </is>
      </c>
      <c r="B1689" t="inlineStr">
        <is>
          <t>Only 22 and this hit me worse than any pain Iv ever had.</t>
        </is>
      </c>
      <c r="C1689" t="inlineStr">
        <is>
          <t>Cracked my skull open multiple times, ripped my hands open, have had heatstroke and fallen off a cliff into a thorn bush. Not gonna go through a whole list but wow I was not expecting this.
My fever bounces up to 103 every night and going to use the bathroom I need to take 15 minute rests on each time to get some air in. My breaths are essentially doubled and it feels sometimes like someone vacuum sealed my lungs and than punched me in the chest.
First 3 days I vomited over 30+ times and I’m 8 days in still waiting to be able to wake up without vomiting(even on anti nausea medication). 
I’ll wake up drenched in sweat and by that I mean Iv been sleeping on top of towels with extra outfits nearby. While this happens idk i I breath slower in my sleep but I’ll wake up gasping for air and then either vomit in a bucket or vomit/poop in the bathroom (which felt like a Marathon)
How long does the peak take on this?</t>
        </is>
      </c>
      <c r="D1689" t="n">
        <v>1</v>
      </c>
      <c r="E1689" t="n">
        <v>72</v>
      </c>
      <c r="F1689">
        <f>HYPERLINK("https://www.reddit.com/r/COVID19positive/comments/gxu53m/only_22_and_this_hit_me_worse_than_any_pain_iv/")</f>
        <v/>
      </c>
      <c r="G1689" t="inlineStr">
        <is>
          <t>2020-06-06 09:32:52</t>
        </is>
      </c>
      <c r="H1689" t="inlineStr">
        <is>
          <t>Tested Positive - Me</t>
        </is>
      </c>
    </row>
    <row r="1690">
      <c r="A1690" t="inlineStr">
        <is>
          <t>gxv50k</t>
        </is>
      </c>
      <c r="B1690" t="inlineStr">
        <is>
          <t>Waves of abdominal pain/fatigue after eating?</t>
        </is>
      </c>
      <c r="C1690" t="inlineStr">
        <is>
          <t>I had a lower respiratory tract infection back in March, which had all the markers of COVID.  I recovered in about 10 days.  Since then, once or twice a week I will have an "episode" where after I eat the first meal of the day, I'll have somewhat severe abdominal pain followed by extreme fatigue, where I just need to lay down.  Has anyone experienced anything similar?  Nothing seems to help...</t>
        </is>
      </c>
      <c r="D1690" t="n">
        <v>1</v>
      </c>
      <c r="E1690" t="n">
        <v>8</v>
      </c>
      <c r="F1690">
        <f>HYPERLINK("https://www.reddit.com/r/COVID19positive/comments/gxv50k/waves_of_abdominal_painfatigue_after_eating/")</f>
        <v/>
      </c>
      <c r="G1690" t="inlineStr">
        <is>
          <t>2020-06-06 10:26:28</t>
        </is>
      </c>
      <c r="H1690" t="inlineStr">
        <is>
          <t>Presumed Positive - From Doctor</t>
        </is>
      </c>
    </row>
    <row r="1691">
      <c r="A1691" t="inlineStr">
        <is>
          <t>gxwgvl</t>
        </is>
      </c>
      <c r="B1691" t="inlineStr">
        <is>
          <t>Who has used Prednisone or other steroid for long-term symptoms?</t>
        </is>
      </c>
      <c r="C1691" t="inlineStr">
        <is>
          <t>What symptoms prompted your doctor to prescribe it? Has it helped? Is it something that can be taken short-term or does it need to be taken long-term? Thank you all. Week 12 here and desperate for relief, going to asking my doctor about it next week. My infection doesn't appear to be currently active- had a postive test in March, but my last 3 tests from May/June have been negative.</t>
        </is>
      </c>
      <c r="D1691" t="n">
        <v>1</v>
      </c>
      <c r="E1691" t="n">
        <v>22</v>
      </c>
      <c r="F1691">
        <f>HYPERLINK("https://www.reddit.com/r/COVID19positive/comments/gxwgvl/who_has_used_prednisone_or_other_steroid_for/")</f>
        <v/>
      </c>
      <c r="G1691" t="inlineStr">
        <is>
          <t>2020-06-06 11:39:30</t>
        </is>
      </c>
      <c r="H1691" t="inlineStr">
        <is>
          <t>Tested Positive</t>
        </is>
      </c>
    </row>
    <row r="1692">
      <c r="A1692" t="inlineStr">
        <is>
          <t>gxwnq8</t>
        </is>
      </c>
      <c r="B1692" t="inlineStr">
        <is>
          <t>Hyperthyroidism and Covid?</t>
        </is>
      </c>
      <c r="C1692" t="inlineStr">
        <is>
          <t>Hi All! I had a doctor visit yesterday where we went over all of my symptoms since I am still experiencing most of them heavily since being presumed positive with Covid weeks ago. At the beginning of this, I had a CT Scan to check for possible blood clots - everything looked good. But the doctor yesterday just brought to my attention that the CT Scan showed a larger nodule on my thyroid.  Apparently this can occur due to inflammation after a viral infection and can cause the nodule to press on the thyroid so much that it causes hyperthyroidism. Symptoms are extreme fatigue, heat intolerance, tachycardia, palpitations, shortness of breath, nervousness/anxiety, mood swings, insomnia...the list is massive! Has anyone else had their thyroid checked out? Could this be a clue into the long tail symptoms? I'm hoping if so that once the inflammation goes down, then all of this will be over with?</t>
        </is>
      </c>
      <c r="D1692" t="n">
        <v>1</v>
      </c>
      <c r="E1692" t="n">
        <v>11</v>
      </c>
      <c r="F1692">
        <f>HYPERLINK("https://www.reddit.com/r/COVID19positive/comments/gxwnq8/hyperthyroidism_and_covid/")</f>
        <v/>
      </c>
      <c r="G1692" t="inlineStr">
        <is>
          <t>2020-06-06 11:50:20</t>
        </is>
      </c>
      <c r="H1692" t="inlineStr">
        <is>
          <t>Presumed Positive - From Doctor</t>
        </is>
      </c>
    </row>
    <row r="1693">
      <c r="A1693" t="inlineStr">
        <is>
          <t>gxxcb1</t>
        </is>
      </c>
      <c r="B1693" t="inlineStr">
        <is>
          <t>Anyone with Night Sweats after 25 days of Covid-19? Had walking pneumonia</t>
        </is>
      </c>
      <c r="C1693" t="inlineStr">
        <is>
          <t>M37, day 27. Night sweat seems to be my only remaining symptom, had a bunch, never had fever or SOB but had most of the others. 
I still wake up in the middle of the  night soaked, Its gotten better but I atleast need to change shirts once sometimes 2 o 3 times and change pillows. 
Starting to worry this could be something else, but I'm still positive, got tested last Tuesday, next test is next week. Anyone still experiencing this?</t>
        </is>
      </c>
      <c r="D1693" t="n">
        <v>1</v>
      </c>
      <c r="E1693" t="n">
        <v>33</v>
      </c>
      <c r="F1693">
        <f>HYPERLINK("https://www.reddit.com/r/COVID19positive/comments/gxxcb1/anyone_with_night_sweats_after_25_days_of_covid19/")</f>
        <v/>
      </c>
      <c r="G1693" t="inlineStr">
        <is>
          <t>2020-06-06 12:28:07</t>
        </is>
      </c>
      <c r="H1693" t="inlineStr">
        <is>
          <t>Tested Positive - Me</t>
        </is>
      </c>
    </row>
    <row r="1694">
      <c r="A1694" t="inlineStr">
        <is>
          <t>gxy2j1</t>
        </is>
      </c>
      <c r="B1694" t="inlineStr">
        <is>
          <t>Heart attack on ventilator</t>
        </is>
      </c>
      <c r="C1694" t="inlineStr">
        <is>
          <t>First of all my dad is 54 and really healthy for his age. He doesn’t even look like he’s 54. Never has smoked, never drinks. Has no medical problems. He did a lot of sports when he was young up to his early twenties. He did a lot of track and soccer. He’s at a healthy weight. Goes to the gym and works in pavement construction. My dad began feeling covid symptoms on May 3rd. On May 11th he was having trouble breathing and was having trouble talking. My brother took him to the hospital and was brought home with medicine for pneumonia. The very next day my dad couldn’t breathe anymore. He was rushed to the hospital and given oxygen therapy. He was in that state for a week. Memorial Day came up and he told us he was very uncomfortable. No one was checking up on him and had a lot of phlegm. We called the hospital to tell them go check up on him and that we wanted to transfer him.  They said we couldn’t. They gave my dad medicine for the phlegm and he felt better. The next morning they called us that he was in the ICU. We FaceTime him crying and telling him we loved him. He was still with oxygen mask and just waved at us. The next day he was put on the ventilator. Tuesday morning he had a heart attack. They brought him back with AED. They said he had 1% of survival. If he has another heart attack he’s not gonna make it.  Which is likely he was. It’s been for 4 days now since they told us that. They said he’s slowly getting better. His blood pressure, vitals and oxygen levels are good. His heart rate is still a bit high but normal for him since he was runner. He’s having internal bleeding but it’s not so much. The bleeding has gotten down each day. Little by little. They wanted to check to find out where the bleeding is coming from but since he’s getting better they don’t want to harm him in any way. We have been FaceTiming him daily talking to him and encouraging him to keep fighting. That we’re waiting for him to come home. I only hope he can hear us. I’m really scared. The doctors know anything can still happen in his condition. We’re just hoping he keeps getting better and bleeding stops fully. I’m very anxious and afraid. I’m 18 and not ready for my dad to go yet.  I just wanted to share this. Any kind words or advice will be very much appreciated . Thank you for reading.</t>
        </is>
      </c>
      <c r="D1694" t="n">
        <v>1</v>
      </c>
      <c r="E1694" t="n">
        <v>61</v>
      </c>
      <c r="F1694">
        <f>HYPERLINK("https://www.reddit.com/r/COVID19positive/comments/gxy2j1/heart_attack_on_ventilator/")</f>
        <v/>
      </c>
      <c r="G1694" t="inlineStr">
        <is>
          <t>2020-06-06 13:07:25</t>
        </is>
      </c>
      <c r="H1694" t="inlineStr">
        <is>
          <t>Tested Positive - Family</t>
        </is>
      </c>
    </row>
    <row r="1695">
      <c r="A1695" t="inlineStr">
        <is>
          <t>gxyfne</t>
        </is>
      </c>
      <c r="B1695" t="inlineStr">
        <is>
          <t>my stepfather might not make it.</t>
        </is>
      </c>
      <c r="C1695" t="inlineStr">
        <is>
          <t>the doctor called me today and said his lung collapse. he's on dialysis and isnt responding to treatment. he has a very low chance of making it. she wanted to try a medicine but she said that medicine has side affects and it could make his condition worse but it might be able to help him and since he has a low chance of making it she thought it would be a good idea. 
right now i feel depressed. sad. my heart is filled with sorrow and despair. i cant sleep. i feel like there's a cloud over me. a dark cloud and i cant seem to get out of it. last night i couldnt sleep. i was crying so much. last night i saw a man kneeling near my bed. one minute the figure was there then it was gone. i believe im going crazy. i dont know if i should commit myself to a mental hospital for treatment.  today i went to the emergency room because stress and panic attack. 
i don't know how to prepare myself for a loss. its hard to remain positive when all ive been getting is negative news.</t>
        </is>
      </c>
      <c r="D1695" t="n">
        <v>1</v>
      </c>
      <c r="E1695" t="n">
        <v>8</v>
      </c>
      <c r="F1695">
        <f>HYPERLINK("https://www.reddit.com/r/COVID19positive/comments/gxyfne/my_stepfather_might_not_make_it/")</f>
        <v/>
      </c>
      <c r="G1695" t="inlineStr">
        <is>
          <t>2020-06-06 13:28:32</t>
        </is>
      </c>
      <c r="H1695" t="inlineStr">
        <is>
          <t>Tested Positive - Family</t>
        </is>
      </c>
    </row>
    <row r="1696">
      <c r="A1696" t="inlineStr">
        <is>
          <t>gxzc84</t>
        </is>
      </c>
      <c r="B1696" t="inlineStr">
        <is>
          <t>Symptoms for 2 months, tested positive today. Now what?</t>
        </is>
      </c>
      <c r="C1696" t="inlineStr">
        <is>
          <t>Hi everyone.
I have been having fever on and off + fatigue and shortness of breath for over 2 months now. I tested positive. Did you guys went through any additional procedures / tests beyond the recommended 14 days of isolation?
Thanks and stay safe :)</t>
        </is>
      </c>
      <c r="D1696" t="n">
        <v>1</v>
      </c>
      <c r="E1696" t="n">
        <v>6</v>
      </c>
      <c r="F1696">
        <f>HYPERLINK("https://www.reddit.com/r/COVID19positive/comments/gxzc84/symptoms_for_2_months_tested_positive_today_now/")</f>
        <v/>
      </c>
      <c r="G1696" t="inlineStr">
        <is>
          <t>2020-06-06 14:23:56</t>
        </is>
      </c>
      <c r="H1696" t="inlineStr">
        <is>
          <t>Tested Positive - Me</t>
        </is>
      </c>
    </row>
    <row r="1697">
      <c r="A1697" t="inlineStr">
        <is>
          <t>gy0ceu</t>
        </is>
      </c>
      <c r="B1697" t="inlineStr">
        <is>
          <t>I am so happy I found this sub!</t>
        </is>
      </c>
      <c r="C1697" t="inlineStr">
        <is>
          <t>Hi all,
32M, first symptoms March 25th. I have not had a flareup in about 2 weeks but just had a short one for the last 48h.
I was previously extremely active (2010 Olympian, 5x week runner, etc.) and this is easily the most "sick" I have ever been in my life.
I am so happy I have found this sub, I finally feel like I am not the only one going through this. It is terrible, and I hope that there won't be any long lasting effects.
I am still not back to running at all, I have tried multiple times only to feel worse again. Yoga seems to be good though.
Cheers, and stay strong all !</t>
        </is>
      </c>
      <c r="D1697" t="n">
        <v>1</v>
      </c>
      <c r="E1697" t="n">
        <v>16</v>
      </c>
      <c r="F1697">
        <f>HYPERLINK("https://www.reddit.com/r/COVID19positive/comments/gy0ceu/i_am_so_happy_i_found_this_sub/")</f>
        <v/>
      </c>
      <c r="G1697" t="inlineStr">
        <is>
          <t>2020-06-06 15:26:19</t>
        </is>
      </c>
      <c r="H1697" t="inlineStr">
        <is>
          <t>Presumed Positive - From Doctor</t>
        </is>
      </c>
    </row>
    <row r="1698">
      <c r="A1698" t="inlineStr">
        <is>
          <t>gy0f92</t>
        </is>
      </c>
      <c r="B1698" t="inlineStr">
        <is>
          <t>I Tested positive for covid and strep. I started feeling sick 6 days ago. I feel substantially better, could it come back in quarantine?</t>
        </is>
      </c>
      <c r="C1698" t="inlineStr">
        <is>
          <t>I started to feel really sick last Sunday.  I had a high fever, chills, aches.   Everyday I’ve gotten much better. Today,  I have none of the above symptoms, maybe slight dizziness.   Is it possible for it to all come back even if I haven’t and will not leave my apt?</t>
        </is>
      </c>
      <c r="D1698" t="n">
        <v>1</v>
      </c>
      <c r="E1698" t="n">
        <v>10</v>
      </c>
      <c r="F1698">
        <f>HYPERLINK("https://www.reddit.com/r/COVID19positive/comments/gy0f92/i_tested_positive_for_covid_and_strep_i_started/")</f>
        <v/>
      </c>
      <c r="G1698" t="inlineStr">
        <is>
          <t>2020-06-06 15:31:14</t>
        </is>
      </c>
      <c r="H1698" t="inlineStr">
        <is>
          <t>Tested Positive - Me</t>
        </is>
      </c>
    </row>
    <row r="1699">
      <c r="A1699" t="inlineStr">
        <is>
          <t>gy17kv</t>
        </is>
      </c>
      <c r="B1699" t="inlineStr">
        <is>
          <t>Clarification</t>
        </is>
      </c>
      <c r="C1699" t="inlineStr">
        <is>
          <t>So my girlfriend got her testing results back from CVS today and it states : 
Value Detected 
Standard Range Not Detected 
Could anyone help with a better understand of what this means in depth?
She feels great most of the time, with an off and on fever, sinus, and mild headaches. I have yet to be tested but I am showing a very mild sore throat and have been feeling a little foggy. We are both healthy in our early 20s with no other health complications.</t>
        </is>
      </c>
      <c r="D1699" t="n">
        <v>1</v>
      </c>
      <c r="E1699" t="n">
        <v>5</v>
      </c>
      <c r="F1699">
        <f>HYPERLINK("https://www.reddit.com/r/COVID19positive/comments/gy17kv/clarification/")</f>
        <v/>
      </c>
      <c r="G1699" t="inlineStr">
        <is>
          <t>2020-06-06 16:18:58</t>
        </is>
      </c>
      <c r="H1699" t="inlineStr">
        <is>
          <t>Presumed Positive - From Test</t>
        </is>
      </c>
    </row>
    <row r="1700">
      <c r="A1700" t="inlineStr">
        <is>
          <t>gy1bjv</t>
        </is>
      </c>
      <c r="B1700" t="inlineStr">
        <is>
          <t>What’s the longest someone has ever been sick with COVID-19?</t>
        </is>
      </c>
      <c r="C1700" t="inlineStr">
        <is>
          <t>It’s been 3 months for me</t>
        </is>
      </c>
      <c r="D1700" t="n">
        <v>1</v>
      </c>
      <c r="E1700" t="n">
        <v>16</v>
      </c>
      <c r="F1700">
        <f>HYPERLINK("https://www.reddit.com/r/COVID19positive/comments/gy1bjv/whats_the_longest_someone_has_ever_been_sick_with/")</f>
        <v/>
      </c>
      <c r="G1700" t="inlineStr">
        <is>
          <t>2020-06-06 16:25:13</t>
        </is>
      </c>
      <c r="H1700" t="inlineStr">
        <is>
          <t>Tested Positive - Me</t>
        </is>
      </c>
    </row>
    <row r="1701">
      <c r="A1701" t="inlineStr">
        <is>
          <t>gy1ht2</t>
        </is>
      </c>
      <c r="B1701" t="inlineStr">
        <is>
          <t>Lost my dad this week :(</t>
        </is>
      </c>
      <c r="C1701" t="inlineStr">
        <is>
          <t>Just posting the final, unfortunate update on my dad. After suffering through two collapsed lungs and more secondary infections my dad finally died peacefully on Wednesday June 3. He's gone way too soon at age 68, he hadn't even retired yet. I have a lot of anger about this entire situation and journey at just about every level but for now we are trying to celebrate his amazing life and find our new way forward without him somehow. He was the cornerstone of our whole family and of so many organizations in our community. Thanks to everybody who read my previous posts and contacted me, my family followed along and all the supportive comments we received really meant a lot to us - and we also used the medical suggestions in our discussions with his care team. We are heartbroken and devastated but we know that there are thousands of other families across the country and the world who know how we feel right now :(</t>
        </is>
      </c>
      <c r="D1701" t="n">
        <v>1</v>
      </c>
      <c r="E1701" t="n">
        <v>81</v>
      </c>
      <c r="F1701">
        <f>HYPERLINK("https://www.reddit.com/r/COVID19positive/comments/gy1ht2/lost_my_dad_this_week/")</f>
        <v/>
      </c>
      <c r="G1701" t="inlineStr">
        <is>
          <t>2020-06-06 16:35:08</t>
        </is>
      </c>
      <c r="H1701" t="inlineStr">
        <is>
          <t>Tested Positive - Family</t>
        </is>
      </c>
    </row>
    <row r="1702">
      <c r="A1702" t="inlineStr">
        <is>
          <t>gy1yp8</t>
        </is>
      </c>
      <c r="B1702" t="inlineStr">
        <is>
          <t>Just starting to feel the burning skin</t>
        </is>
      </c>
      <c r="C1702" t="inlineStr">
        <is>
          <t>I’ve got 83 days under my belt and just recently started feeling the burning skin. Feels like after a sunburn/icy hot. Just started feeling it Memorial weekend. Anyone else getting new things this far out?
Backstory for the curious (I’ll try and make it short): first symptoms started March 16. Super fatigue, brain fog, clammy hands and feet, headache here and there, had a fever of 99.3F only one day. Chest tightness that never turned into a cough, though it constantly felt like I needed to. Random heart palpitations, one that woke me up from a dead sleep. Random flank pain. With all of this, I thought, do I have anxiety now or something?! 
Well March 29 my live-in gf started showing symptoms and got it way worse. Bad deep dry cough, fatigue, brain fog, tunnel vision, SOB that made it hard to get to the bathroom. Fevers. That lasted for about 4 weeks. Her dr ultimately diagnosed with covid after looking at her chest x rays. Got a test, and of course it was negative. Useless. 
Both of us have had waves of recurring symptoms. I get random days of crazy fatigue where I just have to lay down and do nothing. Acid reflux seems to be a continuing issue. All in all, fuck c19. The burning is new though, so strange.</t>
        </is>
      </c>
      <c r="D1702" t="n">
        <v>1</v>
      </c>
      <c r="E1702" t="n">
        <v>23</v>
      </c>
      <c r="F1702">
        <f>HYPERLINK("https://www.reddit.com/r/COVID19positive/comments/gy1yp8/just_starting_to_feel_the_burning_skin/")</f>
        <v/>
      </c>
      <c r="G1702" t="inlineStr">
        <is>
          <t>2020-06-06 17:03:03</t>
        </is>
      </c>
      <c r="H1702" t="inlineStr">
        <is>
          <t>Presumed Positive - From Doctor</t>
        </is>
      </c>
    </row>
    <row r="1703">
      <c r="A1703" t="inlineStr">
        <is>
          <t>gy4ha3</t>
        </is>
      </c>
      <c r="B1703" t="inlineStr">
        <is>
          <t>Doctor thinks I may have had the coronavirus</t>
        </is>
      </c>
      <c r="C1703" t="inlineStr">
        <is>
          <t xml:space="preserve">
Hi everyone. 
Ever since getting a flu like sickness a few months months ago, I’ve been having some odd symptoms.  
It started with vertigo from the eye but that went away about a week after getting “flu-like” symptoms.
Now, I have thick white mucus whenever I blow my nose after a shower, and only after the shower.  It’s rubbery and dries really quick.  No mucus at any other point.  (Doc says there is major congestion when looking up my nose however)
I’ve also been getting some bad head pressure, like squeezing sensation and it’s at random times. Not headache type, more like my head feels like a balloon.  
My ears crack constantly, and my face tightens up at random parts of the day (no hearing loss)
I also have internal dizziness if I move too fast and feel like I’m on a rocking boat.
My neck is also sore...
This has led to some extreme nerve issues, burning sensations especially out of my hand and feet.  Every morning I wake up with numb hands and tingling sensations throughout the day.  For example, my hand would start feeling numb and like this icy hot feeling whenever the fan or any type of wind makes contact with it.  
Lastly, this has led to some major GI issues (bloating, indigestion) and nausea.  At this point I’m not sure if the GI issues or the head congestion are causing the nausea...
Most of these symptoms came on so suddenly after the “flu-like illness” back in January.  I’m sure some of it is amplified by stress and anxiety.
But what can be causing the thick white mucus after the shower... Inflammation? Stress? Reflux? 
In terms of allergies, I was never the allergic type.  But is it possible, this virus I got back in January along with anxiety, has given me bad allergic reaction? 
I have NO cough NOR any type of fever.
This is really messing with my psyche cause I look fine from the outside but inside I’m suffering...
Doctor just tested me for autoimmune issues and antibodies.  I’m waiting on those results 
Any thoughts? Is it Covid or does it fall in line with something else? And where do I go from here
5’7 
Male
28 yrs old</t>
        </is>
      </c>
      <c r="D1703" t="n">
        <v>1</v>
      </c>
      <c r="E1703" t="n">
        <v>17</v>
      </c>
      <c r="F1703">
        <f>HYPERLINK("https://www.reddit.com/r/COVID19positive/comments/gy4ha3/doctor_thinks_i_may_have_had_the_coronavirus/")</f>
        <v/>
      </c>
      <c r="G1703" t="inlineStr">
        <is>
          <t>2020-06-06 19:44:47</t>
        </is>
      </c>
      <c r="H1703" t="inlineStr">
        <is>
          <t>Presumed Positive - From Doctor</t>
        </is>
      </c>
    </row>
    <row r="1704">
      <c r="A1704" t="inlineStr">
        <is>
          <t>gy75xd</t>
        </is>
      </c>
      <c r="B1704" t="inlineStr">
        <is>
          <t>Questions And Concerns</t>
        </is>
      </c>
      <c r="C1704" t="inlineStr">
        <is>
          <t>Hey everyone.  So, around April 15-18 I can’t remember when to be honest I tested positive for Covid-19. I was surprised, my grandma tested positive and I live with her (She did not make it). Everyone in my house hold tested positive in fact, including my pregnant mother. 
This is all besides the point, can I get it again?  What’s the research behind it.  
For some additional info, after OVER a month of self isolating I decided to get retested.  My results were lost by the health department (go figure) because when I called for my results hey couldn’t find them and they presumed I was negative because If it was positive they would’ve called me by now.  Sure okay, I get that logic whatever I guess (thought unprofessional if you ask me).  A couple of days pass (3 days) and I’m ready to get back to running my errands for my mom as we need stuff to live.  I’m still extremely anxious to leave my house I don’t want to harm anyone especially after seeing what it did to my grandma and I demanded for the health department to locate my 2nd set of results.  Go and behold, they find it and it reads “indeterminate” and presumed positive.  I couldn’t believe it.  Anyways I get down to go get retested again, Heath department recommended it and I had to self isolate for another 2 weeks.  2 weeks go buy, mid way through May now.  Get retested, I am now negative along with my other family members.
Now, in the present.  I am getting hired as a temp at Walmart for some work as I want money fo be able to help my mom and her newborn coming soon in September.  My older brother is still showing symptoms, my aunt is too, along with my mother.  They still have the cough, I assume that lingers?  I still have the cough myself but no where near as bad as the rest of the family. Could we still carry the virus despite testing negative ?
Sorry that this post is huge.  There’s still a lot of info I would like to share by typing on a phone sucks.  If you’d like to know more I could share.</t>
        </is>
      </c>
      <c r="D1704" t="n">
        <v>1</v>
      </c>
      <c r="E1704" t="n">
        <v>13</v>
      </c>
      <c r="F1704">
        <f>HYPERLINK("https://www.reddit.com/r/COVID19positive/comments/gy75xd/questions_and_concerns/")</f>
        <v/>
      </c>
      <c r="G1704" t="inlineStr">
        <is>
          <t>2020-06-06 23:16:22</t>
        </is>
      </c>
      <c r="H1704" t="inlineStr">
        <is>
          <t>Tested Positive - Me</t>
        </is>
      </c>
    </row>
    <row r="1705">
      <c r="A1705" t="inlineStr">
        <is>
          <t>gy7lol</t>
        </is>
      </c>
      <c r="B1705" t="inlineStr">
        <is>
          <t>Wife with Covid Pneumonia recovering with oxygen at home -how's it been for you?</t>
        </is>
      </c>
      <c r="C1705" t="inlineStr">
        <is>
          <t>( I was presumed positive by my doctor on Apr 24 due to my constant exposure to my wife who was positive.  My symptoms went away a few days later the day after she went to the hospital.  I had a positive antibody test mid-May).  So my wife was hospitalized for 13 days.  She almost had to go on a ventilator.  She said at one point her O2 was 35-40 in the hospital.  The only significant medicines I know she was given were Plaquenil and Actemra.  They decided to use high flow oxygen with her.  Eventually everything went from 40L down to 32L down to 3L at discharge.  She has been on 3L ever since at home.   In a resting/ sitting position she is often 97.  Moving around or cooking is like 94-95.   Off oxygen occasionally is like 89.    This is so hard for her because she was a proud healthcare worker / union member and she enjoyed working 2 jobs.
I just want to see from others based on your experience (not medical advice), what is working well for you with oxygen at home or Covid pneumonia recovery?   Monday will be 4 weeks that she is home.   We are meeting with a pulmonologist this week for an initial consult followed by a chest x-ray.</t>
        </is>
      </c>
      <c r="D1705" t="n">
        <v>1</v>
      </c>
      <c r="E1705" t="n">
        <v>8</v>
      </c>
      <c r="F1705">
        <f>HYPERLINK("https://www.reddit.com/r/COVID19positive/comments/gy7lol/wife_with_covid_pneumonia_recovering_with_oxygen/")</f>
        <v/>
      </c>
      <c r="G1705" t="inlineStr">
        <is>
          <t>2020-06-06 23:55:58</t>
        </is>
      </c>
      <c r="H1705" t="inlineStr">
        <is>
          <t>Tested Positive - Family</t>
        </is>
      </c>
    </row>
    <row r="1706">
      <c r="A1706" t="inlineStr">
        <is>
          <t>gyacp9</t>
        </is>
      </c>
      <c r="B1706" t="inlineStr">
        <is>
          <t>Diagnosed with POTS after covid infection :(</t>
        </is>
      </c>
      <c r="C1706" t="inlineStr">
        <is>
          <t>I was just diagnosed with POTS by my cardiologist. My pulse is abnormally high all the time and I've been put on a beta blocker. I was previously healthy and had no problems with my heart what so ever.
This is starting to catch up with cardiologists in my country and they're seeing tons of people with no previous heart issue have symptoms of POTS.</t>
        </is>
      </c>
      <c r="D1706" t="n">
        <v>1</v>
      </c>
      <c r="E1706" t="n">
        <v>68</v>
      </c>
      <c r="F1706">
        <f>HYPERLINK("https://www.reddit.com/r/COVID19positive/comments/gyacp9/diagnosed_with_pots_after_covid_infection/")</f>
        <v/>
      </c>
      <c r="G1706" t="inlineStr">
        <is>
          <t>2020-06-07 04:06:04</t>
        </is>
      </c>
      <c r="H1706" t="inlineStr">
        <is>
          <t>Tested Positive</t>
        </is>
      </c>
    </row>
    <row r="1707">
      <c r="A1707" t="inlineStr">
        <is>
          <t>gybt36</t>
        </is>
      </c>
      <c r="B1707" t="inlineStr">
        <is>
          <t>Tested positive 1 week ago but still no symptoms?</t>
        </is>
      </c>
      <c r="C1707" t="inlineStr">
        <is>
          <t>I did the test on May 31st, told on June 2nd I was positive. Anxiously sitting on standby in the basement waiting for these symptoms to hit. My wife went and got tested, came back negative.
I’m now 1 week from my test and still not feeling any symptoms. Anyone experience anything like this? Not sure when, how I was exposed. I was asked to take the test by employer before going back to work, not because of any symptoms.</t>
        </is>
      </c>
      <c r="D1707" t="n">
        <v>1</v>
      </c>
      <c r="E1707" t="n">
        <v>15</v>
      </c>
      <c r="F1707">
        <f>HYPERLINK("https://www.reddit.com/r/COVID19positive/comments/gybt36/tested_positive_1_week_ago_but_still_no_symptoms/")</f>
        <v/>
      </c>
      <c r="G1707" t="inlineStr">
        <is>
          <t>2020-06-07 05:51:46</t>
        </is>
      </c>
      <c r="H1707" t="inlineStr">
        <is>
          <t>Tested Positive - Me</t>
        </is>
      </c>
    </row>
    <row r="1708">
      <c r="A1708" t="inlineStr">
        <is>
          <t>gybv15</t>
        </is>
      </c>
      <c r="B1708" t="inlineStr">
        <is>
          <t>My mom</t>
        </is>
      </c>
      <c r="C1708" t="inlineStr">
        <is>
          <t>Can someone help me how can i help her there are no place in hospital how can i help her to make her feel better like what to give her and what is the protocol tomake people retreat 
Pls help me i am not good at English sry</t>
        </is>
      </c>
      <c r="D1708" t="n">
        <v>1</v>
      </c>
      <c r="E1708" t="n">
        <v>6</v>
      </c>
      <c r="F1708">
        <f>HYPERLINK("https://www.reddit.com/r/COVID19positive/comments/gybv15/my_mom/")</f>
        <v/>
      </c>
      <c r="G1708" t="inlineStr">
        <is>
          <t>2020-06-07 05:55:32</t>
        </is>
      </c>
      <c r="H1708" t="inlineStr">
        <is>
          <t>Tested Positive - Family</t>
        </is>
      </c>
    </row>
    <row r="1709">
      <c r="A1709" t="inlineStr">
        <is>
          <t>gyce7t</t>
        </is>
      </c>
      <c r="B1709" t="inlineStr">
        <is>
          <t>Clear Chest X-Ray but still trouble breathing</t>
        </is>
      </c>
      <c r="C1709" t="inlineStr">
        <is>
          <t>27yo F. 60+ days since onset of symptoms. 
I finally had a follow up with dr because my symptoms had subsided long enough for them to see me on the office. For a chest x-ray which looked good, dr said all the pain in my chest and back was muscular. I felt super relieved. 
RX for muscle relaxer. 
Then yesterday sharp pain in chest returned, trouble breathing. For a few seconds I couldn’t inhale at all. Worse than my worst day of being sick. Helped by inhaler. 
I feel dumb calling about relapsing symptoms after getting such a cheery “all clear.” Anyone else still have trouble breathing with a good chest X-ray? Should I send my X-ray to another dr to see if it’s actually OK?</t>
        </is>
      </c>
      <c r="D1709" t="n">
        <v>1</v>
      </c>
      <c r="E1709" t="n">
        <v>28</v>
      </c>
      <c r="F1709">
        <f>HYPERLINK("https://www.reddit.com/r/COVID19positive/comments/gyce7t/clear_chest_xray_but_still_trouble_breathing/")</f>
        <v/>
      </c>
      <c r="G1709" t="inlineStr">
        <is>
          <t>2020-06-07 06:29:02</t>
        </is>
      </c>
      <c r="H1709" t="inlineStr">
        <is>
          <t>Presumed Positive - From Doctor</t>
        </is>
      </c>
    </row>
    <row r="1710">
      <c r="A1710" t="inlineStr">
        <is>
          <t>gyeliv</t>
        </is>
      </c>
      <c r="B1710" t="inlineStr">
        <is>
          <t>Day 52 No Voice and Chest Pain</t>
        </is>
      </c>
      <c r="C1710" t="inlineStr">
        <is>
          <t>Hey all! 
I'm 52 days in, and have chest pain that feels like I just finished a round of sprints in cold weather with the occasional stabbing moderate pain that radiates to my pinky. I had an EKG a few weeks ago because I was concerned,  it came back normal, I was told by a teledoc a few days ago that I should get a chest x-ray because this has persisted for so long  but my lungs feel clear so I'm sure it will come back normal too.  Is anyone having this type of chest pain? What are your doctors saying?
&amp;amp;#x200B;
**BACKSTORY:** Overall I don't feel too badly until about 1:30 in the afternoon at which time I start finding myself laying and sleeping on the floor in various rooms of my house.  I lost my sense of smell on April 15th but I was waiting for my new insurance to kick in and was not tested until May 3 (positive). I was told that I needed to remain in isolation until I had 72 hours with no symptoms which are fatigue, no voice, chest pain, and shortness of breath but no pneumonia. I had my voice back and very minimal chest pain for a day and a half and hoped I was in the clear but now I have chest pain and my voice is gone again and I have tiny temperature of 99.4 (I'm usually around 97.5) however, throughout this entire experience I have had a maximum temperature of 99.1 (still usually 97.5) , no coughing, no sore throat, no pneumonia.</t>
        </is>
      </c>
      <c r="D1710" t="n">
        <v>1</v>
      </c>
      <c r="E1710" t="n">
        <v>5</v>
      </c>
      <c r="F1710">
        <f>HYPERLINK("https://www.reddit.com/r/COVID19positive/comments/gyeliv/day_52_no_voice_and_chest_pain/")</f>
        <v/>
      </c>
      <c r="G1710" t="inlineStr">
        <is>
          <t>2020-06-07 08:40:37</t>
        </is>
      </c>
      <c r="H1710" t="inlineStr">
        <is>
          <t>Tested Positive - Me</t>
        </is>
      </c>
    </row>
    <row r="1711">
      <c r="A1711" t="inlineStr">
        <is>
          <t>gyezfb</t>
        </is>
      </c>
      <c r="B1711" t="inlineStr">
        <is>
          <t>Antibodies don't stop you from getting sick again and again from the initial infection.</t>
        </is>
      </c>
      <c r="C1711" t="inlineStr">
        <is>
          <t>I tested positive for Covid-19 antibodies Friday of last week. I posted before of getting flare ups of swollen lymph nodes that travel up through my ear canals and tenderness in my back. I think I got sick around March 10. Some of the people who sat next to me at work were sick as well.  
Once a week after feeling better I would get a flare-up of these same 3 symptoms as well as bad fatigue. The last flare-up I had was over a month ago on April 28th and I thought that was the end of it until I got sick last night (June 5th) and into today. An entire month between flareups and I've barely left the house and wore a mask and avoided going into buildings when I have. I feel awful, sinuses are bad, throat swollen and just really weak.  
My husband seems to have to blow his nose heavily every morning now and he didn't before he probably caught it as well. The coworker I suspect I caught it from seems to be sick once a week with severe migraines. Covid-19 acts less like a virus and more like an infection that just keeps coming back again and again. When people compare it falsely to a cold or a flu, it's more like 10 colds and flus that you keep getting again and again. What good is antibodies if you keep getting sick other than hopefully not being contagious?</t>
        </is>
      </c>
      <c r="D1711" t="n">
        <v>1</v>
      </c>
      <c r="E1711" t="n">
        <v>23</v>
      </c>
      <c r="F1711">
        <f>HYPERLINK("https://www.reddit.com/r/COVID19positive/comments/gyezfb/antibodies_dont_stop_you_from_getting_sick_again/")</f>
        <v/>
      </c>
      <c r="G1711" t="inlineStr">
        <is>
          <t>2020-06-07 09:03:24</t>
        </is>
      </c>
      <c r="H1711" t="inlineStr">
        <is>
          <t>Tested Positive</t>
        </is>
      </c>
    </row>
    <row r="1712">
      <c r="A1712" t="inlineStr">
        <is>
          <t>gyfb77</t>
        </is>
      </c>
      <c r="B1712" t="inlineStr">
        <is>
          <t>Symptoms return with even the smallest health slip</t>
        </is>
      </c>
      <c r="C1712" t="inlineStr">
        <is>
          <t>Tested positive mid March and basically back to normal now. But I do notice that I can feel the symptoms (chest tightness, mucus, face congestion) start to return when I have literally just done day of not sleeping or eating well or drinking alcohol. My boyfriend who also tested positive at the same time has been working a lot of overtime / really stressed and I see his symptoms coming back a lot more frequently than mines. His eyes are still red and tired and he has a cough again. Meanwhile I’m furloughed so I have more time to take care of my health but damn literally just one day of eating like shit, drinking alcohol or not getting a full 8 hours of sleep and the symptoms are back. It’s nice to know that I can at least control it by staying healthy but really wonder how long this will last and why no one is talking about this outside of this sub. Anyone else experience this too?</t>
        </is>
      </c>
      <c r="D1712" t="n">
        <v>1</v>
      </c>
      <c r="E1712" t="n">
        <v>51</v>
      </c>
      <c r="F1712">
        <f>HYPERLINK("https://www.reddit.com/r/COVID19positive/comments/gyfb77/symptoms_return_with_even_the_smallest_health_slip/")</f>
        <v/>
      </c>
      <c r="G1712" t="inlineStr">
        <is>
          <t>2020-06-07 09:22:29</t>
        </is>
      </c>
      <c r="H1712" t="inlineStr">
        <is>
          <t>Tested Positive - Me</t>
        </is>
      </c>
    </row>
    <row r="1713">
      <c r="A1713" t="inlineStr">
        <is>
          <t>gyg5ji</t>
        </is>
      </c>
      <c r="B1713" t="inlineStr">
        <is>
          <t>(65f) early covid19 symptoms with chest pain</t>
        </is>
      </c>
      <c r="C1713" t="inlineStr">
        <is>
          <t>Female, 65, 70kg, 155cm. Does not smoke or drink. 
My grandmother just passed from covid19 few days ago, where my mother was taking care of her at home. Two days ago  my mother had a light fever and her oxygen level was below 90(measured by oxymeter at home). 
Turns out her usual oxygen level is 92. And the level has returned to her usual 92 and the fever has gone away. But today shes experiencing a mild chest pain. 
What is the best way to handle the current situation? What should be the protocol to follow?
I am near mexico city. All of my relatives are suggesting to wait more to see if she gets worse before taking her to the hospital due to oversaturation. Should i proceede to take her to the ER now? 
Thank you in advance.</t>
        </is>
      </c>
      <c r="D1713" t="n">
        <v>1</v>
      </c>
      <c r="E1713" t="n">
        <v>9</v>
      </c>
      <c r="F1713">
        <f>HYPERLINK("https://www.reddit.com/r/COVID19positive/comments/gyg5ji/65f_early_covid19_symptoms_with_chest_pain/")</f>
        <v/>
      </c>
      <c r="G1713" t="inlineStr">
        <is>
          <t>2020-06-07 10:10:03</t>
        </is>
      </c>
      <c r="H1713" t="inlineStr">
        <is>
          <t>Presumed Positive - From Doctor</t>
        </is>
      </c>
    </row>
    <row r="1714">
      <c r="A1714" t="inlineStr">
        <is>
          <t>gygabg</t>
        </is>
      </c>
      <c r="B1714" t="inlineStr">
        <is>
          <t>What supplements helped you? And what I'm taking right now.</t>
        </is>
      </c>
      <c r="C1714" t="inlineStr">
        <is>
          <t>Anyone tried nattokinase? Supposed to promote breakup of blood clots. That's my latest experiment. 
What I'm taking daily:
Centrum Men's Multi
Vit D 5000iu
Vit C 1000mg x2
Zinc 25mg
MSM + Glucosamine 1500mg x2
Quercetin 800mg x2
NAC 880mg x2
Flaxseed Oil
Magtein
Nattokinase x2
C60
Probiotic
Tiny amount potassium 2% DV x6
Idk if any of this helped or I'm just getting better with time but I did start to feel better after I started quercetin. The NAC seemed to help respiratory symptoms too. Green and rooibos tea seem to help too though I'm not drinking much tea these days. Rest has probably had the biggest effect.</t>
        </is>
      </c>
      <c r="D1714" t="n">
        <v>1</v>
      </c>
      <c r="E1714" t="n">
        <v>40</v>
      </c>
      <c r="F1714">
        <f>HYPERLINK("https://www.reddit.com/r/COVID19positive/comments/gygabg/what_supplements_helped_you_and_what_im_taking/")</f>
        <v/>
      </c>
      <c r="G1714" t="inlineStr">
        <is>
          <t>2020-06-07 10:17:37</t>
        </is>
      </c>
      <c r="H1714" t="inlineStr">
        <is>
          <t>Presumed Positive - From Doctor</t>
        </is>
      </c>
    </row>
    <row r="1715">
      <c r="A1715" t="inlineStr">
        <is>
          <t>gyi8qa</t>
        </is>
      </c>
      <c r="B1715" t="inlineStr">
        <is>
          <t>COFFEE</t>
        </is>
      </c>
      <c r="C1715" t="inlineStr">
        <is>
          <t>Why is coffee such a trigger for Covid symptoms? I miss coffee so much but every time I think I’m fine and let myself have like a 1/4 cup I get chest and back pain and tightness all day. Green tea is OK but still gives me slight chest pain but just for an hour or so. I thought coffee was ANTI-inflammatory!!!</t>
        </is>
      </c>
      <c r="D1715" t="n">
        <v>1</v>
      </c>
      <c r="E1715" t="n">
        <v>68</v>
      </c>
      <c r="F1715">
        <f>HYPERLINK("https://www.reddit.com/r/COVID19positive/comments/gyi8qa/coffee/")</f>
        <v/>
      </c>
      <c r="G1715" t="inlineStr">
        <is>
          <t>2020-06-07 12:06:07</t>
        </is>
      </c>
      <c r="H1715" t="inlineStr">
        <is>
          <t>Presumed Positive - From Doctor</t>
        </is>
      </c>
    </row>
    <row r="1716">
      <c r="A1716" t="inlineStr">
        <is>
          <t>gyjvpg</t>
        </is>
      </c>
      <c r="B1716" t="inlineStr">
        <is>
          <t>Day 70+ Hard swollen long lumps: inflammation of cartilage/ breast bone</t>
        </is>
      </c>
      <c r="C1716" t="inlineStr">
        <is>
          <t>Hi all, I promised myself to only post positive news as I found lots of support in this group here during the really dark days. 
Today I need some help / support / advice though, but let’s start with the positive: my SOB finally went away for a week now ( although sometimes I feel like I forgot to breath or how to breath) , this was probably the most annoying lingering symptom for me. I had really good 4-5 days last week, felt normal! My numbness in the finger also resolved .. phewww 
Then Wednesday... I felt sore bone like swollen lump on my upper chest (2-3 ribs), my breast bone felt inflamed.. a day later have another lump at the bottom of the breastbone, then another one on the 5-6 rib.. I was so scared, called my dr went in for a check up.. she doesn’t think those are lymph nodes, but cartilage inflammation/ tietze syndrome. The weekend this just got more uncomfortable and sore. This virus is just testing me over and over again. My friends all know me as the positive person, and I really tried to keep high spirits and we joked that i need to experience ALL symptoms before my covid graduation..
But today I really worried if I will ever get ride of the inflammation.. what will come after this ( if this will pass soon)
Appreciate if you could share some tips to manage all symptoms! Thank you</t>
        </is>
      </c>
      <c r="D1716" t="n">
        <v>1</v>
      </c>
      <c r="E1716" t="n">
        <v>15</v>
      </c>
      <c r="F1716">
        <f>HYPERLINK("https://www.reddit.com/r/COVID19positive/comments/gyjvpg/day_70_hard_swollen_long_lumps_inflammation_of/")</f>
        <v/>
      </c>
      <c r="G1716" t="inlineStr">
        <is>
          <t>2020-06-07 13:32:19</t>
        </is>
      </c>
      <c r="H1716" t="inlineStr">
        <is>
          <t>Presumed Positive - From Doctor</t>
        </is>
      </c>
    </row>
    <row r="1717">
      <c r="A1717" t="inlineStr">
        <is>
          <t>gykj2a</t>
        </is>
      </c>
      <c r="B1717" t="inlineStr">
        <is>
          <t>Have you tried these two supplements? I also listed what helped me</t>
        </is>
      </c>
      <c r="C1717" t="inlineStr">
        <is>
          <t>Just wondering if anyone have tried Methylsulfonylmethane (MSM) and Boswellia suppléments to reduce inflammation that covid caused?
Around week 5 I started to take following supplements some definitely helped me with the breathing issue and inflammation of the trachea:
* NAC
* quercetin/ green tea extract 
* zinc
* vitamin C 
* vitamin D ( I have very low vitamin D)
* curcuma 
Week 8 doctor told me to add : 
* Metasleep, this has vitamin B, magnesium and melatonin ( which helped my fingers numbness)
Really want to get rid of all the inflammation and feel normal again!</t>
        </is>
      </c>
      <c r="D1717" t="n">
        <v>1</v>
      </c>
      <c r="E1717" t="n">
        <v>21</v>
      </c>
      <c r="F1717">
        <f>HYPERLINK("https://www.reddit.com/r/COVID19positive/comments/gykj2a/have_you_tried_these_two_supplements_i_also/")</f>
        <v/>
      </c>
      <c r="G1717" t="inlineStr">
        <is>
          <t>2020-06-07 14:04:44</t>
        </is>
      </c>
      <c r="H1717" t="inlineStr">
        <is>
          <t>Presumed Positive - From Doctor</t>
        </is>
      </c>
    </row>
    <row r="1718">
      <c r="A1718" t="inlineStr">
        <is>
          <t>gyl93m</t>
        </is>
      </c>
      <c r="B1718" t="inlineStr">
        <is>
          <t>How does alcohol affect you?</t>
        </is>
      </c>
      <c r="C1718" t="inlineStr">
        <is>
          <t>I had some alcohol a couple of days ago and have been having a lapse of symptoms, including a higher temp (my base is 96.6°F, current temp is around 98.7°F) after drinking. It’s weird because I have a higher tolerance to alcohol than usual after being presumed positive - all seemed good, but for the past few days I have felt fevery and moody. 
My legs feel like they are on fire. I used to be an alcoholic, and this feels nothing like a hangover, but like symptoms flaring up. It’s always weird when my temp rises as a post viral symptom, because I did not have a fever with initial symptoms (did have elevated temp, but no fever). 
How does alcohol work for you? I started having symptoms on April 16th and I tend to wax and wane between normal and not. Right now, I feel almost worse than I did with initial symptoms as far as leg burning and temp goes.</t>
        </is>
      </c>
      <c r="D1718" t="n">
        <v>1</v>
      </c>
      <c r="E1718" t="n">
        <v>26</v>
      </c>
      <c r="F1718">
        <f>HYPERLINK("https://www.reddit.com/r/COVID19positive/comments/gyl93m/how_does_alcohol_affect_you/")</f>
        <v/>
      </c>
      <c r="G1718" t="inlineStr">
        <is>
          <t>2020-06-07 14:41:59</t>
        </is>
      </c>
      <c r="H1718" t="inlineStr">
        <is>
          <t>Presumed Positive - From Doctor</t>
        </is>
      </c>
    </row>
    <row r="1719">
      <c r="A1719" t="inlineStr">
        <is>
          <t>gylkmw</t>
        </is>
      </c>
      <c r="B1719" t="inlineStr">
        <is>
          <t>😥😥</t>
        </is>
      </c>
      <c r="C1719" t="inlineStr">
        <is>
          <t>Does anybody experience one sided headaches plus major congestion that your face hurts?</t>
        </is>
      </c>
      <c r="D1719" t="n">
        <v>1</v>
      </c>
      <c r="E1719" t="n">
        <v>23</v>
      </c>
      <c r="F1719">
        <f>HYPERLINK("https://www.reddit.com/r/COVID19positive/comments/gylkmw/_/")</f>
        <v/>
      </c>
      <c r="G1719" t="inlineStr">
        <is>
          <t>2020-06-07 14:58:21</t>
        </is>
      </c>
      <c r="H1719" t="inlineStr">
        <is>
          <t>Tested Positive - Family</t>
        </is>
      </c>
    </row>
    <row r="1720">
      <c r="A1720" t="inlineStr">
        <is>
          <t>gyloci</t>
        </is>
      </c>
      <c r="B1720" t="inlineStr">
        <is>
          <t>Whats the longest time someone or their belongs can be contagious for if they have had a severe case which took weeks to clear up?</t>
        </is>
      </c>
      <c r="C1720" t="inlineStr">
        <is>
          <t>Just asking as i met my friends yesterday and my symptoms started 27-30 days ago and i still have abit of a cough and fatigue still and body pains.</t>
        </is>
      </c>
      <c r="D1720" t="n">
        <v>1</v>
      </c>
      <c r="E1720" t="n">
        <v>3</v>
      </c>
      <c r="F1720">
        <f>HYPERLINK("https://www.reddit.com/r/COVID19positive/comments/gyloci/whats_the_longest_time_someone_or_their_belongs/")</f>
        <v/>
      </c>
      <c r="G1720" t="inlineStr">
        <is>
          <t>2020-06-07 15:03:36</t>
        </is>
      </c>
      <c r="H1720" t="inlineStr">
        <is>
          <t>Presumed Positive - From Doctor</t>
        </is>
      </c>
    </row>
    <row r="1721">
      <c r="A1721" t="inlineStr">
        <is>
          <t>gym8jt</t>
        </is>
      </c>
      <c r="B1721" t="inlineStr">
        <is>
          <t>Had Symptoms for Weeks but Tested Negative?</t>
        </is>
      </c>
      <c r="C1721" t="inlineStr">
        <is>
          <t>I (24 F) thought I had this back in mid-March; I had a ton of symptoms, and multiple doctors (including an ER doctor) believed I had it at the time. My symptoms were: 
- for the first week and a half, I had slight head congestion and chest tightness that I thought were allergies (I also have asthma and figured they were related). However, I also had this weird burning feeling around my sternum both in my chest and in my upper back.
- almost immediately when week two started, I came down with a low-grade fever that kept me up one night, and then the fever came and went over the next three days.
- other symptoms during week two: tired, extremely achy, bad upper and lower back pain (it hurt to even lie down), chest tightness and shortness of breath (I could barely talk and this was also worse when I was lying down), dizzy, horrible headache, nauseous
As I said, I have asthma, and this felt totally different from an asthma attack - I didn’t wheeze at all; it instead felt like my chest was being squeezed in a vice and like I was breathing through a straw. 
I went and got tested toward the end of the second week and tested negative. I also had to go to the ER the next day because I couldn’t breathe (literally felt like my right lung wasn’t working), and my O2/blood pressure/chest X-ray were fine so they sent me home after helping me with the breathing issue.
The other odd thing was that after my fever went away, some symptoms (achy, weird chest burning feeling, tiredness, and basically just felt like I was in a fog) came back some days for about the next month. Some days I’d feel fine and like I’d recovered, then the next day my chest/upper back felt like they were on fire. 
Did anyone else have an experience like this? I’m debating now whether I should get tested for antibodies.</t>
        </is>
      </c>
      <c r="D1721" t="n">
        <v>1</v>
      </c>
      <c r="E1721" t="n">
        <v>22</v>
      </c>
      <c r="F1721">
        <f>HYPERLINK("https://www.reddit.com/r/COVID19positive/comments/gym8jt/had_symptoms_for_weeks_but_tested_negative/")</f>
        <v/>
      </c>
      <c r="G1721" t="inlineStr">
        <is>
          <t>2020-06-07 15:32:14</t>
        </is>
      </c>
      <c r="H1721" t="inlineStr">
        <is>
          <t>Presumed Positive - From Doctor</t>
        </is>
      </c>
    </row>
    <row r="1722">
      <c r="A1722" t="inlineStr">
        <is>
          <t>gymueg</t>
        </is>
      </c>
      <c r="B1722" t="inlineStr">
        <is>
          <t>Only tachycardia and fatigue remain as my symptoms - progress!</t>
        </is>
      </c>
      <c r="C1722" t="inlineStr">
        <is>
          <t>I (23, F) first fell ill with presumed covid 19 on March 30th. I finally began feeling significantly/mostly  improved  May 25th.  At this point tachycardia is my main issue and I have an appointment with a cardiologist next week. I still require a lot of sleep and fatigue faster than before, but I have not had any back steps in progress for a few weeks now. Today, I walked a mile and sprinted twice during my workout. I use to be able to run a mile and a half, but slow progress is better than nothing. I hope everyone is doing okay and keep holding onto hope and focus on the small victories as you are healing up.</t>
        </is>
      </c>
      <c r="D1722" t="n">
        <v>1</v>
      </c>
      <c r="E1722" t="n">
        <v>36</v>
      </c>
      <c r="F1722">
        <f>HYPERLINK("https://www.reddit.com/r/COVID19positive/comments/gymueg/only_tachycardia_and_fatigue_remain_as_my/")</f>
        <v/>
      </c>
      <c r="G1722" t="inlineStr">
        <is>
          <t>2020-06-07 16:04:31</t>
        </is>
      </c>
      <c r="H1722" t="inlineStr">
        <is>
          <t>Presumed Positive - From Doctor</t>
        </is>
      </c>
    </row>
    <row r="1723">
      <c r="A1723" t="inlineStr">
        <is>
          <t>gynatp</t>
        </is>
      </c>
      <c r="B1723" t="inlineStr">
        <is>
          <t>My husband tested positive and now I'm feeling sick, worried about caring for kids</t>
        </is>
      </c>
      <c r="C1723" t="inlineStr">
        <is>
          <t>My (27f) husbands (33m) test results came back positive this morning and he's been really sick for a couple days, there's no way he could care for the kids. We have 5 kids and one of them is under one. I am now starting to feel sick. Wondering how others have protected and cared for their kids if all caregivers are covid positive. I wouldn't want to bring my kids to anyone else and risk their exposure. Also wondering if there's anything that helped anyone early on manage their symptoms.</t>
        </is>
      </c>
      <c r="D1723" t="n">
        <v>1</v>
      </c>
      <c r="E1723" t="n">
        <v>15</v>
      </c>
      <c r="F1723">
        <f>HYPERLINK("https://www.reddit.com/r/COVID19positive/comments/gynatp/my_husband_tested_positive_and_now_im_feeling/")</f>
        <v/>
      </c>
      <c r="G1723" t="inlineStr">
        <is>
          <t>2020-06-07 16:29:08</t>
        </is>
      </c>
      <c r="H1723" t="inlineStr">
        <is>
          <t>Tested Positive - Family</t>
        </is>
      </c>
    </row>
    <row r="1724">
      <c r="A1724" t="inlineStr">
        <is>
          <t>gyodkn</t>
        </is>
      </c>
      <c r="B1724" t="inlineStr">
        <is>
          <t>Day 75 - Migraine questions</t>
        </is>
      </c>
      <c r="C1724" t="inlineStr">
        <is>
          <t>Hi y’all day 75 here as you can see 
This past week has brought on some pretty intense migraines/ headaches i don’t even know what to call them. Extreme pressure in brain lol &amp;amp; ear for 6 days straight . 
Has anyone else experienced this . If so what did you do to ease it / did they subside ? Can’t tell if I should be super concerned. My doctor put in for an MRI, just in case but we are gonna discuss doing it this upcoming week . 
I’ve tried ice packs and such which help but they’re not the solution. any suggestions would be awesome 
Thanks in advance!</t>
        </is>
      </c>
      <c r="D1724" t="n">
        <v>1</v>
      </c>
      <c r="E1724" t="n">
        <v>2</v>
      </c>
      <c r="F1724">
        <f>HYPERLINK("https://www.reddit.com/r/COVID19positive/comments/gyodkn/day_75_migraine_questions/")</f>
        <v/>
      </c>
      <c r="G1724" t="inlineStr">
        <is>
          <t>2020-06-07 17:30:51</t>
        </is>
      </c>
      <c r="H1724" t="inlineStr">
        <is>
          <t>Tested Positive</t>
        </is>
      </c>
    </row>
    <row r="1725">
      <c r="A1725" t="inlineStr">
        <is>
          <t>gyofiq</t>
        </is>
      </c>
      <c r="B1725" t="inlineStr">
        <is>
          <t>Unemployment/disability for long term sufferers in the US?</t>
        </is>
      </c>
      <c r="C1725" t="inlineStr">
        <is>
          <t>I've been furloughed for the 3 months I've been ill. But we're opening back up and there is no way I can work. 
Do I have to explore unemployment? Disability? I'm not even sure where to start.
Thanks.</t>
        </is>
      </c>
      <c r="D1725" t="n">
        <v>1</v>
      </c>
      <c r="E1725" t="n">
        <v>6</v>
      </c>
      <c r="F1725">
        <f>HYPERLINK("https://www.reddit.com/r/COVID19positive/comments/gyofiq/unemploymentdisability_for_long_term_sufferers_in/")</f>
        <v/>
      </c>
      <c r="G1725" t="inlineStr">
        <is>
          <t>2020-06-07 17:34:24</t>
        </is>
      </c>
      <c r="H1725" t="inlineStr">
        <is>
          <t>Presumed Positive - From Doctor</t>
        </is>
      </c>
    </row>
    <row r="1726">
      <c r="A1726" t="inlineStr">
        <is>
          <t>gyolz3</t>
        </is>
      </c>
      <c r="B1726" t="inlineStr">
        <is>
          <t>Tested positive Wednesday. Awaiting symptoms</t>
        </is>
      </c>
      <c r="C1726" t="inlineStr">
        <is>
          <t>Pretty sure my point of contact was Sunday June 1. Got tested Monday and got positive results back Wednesday. I’m asymptomatic so far as I can tell, but I just stopped smoking weed in response to this so it’s hard to say. I’ve been coughing and spitting as a way of life for some time now. Could be tar or covid in my lungs y’know?
I guess I really want to know when to start worrying. What are the first serious symptoms to look out for and what can I do now? 
I’m 6’5”, weigh about 190 at 26 yrs of age if that helps. No previous conditions. 
Also, what’s drinking been like for most? I’ve been quarantined in my room for a week now and I’m losing it</t>
        </is>
      </c>
      <c r="D1726" t="n">
        <v>1</v>
      </c>
      <c r="E1726" t="n">
        <v>8</v>
      </c>
      <c r="F1726">
        <f>HYPERLINK("https://www.reddit.com/r/COVID19positive/comments/gyolz3/tested_positive_wednesday_awaiting_symptoms/")</f>
        <v/>
      </c>
      <c r="G1726" t="inlineStr">
        <is>
          <t>2020-06-07 17:45:48</t>
        </is>
      </c>
      <c r="H1726" t="inlineStr">
        <is>
          <t>Tested Positive - Me</t>
        </is>
      </c>
    </row>
    <row r="1727">
      <c r="A1727" t="inlineStr">
        <is>
          <t>gyp5nv</t>
        </is>
      </c>
      <c r="B1727" t="inlineStr">
        <is>
          <t>Shortness of breath lingering after 14 weeks?</t>
        </is>
      </c>
      <c r="C1727" t="inlineStr">
        <is>
          <t>I have shortness of breath which usually starts after I have dinner and it gets progressively worse until the exhaustion makes me sleep. Does anyone else have it lasting this long? My only other lingering symptom is palpitations and occasional tachycardia. It feels like my chest is very tight.</t>
        </is>
      </c>
      <c r="D1727" t="n">
        <v>1</v>
      </c>
      <c r="E1727" t="n">
        <v>38</v>
      </c>
      <c r="F1727">
        <f>HYPERLINK("https://www.reddit.com/r/COVID19positive/comments/gyp5nv/shortness_of_breath_lingering_after_14_weeks/")</f>
        <v/>
      </c>
      <c r="G1727" t="inlineStr">
        <is>
          <t>2020-06-07 18:22:02</t>
        </is>
      </c>
      <c r="H1727" t="inlineStr">
        <is>
          <t>Presumed Positive - From Doctor</t>
        </is>
      </c>
    </row>
    <row r="1728">
      <c r="A1728" t="inlineStr">
        <is>
          <t>gypa6x</t>
        </is>
      </c>
      <c r="B1728" t="inlineStr">
        <is>
          <t>My wife and roommate tested positive, but I tested negative. Why?</t>
        </is>
      </c>
      <c r="C1728" t="inlineStr">
        <is>
          <t>I dont get it. I was put into the hospital earlier this week for suspicion of having Covid19, and first off let me tell you all the symptoms were there except fever. Not once did I have a fever. Oh, and our room mate was a confirmed case. However, each time I was tested(3 times in 24 hours) though the test came back negative. I was treated and released back home where I learned that my wife had also tested positive for Covid19. Both of their doctors think that I had it and passed it to them(I was symptomatic a few days before them) but they have no idea why I would test negative that many times. The hospital tested me that many times to rule out false negative before they even considered releasing me.
Does this sound right at all? Do I need to get retested?
For the record we are all asymptomatic now and all feel much better.</t>
        </is>
      </c>
      <c r="D1728" t="n">
        <v>1</v>
      </c>
      <c r="E1728" t="n">
        <v>13</v>
      </c>
      <c r="F1728">
        <f>HYPERLINK("https://www.reddit.com/r/COVID19positive/comments/gypa6x/my_wife_and_roommate_tested_positive_but_i_tested/")</f>
        <v/>
      </c>
      <c r="G1728" t="inlineStr">
        <is>
          <t>2020-06-07 18:30:26</t>
        </is>
      </c>
      <c r="H1728" t="inlineStr">
        <is>
          <t>Presumed Positive - From Doctor</t>
        </is>
      </c>
    </row>
    <row r="1729">
      <c r="A1729" t="inlineStr">
        <is>
          <t>gypfhy</t>
        </is>
      </c>
      <c r="B1729" t="inlineStr">
        <is>
          <t>Is anyone else experimenting some tickes on their chest?</t>
        </is>
      </c>
      <c r="C1729" t="inlineStr">
        <is>
          <t>So, I'm on day 18 or something and I'm improving slowly, but improving nonetheless. One new thing that started 2 days ago is some weird tickling-like feeling on my chest. It doesn't hurt, it doesn't bother me that much, but it feels weird. I have some cough and sore throat but they are really minimal. Anyone else experimenting this feeling?</t>
        </is>
      </c>
      <c r="D1729" t="n">
        <v>1</v>
      </c>
      <c r="E1729" t="n">
        <v>13</v>
      </c>
      <c r="F1729">
        <f>HYPERLINK("https://www.reddit.com/r/COVID19positive/comments/gypfhy/is_anyone_else_experimenting_some_tickes_on_their/")</f>
        <v/>
      </c>
      <c r="G1729" t="inlineStr">
        <is>
          <t>2020-06-07 18:40:08</t>
        </is>
      </c>
      <c r="H1729" t="inlineStr">
        <is>
          <t>Tested Positive - Me</t>
        </is>
      </c>
    </row>
    <row r="1730">
      <c r="A1730" t="inlineStr">
        <is>
          <t>gyq0mm</t>
        </is>
      </c>
      <c r="B1730" t="inlineStr">
        <is>
          <t>My story of my Mom (F58), myself (M19) and my twin brother (M19) all having the coronavirus</t>
        </is>
      </c>
      <c r="C1730" t="inlineStr">
        <is>
          <t>*Let me start this by saying my mother’s case is presumed, there were no tests in Michigan in early April*
-
-
-
My mom (slightly overweight, type 2 diabetes) came home from work on March 27 (a Friday) with very mild cold like symptoms, thinking it was allergies from spring she decided to wait it out at home and rest up over the weekend which worked, and she was 100% by Monday (the 30th) and went back to work. But then on that Thursday she was hit by a brick wall and was becoming very sick, very fast. By that Saturday (April 4) she was at her worst symptoms such as: Terrible headache, cough, and fatigue. We later went on to video call a doctor where she was diagnosed with coronavirus
Some background on me I’m a Male, 19 and am slightly overweight. Coincidentally that same day I started to get headaches, and by that next Monday (April 6th) I had a fever and fatigue and absolutely no appetite with a slight cough. We figured that it was most likely the same thing, so we didn’t call a doctor. I was home from college and in quarantine so I wasn’t going anywhere anyway. That Monday-Wednesday was the worst for me I had major fatigue, nausea (the absolute worst) and a cough. However after Wednesday, I got substantially better everyday and was symptom free by the next Monday morning. I would say that I had the virus for about 7-10 days.
My mom on the other hand, had symptoms longer than I did, she regained her appetite and had no more nausea a few days after I did. And still has a slight lingering cough to this day.  So she had coronavirus symptoms from about March 27- April 14.
Right when I got better, my twin brother (same body type as me) got sick with nearly identical symptoms, he had less of a cough but had more of a fever
My brother and I had antibody tests last week, both coming back positive
I guess the point of this is, if you contract the virus you can still get better, it’s not a death sentence by any means. YOU CAN BEAT IT
Stay safe everyone. I happy to answer any questions anyone may have</t>
        </is>
      </c>
      <c r="D1730" t="n">
        <v>1</v>
      </c>
      <c r="E1730" t="n">
        <v>28</v>
      </c>
      <c r="F1730">
        <f>HYPERLINK("https://www.reddit.com/r/COVID19positive/comments/gyq0mm/my_story_of_my_mom_f58_myself_m19_and_my_twin/")</f>
        <v/>
      </c>
      <c r="G1730" t="inlineStr">
        <is>
          <t>2020-06-07 19:19:11</t>
        </is>
      </c>
      <c r="H1730" t="inlineStr">
        <is>
          <t>Tested Positive - Family</t>
        </is>
      </c>
    </row>
    <row r="1731">
      <c r="A1731" t="inlineStr">
        <is>
          <t>gyqolw</t>
        </is>
      </c>
      <c r="B1731" t="inlineStr">
        <is>
          <t>My grandpa tested positive today</t>
        </is>
      </c>
      <c r="C1731" t="inlineStr">
        <is>
          <t>My grandpa has been tested positive today and I'm not taking it too well unfortunately</t>
        </is>
      </c>
      <c r="D1731" t="n">
        <v>1</v>
      </c>
      <c r="E1731" t="n">
        <v>7</v>
      </c>
      <c r="F1731">
        <f>HYPERLINK("https://www.reddit.com/r/COVID19positive/comments/gyqolw/my_grandpa_tested_positive_today/")</f>
        <v/>
      </c>
      <c r="G1731" t="inlineStr">
        <is>
          <t>2020-06-07 20:03:22</t>
        </is>
      </c>
      <c r="H1731" t="inlineStr">
        <is>
          <t>Tested Positive - Family</t>
        </is>
      </c>
    </row>
    <row r="1732">
      <c r="A1732" t="inlineStr">
        <is>
          <t>gyqqwn</t>
        </is>
      </c>
      <c r="B1732" t="inlineStr">
        <is>
          <t>39M Australia. Still lingering</t>
        </is>
      </c>
      <c r="C1732" t="inlineStr">
        <is>
          <t>Symptomic from March.
Symptoms: Night sweats (early days) / random chills / chest tightness (early days) / sore throat / headache / dry mouth / tachycardia (especially on high histamine foods like fermented stuff) / petechiae (gone now) / random joint pain / low potassium (going up) / SOB / back ache (dull) / proning helped / higher NLR / warm breath.
Blood panel clear except NLR and Potassium.
Mild SOB and back ache are remaining now. Waiting for x-ray. 
Does this sound like typical Covid19 profile ? Really happy to find this sub. Thanks everyone.</t>
        </is>
      </c>
      <c r="D1732" t="n">
        <v>1</v>
      </c>
      <c r="E1732" t="n">
        <v>12</v>
      </c>
      <c r="F1732">
        <f>HYPERLINK("https://www.reddit.com/r/COVID19positive/comments/gyqqwn/39m_australia_still_lingering/")</f>
        <v/>
      </c>
      <c r="G1732" t="inlineStr">
        <is>
          <t>2020-06-07 20:07:30</t>
        </is>
      </c>
      <c r="H1732" t="inlineStr">
        <is>
          <t>Presumed Positive - From Test</t>
        </is>
      </c>
    </row>
    <row r="1733">
      <c r="A1733" t="inlineStr">
        <is>
          <t>gyswfc</t>
        </is>
      </c>
      <c r="B1733" t="inlineStr">
        <is>
          <t>COVID ICU Treatment Cost for Uninsured (US)</t>
        </is>
      </c>
      <c r="C1733" t="inlineStr">
        <is>
          <t>Hello everyone,
I am so sorry if this is not the right place to ask this, but I am desperate as I haven’t found anyone else going through something similar... 
My dad first experienced COVID symptoms on May 30. He received a test on the 2nd of June and it came back positive on the 5th. My dad had decided to just self quarantine for the meantime, but in the early morning hours of the 9th, he had a severe shortness of breath and had to drive himself to the ER (He lives by himself 4 hours away from me). At the hospital, he was placed in the ICU with an oxygen mask. The first 2-3 days were really bad. He improved only very slightly, but the doctor’s discovered he had had a heart attack very recently based on his bloodwork (possibly right before or after he got to the hospital), so he was placed on a heparin drip to minimize the blood clotting. After receiving remdesivir and some plasma with antibodies, he started to get better, and he has now been moved out of the ICU into a private hospital room. Even though he has not been fully discharged yet, I am optimistic about his recovery, however, now, another issue is looming over my head. How to pay for all of this...
Due to COVID, my dad has been bouncing around different jobs, and he is currently uninsured. Being hospitalized even with insurance is already pricey to begin with, and I don’t know how the process is moving forward from this. I know there’s some type of government assistance program for uninsured COVID patients who get treatment. Has anyone had any experience with that?
Again, I apologize if this is not the right place to ask this question. If I need to pointed in the correct direction, I would appreciate it!
Thanks,</t>
        </is>
      </c>
      <c r="D1733" t="n">
        <v>1</v>
      </c>
      <c r="E1733" t="n">
        <v>7</v>
      </c>
      <c r="F1733">
        <f>HYPERLINK("https://www.reddit.com/r/COVID19positive/comments/gyswfc/covid_icu_treatment_cost_for_uninsured_us/")</f>
        <v/>
      </c>
      <c r="G1733" t="inlineStr">
        <is>
          <t>2020-06-07 22:34:11</t>
        </is>
      </c>
      <c r="H1733" t="inlineStr">
        <is>
          <t>Tested Positive - Family</t>
        </is>
      </c>
    </row>
    <row r="1734">
      <c r="A1734" t="inlineStr">
        <is>
          <t>gyt8wi</t>
        </is>
      </c>
      <c r="B1734" t="inlineStr">
        <is>
          <t>Day 73, 27M, mild case, acute loss of smell/taste, currently lingering cough, still positive</t>
        </is>
      </c>
      <c r="C1734" t="inlineStr">
        <is>
          <t>3/27 - I lost my sense of smell/taste completely, which resolved after 6 days. At this point, it was not a CDC recognized symptom of covid-19.  
No other symptoms whatsoever. A few weeks later, I developed an infrequent, mild dry cough.
4/22 - got check up at urgent care. impression was that it was just allergies. decided not to test for covid.
5/14 - cough still mild and infrequent, but worse than before. still no other symptoms. Got diagnostic swab and antibody test performed. Swab &amp;amp; Antibody test **BOTH positive.**
6/8 - have not gotten retested yet, but still coughing (mostly dry, sometimes wet). But today would make it **73 days** since I lost my smell assuming that marked the onset of my infection.
I plan to get re-tested tomorrow, but I fear it will just still be positive.
&amp;amp;#x200B;
QUESTION 1: does anyone know if one can test negative for the swab, yet just have mild lingering symptoms and therefore not able to trasmit the infection?
QUESTION 2: Does anything think I still am "infectious" at this point and have the ability to transmit the disease?</t>
        </is>
      </c>
      <c r="D1734" t="n">
        <v>1</v>
      </c>
      <c r="E1734" t="n">
        <v>0</v>
      </c>
      <c r="F1734">
        <f>HYPERLINK("https://www.reddit.com/r/COVID19positive/comments/gyt8wi/day_73_27m_mild_case_acute_loss_of_smelltaste/")</f>
        <v/>
      </c>
      <c r="G1734" t="inlineStr">
        <is>
          <t>2020-06-07 22:57:21</t>
        </is>
      </c>
      <c r="H1734" t="inlineStr">
        <is>
          <t>Tested Positive - Me</t>
        </is>
      </c>
    </row>
    <row r="1735">
      <c r="A1735" t="inlineStr">
        <is>
          <t>gythqo</t>
        </is>
      </c>
      <c r="B1735" t="inlineStr">
        <is>
          <t>Abnormal white blood cell levels concurrent with heart symptoms at 12 weeks. Anyone else?</t>
        </is>
      </c>
      <c r="C1735" t="inlineStr">
        <is>
          <t>About a week ago I inexplicably developed heart symptoms and became tachycardic.  In April and May, my white blood cell values were  fine.   Now, at 12 weeks, I have high neutrophils, low lymphocytes, but total WBC was normal.  Anyone else in a similar boat?</t>
        </is>
      </c>
      <c r="D1735" t="n">
        <v>1</v>
      </c>
      <c r="E1735" t="n">
        <v>12</v>
      </c>
      <c r="F1735">
        <f>HYPERLINK("https://www.reddit.com/r/COVID19positive/comments/gythqo/abnormal_white_blood_cell_levels_concurrent_with/")</f>
        <v/>
      </c>
      <c r="G1735" t="inlineStr">
        <is>
          <t>2020-06-07 23:13:33</t>
        </is>
      </c>
      <c r="H1735" t="inlineStr">
        <is>
          <t>Presumed Positive - From Doctor</t>
        </is>
      </c>
    </row>
    <row r="1736">
      <c r="A1736" t="inlineStr">
        <is>
          <t>gyy6on</t>
        </is>
      </c>
      <c r="B1736" t="inlineStr">
        <is>
          <t>Anyone took any medication to clear up the brain fog</t>
        </is>
      </c>
      <c r="C1736" t="inlineStr">
        <is>
          <t>the brain fog is driving me insane I cant focus or do my college classes(signed up for summer classes) with this brain fog and dizziness any tips at all im willing to try anything at this point</t>
        </is>
      </c>
      <c r="D1736" t="n">
        <v>7</v>
      </c>
      <c r="E1736" t="n">
        <v>39</v>
      </c>
      <c r="F1736">
        <f>HYPERLINK("https://www.reddit.com/r/COVID19positive/comments/gyy6on/anyone_took_any_medication_to_clear_up_the_brain/")</f>
        <v/>
      </c>
      <c r="G1736" t="inlineStr">
        <is>
          <t>2020-06-08 05:12:52</t>
        </is>
      </c>
      <c r="H1736" t="inlineStr">
        <is>
          <t>Tested Positive - Me</t>
        </is>
      </c>
    </row>
    <row r="1737">
      <c r="A1737" t="inlineStr">
        <is>
          <t>gyy7vz</t>
        </is>
      </c>
      <c r="B1737" t="inlineStr">
        <is>
          <t>update on my fathers condition</t>
        </is>
      </c>
      <c r="C1737" t="inlineStr">
        <is>
          <t>the doctor called yesterday. she said the only thing thats changed his is blood pressure. it appears to be going back to normal. she said his body is having trouble fighting off the virus. his immune system is not good. she said that everyone has a chance of making it and she will be doing her best to try and help him. ive been trying my best to remain positive. i mean there's nothing else we can do. she said since his arms and legs can't get normal blood flow she's starting to see them turn a different color meaning gang green. but since his blood pressure is going back to normal that should be resolved. 
ive been trying best mentally to prepare for whatever is about to come. im really afraid that i might go into depression. once im in it then its gonna be hard to come out of it. last time i went through depression i remember i couldnt eat and i was always sleeping. which is why i lost so much weight. i use to be 400 pounds. now im 192. that heart ache of losing someone close to you is the worst feeling. that to me is worst then physical pain. i know everyone has to die some day but no one should be dying like this. 
what bothers me is that the decision is left to me if i wanna keep him on life support or remove him from it. i don't like to see anyone suffering and thats what i feel like he's going through. but at the same time theres a chance that he can make it and ill be able to see him again. i honestly dont know if im being selfish.</t>
        </is>
      </c>
      <c r="D1737" t="n">
        <v>1</v>
      </c>
      <c r="E1737" t="n">
        <v>4</v>
      </c>
      <c r="F1737">
        <f>HYPERLINK("https://www.reddit.com/r/COVID19positive/comments/gyy7vz/update_on_my_fathers_condition/")</f>
        <v/>
      </c>
      <c r="G1737" t="inlineStr">
        <is>
          <t>2020-06-08 05:15:12</t>
        </is>
      </c>
      <c r="H1737" t="inlineStr">
        <is>
          <t>Tested Positive - Family</t>
        </is>
      </c>
    </row>
    <row r="1738">
      <c r="A1738" t="inlineStr">
        <is>
          <t>gyylvv</t>
        </is>
      </c>
      <c r="B1738" t="inlineStr">
        <is>
          <t>Is there a resource for finding the rate of false positives for a test?</t>
        </is>
      </c>
      <c r="C1738" t="inlineStr">
        <is>
          <t>Tested 5/28, received a positive on 6/3 while my wife received a negative.  None of us (wife, two kids) have experienced ANY symptoms at any point, so part of me is beginning to wonder about the accuracy of the results.
Yes, I know false positives are very unlikely and due primarily to cross-contamination.  I'm just wondering if there is a resource for finding out the false-positive rates for tests given by specific institutions...or rates for specific tests.  
I'm going back for another test in the next day or two, different testing location.  Just trying to look into this stuff while I have the time.</t>
        </is>
      </c>
      <c r="D1738" t="n">
        <v>4</v>
      </c>
      <c r="E1738" t="n">
        <v>13</v>
      </c>
      <c r="F1738">
        <f>HYPERLINK("https://www.reddit.com/r/COVID19positive/comments/gyylvv/is_there_a_resource_for_finding_the_rate_of_false/")</f>
        <v/>
      </c>
      <c r="G1738" t="inlineStr">
        <is>
          <t>2020-06-08 05:42:24</t>
        </is>
      </c>
      <c r="H1738" t="inlineStr">
        <is>
          <t>Tested Positive - Me</t>
        </is>
      </c>
    </row>
    <row r="1739">
      <c r="A1739" t="inlineStr">
        <is>
          <t>gz083w</t>
        </is>
      </c>
      <c r="B1739" t="inlineStr">
        <is>
          <t>Advice for preparing emotionally</t>
        </is>
      </c>
      <c r="C1739" t="inlineStr">
        <is>
          <t>Hello,
My husband tested covid PCR positive 2 days ago and this morning I woke up with a 102 degree fever, tickle/burning in my chest, muscle aches, loose stools. I had a remote call with a doctor that was useless, they just said "Yeah, you have covid. Take Tylenol." The closest testing site is over an hour away and I don't feel well enough to make the drive. 
I work for a hospice and have seen so many people younger and healthier than me die from covid. My husband is even sicker than I am with 104 degree temp and constant asthma attacks. I hate that I can't be there for him, I'm considering isolating together, against the doctor's advice. I started taking famotidine because I saw it might help and I have heartburn anyway.
Staring down 14+ days in this tiny, cold office that doesn't even have a bed feels unbearable. I struggled with depression and anxiety before all this and "hopeless" doesn't even begin to describe my feelings now. Maybe it's just the shock of all this being so new. Because of my work, every person I've known with COVID has died. Though I know that's not a representative sample, it leaves am emotional mark.
How did you all manage the emotional side of a new diagnosis?</t>
        </is>
      </c>
      <c r="D1739" t="n">
        <v>227</v>
      </c>
      <c r="E1739" t="n">
        <v>87</v>
      </c>
      <c r="F1739">
        <f>HYPERLINK("https://www.reddit.com/r/COVID19positive/comments/gz083w/advice_for_preparing_emotionally/")</f>
        <v/>
      </c>
      <c r="G1739" t="inlineStr">
        <is>
          <t>2020-06-08 07:21:34</t>
        </is>
      </c>
      <c r="H1739" t="inlineStr">
        <is>
          <t>Presumed Positive - From Doctor</t>
        </is>
      </c>
    </row>
    <row r="1740">
      <c r="A1740" t="inlineStr">
        <is>
          <t>gz0luv</t>
        </is>
      </c>
      <c r="B1740" t="inlineStr">
        <is>
          <t>COVID’s impact on the immune system</t>
        </is>
      </c>
      <c r="C1740" t="inlineStr">
        <is>
          <t>After “recovering” from COVID in March (tested positive for IgM antibodies, negative for IgG at the time) I am noticing that my family is getting sick a lot easier. In the past I would rarely get sick, but one week ago I had symptoms that basically mimicked COVID again and were actually worse than what I experienced in March (cough, itchy throat, body aches, headache). However I tested negative with a PCR test. I recovered after 5 days. My children also have symptoms and are taking much longer to recover from this than colds in the past (one also had a negative PCR test last week). The symptoms for my children are unique as well; just a cough which starts out very mild and worsens in the second week.  Oddly enough, my oldest didn’t catch this virus (or whatever it is) despite close daily contact with us, and she was asymptomatic for COVID as well. Same with my husband. This makes me assume it’s related somehow, but doctors are telling me it’s a new virus or infection. My son “caught” it first but he didn’t go anywhere and was not exposed to anyone, so it seemed impossible that it could be a new virus, until I got sick next.
I am wondering if anyone has had a normal cold post COVID and how that went? Or if you’re finding that you are getting sick more or easier than you used to? Or if you test negative with relapse? And if anyone knows if relapses are contagious, or if they trigger others?</t>
        </is>
      </c>
      <c r="D1740" t="n">
        <v>5</v>
      </c>
      <c r="E1740" t="n">
        <v>8</v>
      </c>
      <c r="F1740">
        <f>HYPERLINK("https://www.reddit.com/r/COVID19positive/comments/gz0luv/covids_impact_on_the_immune_system/")</f>
        <v/>
      </c>
      <c r="G1740" t="inlineStr">
        <is>
          <t>2020-06-08 07:43:20</t>
        </is>
      </c>
      <c r="H1740" t="inlineStr">
        <is>
          <t>Presumed Positive - From Test</t>
        </is>
      </c>
    </row>
    <row r="1741">
      <c r="A1741" t="inlineStr">
        <is>
          <t>gz1cah</t>
        </is>
      </c>
      <c r="B1741" t="inlineStr">
        <is>
          <t>If in doubt about your symptoms, please get them checked out. Day 55 and a new development...</t>
        </is>
      </c>
      <c r="C1741" t="inlineStr">
        <is>
          <t>Hi all, hope you are all doing your best to stay on top of this blasted virus. Things had taken a really positive turn in the last couple of weeks. Don’t get me wrong, I was still immensely frustrated by things such as tachycardia but even that seemed to be inching forwards in terms of improvement. I returned to work last Monday on a phased return, I was planning to post here about positive progress and all was looking good....
....until the weekend just gone. I felt SOB with tachycardia and chest discomfort (not painful but definitely noticeable) and myalgia had returned along with the feeling of a fever without actually being feverish. Been there, done that. Just basically fed up. I’ve absolutely avoided going to be seen until now even when I had other chest pains and bradycardia. Stupid, I know. I relied on people’s anecdotes, with almost identical symptoms, and their all clear results for their ER visits. 
My symptoms over the weekend were not awful. I just felt generally rubbish. There were no extremes of anything. I would not have gone to ER if it wasn’t for my wife insisting that it’s been long enough and I should at least get checked out. So, somewhat reluctantly, I went to ER today. 
Investigations done, most normal except D dimers were raised. Essentially, I have a suspected pulmonary embolism (PE). I have had anticoagulation at the hospitals and am going back tomorrow morning for a CT pulmonary angiogram and see what happens after that. 
I’m mightily dejected but also relieved I went. This bloody disease causes all sorts of symptoms and I think there are a fair few of us who have learned to live with uncertainty and various aches and pains. Please though, if in any doubt, get yourselves checked out and don’t put your head in the sand like me.</t>
        </is>
      </c>
      <c r="D1741" t="n">
        <v>52</v>
      </c>
      <c r="E1741" t="n">
        <v>44</v>
      </c>
      <c r="F1741">
        <f>HYPERLINK("https://www.reddit.com/r/COVID19positive/comments/gz1cah/if_in_doubt_about_your_symptoms_please_get_them/")</f>
        <v/>
      </c>
      <c r="G1741" t="inlineStr">
        <is>
          <t>2020-06-08 08:23:40</t>
        </is>
      </c>
      <c r="H1741" t="inlineStr">
        <is>
          <t>Tested Positive - Me</t>
        </is>
      </c>
    </row>
    <row r="1742">
      <c r="A1742" t="inlineStr">
        <is>
          <t>gz1yng</t>
        </is>
      </c>
      <c r="B1742" t="inlineStr">
        <is>
          <t>what would you do in my position</t>
        </is>
      </c>
      <c r="C1742" t="inlineStr">
        <is>
          <t>I work as a security guard; Don't talk to anyone at  work, don't come in contact with anyone just patrol a building. I am currently homeless, The shelter am staying in made everyone take the test and I came up positive. I don't feel any symptoms I feel completely fine. 
&amp;amp;#x200B;
The nurse offered a location for me to quarantine and to tell my employer so that I can be out for 2 weeks. I just started this job and I don't want to leave, This is my passage to finally leaving homelessness it was so hard to get it.  I don't know what to do, I feel like sleeping under a bridge and then just coming to work and eventually getting a room, But Am afraid that the nurse would contact my employer, ugh, I hate my life</t>
        </is>
      </c>
      <c r="D1742" t="n">
        <v>14</v>
      </c>
      <c r="E1742" t="n">
        <v>8</v>
      </c>
      <c r="F1742">
        <f>HYPERLINK("https://www.reddit.com/r/COVID19positive/comments/gz1yng/what_would_you_do_in_my_position/")</f>
        <v/>
      </c>
      <c r="G1742" t="inlineStr">
        <is>
          <t>2020-06-08 08:57:12</t>
        </is>
      </c>
      <c r="H1742" t="inlineStr">
        <is>
          <t>Tested Positive - Me</t>
        </is>
      </c>
    </row>
    <row r="1743">
      <c r="A1743" t="inlineStr">
        <is>
          <t>gz1zil</t>
        </is>
      </c>
      <c r="B1743" t="inlineStr">
        <is>
          <t>Coming down with symptoms second time in 2 months</t>
        </is>
      </c>
      <c r="C1743" t="inlineStr">
        <is>
          <t>I first contracted Covid in early April. I shared about it in Reddit, that I got it from going to the doctor’s office. I started coming down with it again this week but I’ve had so little social exposure. I went to the orthopedic doctor twice, grocery store and took precautions (Elevator buttons?) but was lax because I thought I was immune. Wore a mask made out of thin terry cotton for comfort. 
I’m wondering if this is actually a relapse, viral reactivation?  The George Floyd incident has triggered my PTSD from a very similar incident happened to me in 2007.  Was awake for 3 days stressed out anxious and run down. It’s milder this time but still kind of horrible. I’m having all the same symptoms but more gastrointestinal which makes me think possibly if I was exposed again that I got it through oral route. Been vomiting and nauseated all morning.  Sneezing, eyes and sinuses messed up, sore throat, drenching sweats. Been using zinc, Zicam spray, zithromax eyedrops, and hydroxycloriquine.
I live in Austin Texas and went to the city website and try to schedule testing through the public health. Earliest appointment I could get was in five days. I went to the CVS online and scheduled drive-through testing the same day. They gave me a swab through the pharmacy drive-through and swabbed  myself and put it in a dropbox. I expect the results to be positive. Had two false negative swabs last time.
I posted this on r/covid19_support and I got several people who were telling me I don’t have it. Austin is a hotspot. My grandmothers rural decent nursing home had 1/3 (15) residents and half the staff positive. They had the decency of [informing the media](https://www.kxan.com/investigations/35-residents-of-southwest-austin-nursing-home-tested-positive-for-coronavirus/ ) and putting out a press release.  I called my grandma yesterday, she is 96 years old and has recurrent bouts of pneumonia, and my uncle had not told her about it. I guess they didn’t want her to worry but that seems like a rotten thing to do. I asked her if anyone’s died she said someone did last week.
Symptoms yesterday included nausea and vomiting. Today just sooooo tired, irritated throat nose, and bad body aches plus the other usual symptoms save cough.</t>
        </is>
      </c>
      <c r="D1743" t="n">
        <v>5</v>
      </c>
      <c r="E1743" t="n">
        <v>12</v>
      </c>
      <c r="F1743">
        <f>HYPERLINK("https://www.reddit.com/r/COVID19positive/comments/gz1zil/coming_down_with_symptoms_second_time_in_2_months/")</f>
        <v/>
      </c>
      <c r="G1743" t="inlineStr">
        <is>
          <t>2020-06-08 08:58:32</t>
        </is>
      </c>
      <c r="H1743" t="inlineStr">
        <is>
          <t>Presumed Positive - From Doctor</t>
        </is>
      </c>
    </row>
    <row r="1744">
      <c r="A1744" t="inlineStr">
        <is>
          <t>gz3rkg</t>
        </is>
      </c>
      <c r="B1744" t="inlineStr">
        <is>
          <t>Do I Need to Go to the Hospital? (Long Termer)</t>
        </is>
      </c>
      <c r="C1744" t="inlineStr">
        <is>
          <t>Hey everyone, fellow long termer here (Day 77).
So long story short (you can follow the rest of my story on my profile), I had a really good day two weekends ago (I mean jesus, I had forgotten how great it was to breathe easily again). I enjoyed it for a day or two, then Monday came around where I started to have the urge to clear my lungs out a bit with an intermittent light unproductive cough (they've come and gone since week 1). Still, I felt much better than I had been for weeks. 
Then Wednesday comes around and a storm hit my outdoor workplace, which causes us to run for shelter. That night, I felt a tiny pressure in the back of my back/lungs (possibly from an overextension from seeking shelter). The next day, I helped rebuild the job site that was damaged, which involved lifting two heavy barricades out of the way. I also spoke with colleagues for a whole 10 hour day, which has been taking a toll out of me recently. 
Jump to two days ago, where the pressure in my back is almost unbearable. I'm back to having the "belt around my lungs" effect, which feels like it's limiting my capacity to take full deep breathes. It's caused me to loss sleep for the last few days, whether thats from the difficulty breathing or the anxiety of not feeling better. Strangely enough, my blood oxygen level still floats around 97-98. I'm wondering if inflammation in my lungs is just giving me the impression of SOB, or if I'm really fighting to keep that 97-98 where it is.
I have a telemed appointment tomorrow, but I'm wondering if I should just go to the hospital and get some tests done for infection or clotting? I've had random/temporary spouts of numbness in my toes and fingers the last few days, which is new. The only tests I've had so far were the nasal swab and IgG antibody test (both negative).
I'm also considering going on an extensive leave with my job (at least a month), which is a super bummer since I've already taken 2 weeks off in the past and could really use the money. I'm also a supervisor who has a good reputation at my workplace, so I feel like this will hurt my reputation as being a hypochondriac.
I feel like time is of the essence with this thing and the longer I take to be proactive the worse the end result will be.
\#TeamLongTermer #TeamFThisVirus</t>
        </is>
      </c>
      <c r="D1744" t="n">
        <v>7</v>
      </c>
      <c r="E1744" t="n">
        <v>16</v>
      </c>
      <c r="F1744">
        <f>HYPERLINK("https://www.reddit.com/r/COVID19positive/comments/gz3rkg/do_i_need_to_go_to_the_hospital_long_termer/")</f>
        <v/>
      </c>
      <c r="G1744" t="inlineStr">
        <is>
          <t>2020-06-08 10:31:33</t>
        </is>
      </c>
      <c r="H1744" t="inlineStr">
        <is>
          <t>Presumed Positive - From Doctor</t>
        </is>
      </c>
    </row>
    <row r="1745">
      <c r="A1745" t="inlineStr">
        <is>
          <t>gz41uk</t>
        </is>
      </c>
      <c r="B1745" t="inlineStr">
        <is>
          <t>I got two antibody tests 2 weeks apart and tested negative both times. I never developed antibodies.</t>
        </is>
      </c>
      <c r="C1745" t="inlineStr">
        <is>
          <t>I went through hell during the infection but part of me was relieved because at least I had already had it and wouldn’t get it again.
(When I got tested for the infection it came back negative but I’m 99% sure I had it because my lungs were fucked, I had all of the symptoms, and was constantly around someone who tested positive).
It’s been weeks since I had symptoms and I got two blood tests to check for antibodies. Both were negative. So .... I guess this means I can get it again, basically. And again until I die 🤷🏼‍♀️ this is great.</t>
        </is>
      </c>
      <c r="D1745" t="n">
        <v>7</v>
      </c>
      <c r="E1745" t="n">
        <v>16</v>
      </c>
      <c r="F1745">
        <f>HYPERLINK("https://www.reddit.com/r/COVID19positive/comments/gz41uk/i_got_two_antibody_tests_2_weeks_apart_and_tested/")</f>
        <v/>
      </c>
      <c r="G1745" t="inlineStr">
        <is>
          <t>2020-06-08 10:46:28</t>
        </is>
      </c>
      <c r="H1745" t="inlineStr">
        <is>
          <t>Presumed Positive - From Doctor</t>
        </is>
      </c>
    </row>
    <row r="1746">
      <c r="A1746" t="inlineStr">
        <is>
          <t>gz4b1t</t>
        </is>
      </c>
      <c r="B1746" t="inlineStr">
        <is>
          <t>Why is my school asking for my positive covid test results</t>
        </is>
      </c>
      <c r="C1746" t="inlineStr">
        <is>
          <t>Is it weird that my school is asking for my positive COVID test when I already sent them my sick note? I only missed a half day at school, not even a full day. I attend a private college.</t>
        </is>
      </c>
      <c r="D1746" t="n">
        <v>7</v>
      </c>
      <c r="E1746" t="n">
        <v>5</v>
      </c>
      <c r="F1746">
        <f>HYPERLINK("https://www.reddit.com/r/COVID19positive/comments/gz4b1t/why_is_my_school_asking_for_my_positive_covid/")</f>
        <v/>
      </c>
      <c r="G1746" t="inlineStr">
        <is>
          <t>2020-06-08 10:59:50</t>
        </is>
      </c>
      <c r="H1746" t="inlineStr">
        <is>
          <t>Tested Positive - Me</t>
        </is>
      </c>
    </row>
    <row r="1747">
      <c r="A1747" t="inlineStr">
        <is>
          <t>gz5myf</t>
        </is>
      </c>
      <c r="B1747" t="inlineStr">
        <is>
          <t>Has vitamin d helped anyone with their symptoms?</t>
        </is>
      </c>
      <c r="C1747" t="inlineStr">
        <is>
          <t>Just curious as i spoke to my doctor who recommends supplementing vitamin d</t>
        </is>
      </c>
      <c r="D1747" t="n">
        <v>4</v>
      </c>
      <c r="E1747" t="n">
        <v>12</v>
      </c>
      <c r="F1747">
        <f>HYPERLINK("https://www.reddit.com/r/COVID19positive/comments/gz5myf/has_vitamin_d_helped_anyone_with_their_symptoms/")</f>
        <v/>
      </c>
      <c r="G1747" t="inlineStr">
        <is>
          <t>2020-06-08 12:07:20</t>
        </is>
      </c>
      <c r="H1747" t="inlineStr">
        <is>
          <t>Tested Positive - Me</t>
        </is>
      </c>
    </row>
    <row r="1748">
      <c r="A1748" t="inlineStr">
        <is>
          <t>gz5r6z</t>
        </is>
      </c>
      <c r="B1748" t="inlineStr">
        <is>
          <t>Losing sense of smell/taste for second time... I want my nose back :(</t>
        </is>
      </c>
      <c r="C1748" t="inlineStr">
        <is>
          <t>Symptoms started on March 23. Lost my sense of smell on day 5 more or less, it lasted a few days. I'm pretty sure I've partially lost it again, and that I partially lost my sense of taste too. What the fuck. It means I still have the virus after about 77 days. Or I caught it again. I'm sad. :(</t>
        </is>
      </c>
      <c r="D1748" t="n">
        <v>3</v>
      </c>
      <c r="E1748" t="n">
        <v>13</v>
      </c>
      <c r="F1748">
        <f>HYPERLINK("https://www.reddit.com/r/COVID19positive/comments/gz5r6z/losing_sense_of_smelltaste_for_second_time_i_want/")</f>
        <v/>
      </c>
      <c r="G1748" t="inlineStr">
        <is>
          <t>2020-06-08 12:13:32</t>
        </is>
      </c>
      <c r="H1748" t="inlineStr">
        <is>
          <t>Presumed Positive - From Doctor</t>
        </is>
      </c>
    </row>
    <row r="1749">
      <c r="A1749" t="inlineStr">
        <is>
          <t>gz6dfw</t>
        </is>
      </c>
      <c r="B1749" t="inlineStr">
        <is>
          <t>Covid-19: The journey to hell and back (including tips on recovery that worked for me!)</t>
        </is>
      </c>
      <c r="C1749" t="inlineStr">
        <is>
          <t>Hi all,
I’ve been a casual observer of the forum for a while now but feel now is the right time I feel to detail my journey and how I dealt with this insidious disease.
First, it’s probably right I provide a bit about me and some backstory; I’m a 37 year old male from the UK with no pre-existing medical conditions. I am a smoker and I my symptoms began on 11th March.
At first it was nothing serious; a scratchy throat, nausea, nasal congestion and a strange headache; the only way I could describe the headache is that it wasn’t conventional - it felt as if music beats would reverberate right through me and I had a mild brain fog.
It wasn’t serious enough to bin off work so I continued and what with the symptoms I was feeling not on the official list of covid-19 symptoms, I wasn’t thinking or considering it could be this illness.
Approximately 1 week later on March 18th at 2.30 it felt as if someone had put a sack of rocks on my back. A really heavy feeling, like nothing I felt before. I went and done some stretches or see if I’d pulled anything but alas I hadn’t - so I continued on and went home, deciding to go to bed when I arrived to ‘sleep it off’.
I felt tired but nothing would prepare me for shitstorm that hit me when I awoke that evening. By 8.30pm, I was convulsing with uncontrollable, unregulated shaking, chills and fever. I felt a tiredness and exhaustion I had never, ever considered possible and all my body and joints ached. My skin felt as if it was on fire. There was no way I was sleeping whatever this was.
For the next 2 days, it remained much the same but with unreal brain fog. I was putting yoghurt in the cabinets and spoons into the fridge. I knew I needed to eat and hydrate and just about managed some dry toast and soup. I couldn’t focus or barely get out of bed.
By day 3, the above dissipated to be replaced by extreme nausea and diarrhoea. The brain fog remained as did the dehydration and exhaustion... and then, for an hour, it went. I felt on the mend... then it returned, twice as nasty.
Day 4 was much the same but by day 5 and 6, I felt as if there was an upturn. For a bit, I felt better. Then, at 10.30 in the evening, a second round of fever and chills - this time, far more violent than the first round.
Despite this taking a lot out of me, I couldn’t sleep. I spent most of the time shaking and convulsing in bed, hoping I’d be ok but knowing I wasn’t going to be.
And then, right on cue, day 7 - shortness of breath. It began slightly, a few gasps here and there. I medicated it through some breathing exercises I know from the past due to panic attacks. I was still relatively calm, so knew the shortness of breath was attributed to any anxiety or panic attacks.
By day 8, I spent most of my day walking around my house, doubling over trying to suck air up into my lungs. It was getting worse and worse and, living on my own, I knew I had to seek medical advice. I called NHS 1111. The operator told me there was ‘nothing he could do’ and to ‘ride out and keep taking paracetamol’. I impress desperately that I couldn’t breathe and he said only call back unless ‘your lips go blue or you can’t talk’. I thanked him for his time to which he said ‘no problem pal - good luck!’
Good luck? That comment didn’t make me feel much better about my situation at all. With that, I got off the sofa and spent the rest of the evening, like I did the last one, gulping and gasping for air in all sorts of contorted body positions. My diaphragm ached, my lungs hurt, my body was completely exhausted fighting.
After 3 hours I slumped over and literally conceded defeat. Strangely, a weird calm came over me. I didn’t want to die but, if I do, I do. I drifted off to sleep despite the laboured, gasping breathing.
Thankfully, the next day did arrive for me. I got up, delighted to be alive but still struggling with my breathing. The slightest exertions would set the gasping and gulping off, so I went slowly, everywhere. The body still ached and the burning sensations on my skin remained, but I was feeling a bit better.
Fast forward to day 15 and whilst I was still suffering from exhaustion and the ever constant nasal congestion, I decided to step outside for the first time in over two weeks. Glorious sunshine but an eerie calm. The world had changed forever.
By day 21, as my breathing was still a problem I managed to secure an appointment with a doctor. Before meeting, the triage nurse asked me ‘why I hadn’t gone to hospital’ - almost as if she was angry that I hadn’t. I could only afford her a meek ‘because I was told to stay at home’. She was evidently disgusted.
The doctor sat with me for 45 minutes, in full face shield and hazmat suit furiously note-taking on my experiences as I recalled them. He emphasised that they were still learning about covid-19 and it was important to collect as much data as possible; I was only too happy to help and to be honest, it was so nice to have someone to speak with, let alone a medical professional.
He checked me over whilst there; blood oxygen, lungs, the absolute works. He advised me to stay off work until my breathlessness abated and take things easy. He also enquired as to whether I’d had ‘the fatigue’.
I looked at him quizzically and remarked that yes, I’d had the fatigue whilst I was ill. I still felt weak but didn’t feel too bad, just concerned about the breathing. Looking back on his question now, I now know what ‘the fatigue’ meant.
3 days or so later, I felt 90% fine. The breathing issues vanished almost overnight and I was eating and sleeping as normal. I’d go for little walks when the air cooled. My mind was starting to acclimatise to the ‘new normal’. I’d vanished off the face of the earth for about a month but I could now stomach a short video call to friends again. Everything was on the turn...
...little did I know, it would actually be a turn for the worse.
(2nd part coming up - the relapse)</t>
        </is>
      </c>
      <c r="D1749" t="n">
        <v>179</v>
      </c>
      <c r="E1749" t="n">
        <v>126</v>
      </c>
      <c r="F1749">
        <f>HYPERLINK("https://www.reddit.com/r/COVID19positive/comments/gz6dfw/covid19_the_journey_to_hell_and_back_including/")</f>
        <v/>
      </c>
      <c r="G1749" t="inlineStr">
        <is>
          <t>2020-06-08 12:44:42</t>
        </is>
      </c>
      <c r="H1749" t="inlineStr">
        <is>
          <t>Presumed Positive - From Doctor</t>
        </is>
      </c>
    </row>
    <row r="1750">
      <c r="A1750" t="inlineStr">
        <is>
          <t>gz7mjk</t>
        </is>
      </c>
      <c r="B1750" t="inlineStr">
        <is>
          <t>Tested positive a week ago; Mild symptoms so far.</t>
        </is>
      </c>
      <c r="C1750" t="inlineStr">
        <is>
          <t>Hey guys!  
M19, 185 lbs, no pre-existing conditions. Exercises 1-2 times a week.
Got tested positive a week ago (03/06 - day of PCR test, not the result), but felt kinda sick in 27/05, which I thought it was just a cold, and got only mild symptoms, such as headache, mild fever (not higher than 37.5 C), occasional wet cough, and fatigue. I've been feeling well, for now, only feeling a mild discomfort in my head and cough from time to time. My grandparents got tested 27/05 and came positive too. We all got symptoms in the same time span, but mild. I think we got at the same time, because we had to flew from another city back home, and some passengers were coming from São Paulo, which has many cases.   
Today is the 5th day since my test, but I'm feeling better so far. Should I test again to see if I have any antibodies ? If the test comes positive, is there any risk of infecting someone?</t>
        </is>
      </c>
      <c r="D1750" t="n">
        <v>2</v>
      </c>
      <c r="E1750" t="n">
        <v>2</v>
      </c>
      <c r="F1750">
        <f>HYPERLINK("https://www.reddit.com/r/COVID19positive/comments/gz7mjk/tested_positive_a_week_ago_mild_symptoms_so_far/")</f>
        <v/>
      </c>
      <c r="G1750" t="inlineStr">
        <is>
          <t>2020-06-08 13:42:48</t>
        </is>
      </c>
      <c r="H1750" t="inlineStr">
        <is>
          <t>Tested Positive - Me</t>
        </is>
      </c>
    </row>
    <row r="1751">
      <c r="A1751" t="inlineStr">
        <is>
          <t>gzbv1a</t>
        </is>
      </c>
      <c r="B1751" t="inlineStr">
        <is>
          <t>I'm struggling with post viral fatigue and talking to my friends about it is like speaking to strangers.</t>
        </is>
      </c>
      <c r="C1751" t="inlineStr">
        <is>
          <t>I know there's something wrong with me but it's so inconsistent that I can't demonstrate it. Before I got sick mid-march I was very active excercising nearly every day, sometimes multiple times. In the last few months I've lost a load of weight, lost my appetite, I still can't smell or taste lemons and other flavours, I'm not sleeping consitently and some days I can barely get out of bed let alone excercise: my strength and endurance is just gone.
I know that there's people who have lost so much to this fucking virus, I'm very lucky really. But my body doesn't feel like mine. My mum nearly died when I was 13 and she nearly died again this year from C-19. The fear and anxiety from that has come flooding back and just not left. My aunt has been sent home to die from a heart condition and I can't go and visit her and it's killing me.
My friends are great but they're not getting it. Thinking that it's just from being in lockdown, or a lack of routine, a bad night's sleep etc 
I know what being tired from a bad night's sleep feels like. I know what being tired from running 20+ miles feels like. This is different.
Is there anything that anyone has found useful for long term recovery? Anything short term that can combat a wave of fatigue when it hits? I've cut out sugar and caffeine but right now I'd try anything to start getting better. Thank you for reading this far</t>
        </is>
      </c>
      <c r="D1751" t="n">
        <v>52</v>
      </c>
      <c r="E1751" t="n">
        <v>31</v>
      </c>
      <c r="F1751">
        <f>HYPERLINK("https://www.reddit.com/r/COVID19positive/comments/gzbv1a/im_struggling_with_post_viral_fatigue_and_talking/")</f>
        <v/>
      </c>
      <c r="G1751" t="inlineStr">
        <is>
          <t>2020-06-08 17:19:14</t>
        </is>
      </c>
      <c r="H1751" t="inlineStr">
        <is>
          <t>Presumed Positive - From Doctor</t>
        </is>
      </c>
    </row>
    <row r="1752">
      <c r="A1752" t="inlineStr">
        <is>
          <t>gzc367</t>
        </is>
      </c>
      <c r="B1752" t="inlineStr">
        <is>
          <t>A depressing description of my covid journey, looking for answers. Blood work is normal but I feel awful.</t>
        </is>
      </c>
      <c r="C1752" t="inlineStr">
        <is>
          <t>Meeting up with a new doctor tomorrow, checking out some vitals and having a conversation about where to go next. Also had massive blood work done, including iron and vitamin D. I've never measured it before so it will be interesting to see what the results are.
I'm doing a stress test for the heart in a couple of days and then I'm having a Holter monitor for 2 weeks that records my heart activity 24/7.
I've been sick since March, presumed Corona positive and my lingering symptoms are:
- High resting heart rate and heart rate overall. My normal resting heart rate is around 60, since I got sick it's consistently 90-100. When I stand up my HR shoots up to 130+. Slightest physical activity will have it elevated. I feel very dizzy and like I'm having adrenaline rushes constantly.
- Neurological symptoms. I have terrible headaches, sometimes the right side of my body goes numb, blurry vision that comes and goes, cognitive decline in the moment, jaw and neck becomes stiff, neck pain and so on. I've been referred to a neurologist to do a MRI of the brain and neck.
- Intense shortness of breath and constant coughing.. I used to go the gym 4 times a week. Now I can't even take a short walk or do simple chores at home. My chest tightens, my heart races and I feel like I have cotton in my lungs and can't breathe. Asthma inhalators does not help and antihistamines have no effect what so ever, so this isn't caused by allergies. Had a chest x ray last month that came back normal.
Some days I wake up and I'm so fatigued and sometimes I wake up and have lots of energy. If I extert myself too much I crash in bed the next Day and can't move. This has been happening a lot less, a month ago I was fatigued for weeks.
All of the bloodwork I've done has been normal. Normal d dimer, normal troponin etc. Only had slightly elevated white blood cells and they are now back in normal range. Normal thyroid, normal ANA and other inflammation markers. Theres not a single sign of inflammation in my body.
I don't know why I'm this sick. Doctors have no idea. I wouldn't be surprised if I had a tumor tbh.</t>
        </is>
      </c>
      <c r="D1752" t="n">
        <v>4</v>
      </c>
      <c r="E1752" t="n">
        <v>12</v>
      </c>
      <c r="F1752">
        <f>HYPERLINK("https://www.reddit.com/r/COVID19positive/comments/gzc367/a_depressing_description_of_my_covid_journey/")</f>
        <v/>
      </c>
      <c r="G1752" t="inlineStr">
        <is>
          <t>2020-06-08 17:32:12</t>
        </is>
      </c>
      <c r="H1752" t="inlineStr">
        <is>
          <t>Presumed Positive - From Doctor</t>
        </is>
      </c>
    </row>
    <row r="1753">
      <c r="A1753" t="inlineStr">
        <is>
          <t>gzcub9</t>
        </is>
      </c>
      <c r="B1753" t="inlineStr">
        <is>
          <t>Covid19 in Mexico</t>
        </is>
      </c>
      <c r="C1753" t="inlineStr">
        <is>
          <t>My family waited one hour before the ambulance arrived, our fear is that those who enter with covid do not come out of the hospital, they allow people to die. We aren’t even sure what to do we can’t get treatment at a hospital for my grandmother so our family got together and bought an oxygen tank alongside for my uncle. I hear her breath so hard, a rattling and I don’t know how to cry, I feel it burn in my throat. But we’re all currently waiting. This might not be a quality post but I need to share, to get it off my chest. We’re all waiting here in America with no possibly to be with her, but those who live already there. Ignorance is so dangerous.</t>
        </is>
      </c>
      <c r="D1753" t="n">
        <v>249</v>
      </c>
      <c r="E1753" t="n">
        <v>22</v>
      </c>
      <c r="F1753">
        <f>HYPERLINK("https://www.reddit.com/r/COVID19positive/comments/gzcub9/covid19_in_mexico/")</f>
        <v/>
      </c>
      <c r="G1753" t="inlineStr">
        <is>
          <t>2020-06-08 18:15:45</t>
        </is>
      </c>
      <c r="H1753" t="inlineStr">
        <is>
          <t>Tested Positive - Family</t>
        </is>
      </c>
    </row>
    <row r="1754">
      <c r="A1754" t="inlineStr">
        <is>
          <t>gzeuot</t>
        </is>
      </c>
      <c r="B1754" t="inlineStr">
        <is>
          <t>Long Hauler- This is What My Dr. Gave Me</t>
        </is>
      </c>
      <c r="C1754" t="inlineStr">
        <is>
          <t>I'm about 10 weeks into "recovery" and I've spent a lot of time on the phone with my doctor these past few weeks. It was the daily migraines that finally urged me to contact her. I haven't had migraines this severe in 20 years. She says that they're seeing inflammation in the lungs from the damage done by the virus and the immune system fighting it. That's what's causing all the problems: shortness of breath, racing heart, headaches, fatigue, etc. First she gave me meds for the migraines, a magnesium supplement for the migraines, and a one week course of prednisone (steroid) for the inflammation. The prednisone definitely helped. I felt like I was myself again while I was on the steriod, but now the breathing etc symptoms are back. Milder, but back. I can do slightly more activity before I totally collapse, but I am still far from where I was. The itchy rash is gone, so that's good, but I also had a steroid skin cream from a previous eczema dx. The migraines are definitely not gone so she gave me a preventative prescription and some more vitamins. So I don't know if anyone is getting any other interesting medical treatments to handle this, but this is my experience. The prednisone definitely dialed it down a notch, but I am still unwell. 
I started taking turmeric supplements, triphala, vitamins C, D &amp;amp; B12. As soon as things open up again I want to go down to Chinatown for acupuncture. Considering how hard China was hit by SARS and now COVID I figure there must be some sort of TCM protocol for this kind of lung inflammation. 
This whole thing is incredibly annoying and unpleasant. I am far too busy to get stuck in bed with a lung flare up and fatigue just because I did yoga or yardwork. Fuck this.</t>
        </is>
      </c>
      <c r="D1754" t="n">
        <v>23</v>
      </c>
      <c r="E1754" t="n">
        <v>28</v>
      </c>
      <c r="F1754">
        <f>HYPERLINK("https://www.reddit.com/r/COVID19positive/comments/gzeuot/long_hauler_this_is_what_my_dr_gave_me/")</f>
        <v/>
      </c>
      <c r="G1754" t="inlineStr">
        <is>
          <t>2020-06-08 20:19:24</t>
        </is>
      </c>
      <c r="H1754" t="inlineStr">
        <is>
          <t>Presumed Positive - From Doctor</t>
        </is>
      </c>
    </row>
    <row r="1755">
      <c r="A1755" t="inlineStr">
        <is>
          <t>gzeyfd</t>
        </is>
      </c>
      <c r="B1755" t="inlineStr">
        <is>
          <t>Welp I guess it’s about time I got it, protesting and all...</t>
        </is>
      </c>
      <c r="C1755" t="inlineStr">
        <is>
          <t>So presumed positive due to symptoms and severity, waiting on results.
Started Friday (6/5/2020), no taste or smell, fatigue. Slept all weekend. Woke up today (6/8/2020) and had the worst sweats/cold chills and cough I’ve had in a while. It literally feels like when I went thru withdrawals from alcohol in 2015 (been sober since). It’s miserable. My skin hurts like clothes touching it is awful, every joint in my body hurts and I feel like death. Fever was at 102.1 earlier I feel like it’s higher now. 
How did everyone deal with the wait time between test being completed and results? They said 5 days is the likely time I’ll get results.... ugh. Info: Female, 27, USA.</t>
        </is>
      </c>
      <c r="D1755" t="n">
        <v>1</v>
      </c>
      <c r="E1755" t="n">
        <v>26</v>
      </c>
      <c r="F1755">
        <f>HYPERLINK("https://www.reddit.com/r/COVID19positive/comments/gzeyfd/welp_i_guess_its_about_time_i_got_it_protesting/")</f>
        <v/>
      </c>
      <c r="G1755" t="inlineStr">
        <is>
          <t>2020-06-08 20:26:00</t>
        </is>
      </c>
      <c r="H1755" t="inlineStr">
        <is>
          <t>Presumed Positive - From Doctor</t>
        </is>
      </c>
    </row>
    <row r="1756">
      <c r="A1756" t="inlineStr">
        <is>
          <t>gzg4gx</t>
        </is>
      </c>
      <c r="B1756" t="inlineStr">
        <is>
          <t>Symptoms lingering</t>
        </is>
      </c>
      <c r="C1756" t="inlineStr">
        <is>
          <t>Does it mean the virus is  still in your body after 6 weeks still not feeling 100 percent</t>
        </is>
      </c>
      <c r="D1756" t="n">
        <v>5</v>
      </c>
      <c r="E1756" t="n">
        <v>7</v>
      </c>
      <c r="F1756">
        <f>HYPERLINK("https://www.reddit.com/r/COVID19positive/comments/gzg4gx/symptoms_lingering/")</f>
        <v/>
      </c>
      <c r="G1756" t="inlineStr">
        <is>
          <t>2020-06-08 21:43:58</t>
        </is>
      </c>
      <c r="H1756" t="inlineStr">
        <is>
          <t>Tested Positive</t>
        </is>
      </c>
    </row>
    <row r="1757">
      <c r="A1757" t="inlineStr">
        <is>
          <t>gzik0f</t>
        </is>
      </c>
      <c r="B1757" t="inlineStr">
        <is>
          <t>I had a contact with my work colleague 6 days ago</t>
        </is>
      </c>
      <c r="C1757" t="inlineStr">
        <is>
          <t>My colleague told me today he is postive. 6 days ago I worked with him I work in an industrial refinery im forced to stay near him so far after 6 days no symptoms at all I went to hospital and they tested my temperature and they said no need to test for covid-19 me and my mate were always wearing mask all time even at work. is there a chance that I have the virus</t>
        </is>
      </c>
      <c r="D1757" t="n">
        <v>2</v>
      </c>
      <c r="E1757" t="n">
        <v>10</v>
      </c>
      <c r="F1757">
        <f>HYPERLINK("https://www.reddit.com/r/COVID19positive/comments/gzik0f/i_had_a_contact_with_my_work_colleague_6_days_ago/")</f>
        <v/>
      </c>
      <c r="G1757" t="inlineStr">
        <is>
          <t>2020-06-09 00:49:39</t>
        </is>
      </c>
      <c r="H1757" t="inlineStr">
        <is>
          <t>Tested Positive - Friends</t>
        </is>
      </c>
    </row>
    <row r="1758">
      <c r="A1758" t="inlineStr">
        <is>
          <t>gzloul</t>
        </is>
      </c>
      <c r="B1758" t="inlineStr">
        <is>
          <t>Anyone feel like their body is forgetting to breathe?</t>
        </is>
      </c>
      <c r="C1758" t="inlineStr">
        <is>
          <t>Sorry for the bombardment of posts over the last couple days. It's been a hard week of SOB and lack of sleep. I've been waking up in the middle of the night in a panic after an hour or so, which makes me wonder if my body is forgetting to breathe at night. It's already a pretty conscious effort to breathe during the day, so I'm wondering if this is relevant? 
On top of that I've also been noticing pressure in my upper/mid back and sometimes a metallic taste in my mouth. I also yawn a lot, but like a "twice-in-a-row" yawn as if I'm not getting enough air. Weird because my pulse ox is damn near perfect during the day.
Anyone been experiencing similar things?
UPDATE: Just spoke with my doctor for the first time about it. She thinks its anxiety related (no surprise there). She set me up with an inhaler, anxiety medication, and scheduled me for a visit with a Pulmonary doctor.
Doubt I'll get relief, but might as well try these things for s--ts and giggles. I also have an appointment with an "alternative medicine" type doctor that was recommended to me by a friend tomorrow. Will keep everyone updated.</t>
        </is>
      </c>
      <c r="D1758" t="n">
        <v>131</v>
      </c>
      <c r="E1758" t="n">
        <v>99</v>
      </c>
      <c r="F1758">
        <f>HYPERLINK("https://www.reddit.com/r/COVID19positive/comments/gzloul/anyone_feel_like_their_body_is_forgetting_to/")</f>
        <v/>
      </c>
      <c r="G1758" t="inlineStr">
        <is>
          <t>2020-06-09 04:55:44</t>
        </is>
      </c>
      <c r="H1758" t="inlineStr">
        <is>
          <t>Presumed Positive - From Doctor</t>
        </is>
      </c>
    </row>
    <row r="1759">
      <c r="A1759" t="inlineStr">
        <is>
          <t>gzn2l7</t>
        </is>
      </c>
      <c r="B1759" t="inlineStr">
        <is>
          <t>Some hope :)</t>
        </is>
      </c>
      <c r="C1759" t="inlineStr">
        <is>
          <t>I got Covid-19 on April 24th. I actually had a week of only SOB before April 24th, but i didn't think much of it, until April 24th, that is. I was watching a movie when i suddenly got chills, numbness, tingling, and i also had a running nose. I was scared out of my life. I couldn't breath at all and thought i was going to die.
A few days later, i lost my sense of smell and taste seemingly out of nowhere and i also lost my appetite completely. I would eat 3 bites of food and nearly throw up.
After that, i got neurological symptoms like brain fog, tremors and so on.
Then my skin became really dry and flaky, and my lips got chapped as hell, and my dandruff was insane alongside massive hairfall.
Later on, i got diarrhoea and the feeling of having a fever but not being feverish alongside the worst possible dizziness known to man. I thought i was going to fall over.
I also had chest pressure. It felt like some1s hand was on my chest and i couldnt take it off.
I also had really bad heart palpitations. I could hear my heart pound out of my chest.
However...fast forward to now, my chills, numbness and tingling are still there but they are significantly better. My sense of smell and taste is nearly back. My appetite is fully back. Infact i ate a lot just now! My running nose is over as well.
My skin has improved as well but my dandruff still persists. My diarrhoea is gone. My chest pressure is also nearly gone and my heart palpitations are significantly better and barely there.
I'm on week 7 right now and seeing gradual improvements. I was at a moment in time where i genuinely didn't know whether or not i was going to live, but now im starting to see more hope.
I know it isn't over yet and i'll see relapses in the near future and it'll go to complete shit, but 1 day...it'll all be over and im certain about that.
I wish you all the best of health. Stay safe :)</t>
        </is>
      </c>
      <c r="D1759" t="n">
        <v>11</v>
      </c>
      <c r="E1759" t="n">
        <v>6</v>
      </c>
      <c r="F1759">
        <f>HYPERLINK("https://www.reddit.com/r/COVID19positive/comments/gzn2l7/some_hope/")</f>
        <v/>
      </c>
      <c r="G1759" t="inlineStr">
        <is>
          <t>2020-06-09 06:24:12</t>
        </is>
      </c>
      <c r="H1759" t="inlineStr">
        <is>
          <t>Tested Positive - Me</t>
        </is>
      </c>
    </row>
    <row r="1760">
      <c r="A1760" t="inlineStr">
        <is>
          <t>gzo8lz</t>
        </is>
      </c>
      <c r="B1760" t="inlineStr">
        <is>
          <t>Qatar overall COVID-19 cases jump to 71,817</t>
        </is>
      </c>
      <c r="C1760" t="inlineStr">
        <is>
          <t>Qatar has announced five more deaths from the novel coronavirus and 1,721 new cases, a record number of daily reported fatalities and infections.
This takes the country’s tally of deaths to 62, while the total number of infections has jumped to 71,817, according to a statement issued by the Ministry of Public Health on Tuesday.
The ministry revealed the full recovery of 1,634 COVID-19 patients, pushing to 47,569 the total recovered cases, while 24,248 are active cases still receiving medication at various medical facilities in the country.
Among the newly detected cases 16 critical, bringing the total critically ill patients to 236 under incentive care, according the latest update on coronavirus.</t>
        </is>
      </c>
      <c r="D1760" t="n">
        <v>2</v>
      </c>
      <c r="E1760" t="n">
        <v>1</v>
      </c>
      <c r="F1760">
        <f>HYPERLINK("https://www.reddit.com/r/COVID19positive/comments/gzo8lz/qatar_overall_covid19_cases_jump_to_71817/")</f>
        <v/>
      </c>
      <c r="G1760" t="inlineStr">
        <is>
          <t>2020-06-09 07:30:32</t>
        </is>
      </c>
      <c r="H1760" t="inlineStr">
        <is>
          <t>Tested Positive</t>
        </is>
      </c>
    </row>
    <row r="1761">
      <c r="A1761" t="inlineStr">
        <is>
          <t>gzp1xk</t>
        </is>
      </c>
      <c r="B1761" t="inlineStr">
        <is>
          <t>Light at the End of the Tunnel</t>
        </is>
      </c>
      <c r="C1761" t="inlineStr">
        <is>
          <t>Hello,
I (24/M) got sick back in March and had a series of waves of extreme tiredness, a bit of chest pressure, and general weirdness (intermittent headaches, sore throat, aches). They would come every week or so and last for 2-3 days, always at the worst around 7pm every night. I never got tested as (thankfully) I didn't have a fever or bad shortness of breath. These symptoms lasted for about five weeks, and seemingly resolved by mid-late April.
At around the same time (+- a day or so), a whole different set up symptoms began. This included GI issues, aches/pains/muscle weakness mostly in my back and abdomen, dark yellow urine sometimes borderline brown, and pain while urinating. The only symptom that persisted from the first set into the  second was the fatigue. This "phase" lasted an additional five or six weeks.
I'm currently coming up on week 12 and finally things seem to be settling down. My current symptoms are mild fatigue, mainly when waking up, and mild back aches. I'm starting to be a lot more productive at work, and am able to get through day with few issues. I've also gone on a mile long walk for the past 9 days now, and haven't regressed as a result. I wouldn't say I'm 100%, but maybe 95% or so. At this point I'm confident I'll reach the finish line, even if I do have a few more setbacks along the way.
I share all this as I see a lot of frustration, anger, exhaustion, negativity, etc. on this subreddit. It's obviously all warranted, and I've felt the same at times over the past few months. However I do believe there is a light at the end of the tunnel.</t>
        </is>
      </c>
      <c r="D1761" t="n">
        <v>16</v>
      </c>
      <c r="E1761" t="n">
        <v>16</v>
      </c>
      <c r="F1761">
        <f>HYPERLINK("https://www.reddit.com/r/COVID19positive/comments/gzp1xk/light_at_the_end_of_the_tunnel/")</f>
        <v/>
      </c>
      <c r="G1761" t="inlineStr">
        <is>
          <t>2020-06-09 08:14:56</t>
        </is>
      </c>
      <c r="H1761" t="inlineStr">
        <is>
          <t>Presumed Positive - From Doctor</t>
        </is>
      </c>
    </row>
    <row r="1762">
      <c r="A1762" t="inlineStr">
        <is>
          <t>gzpxa8</t>
        </is>
      </c>
      <c r="B1762" t="inlineStr">
        <is>
          <t>Day 17, Officially COVID-Free, Tested Negative!</t>
        </is>
      </c>
      <c r="C1762" t="inlineStr">
        <is>
          <t>Hello everyone,
&amp;amp;#x200B;
Before anything, I would like to thank everyone on this forum who has helped me out in this difficult journey. This subreddit was the most helpful &amp;amp; encouraging place to be while I was suffering from COVID. 
&amp;amp;#x200B;
After 17 days, I got myself to get a re-test as my symptoms started disappearing. Fortunately, I finally tested negative. COVID was unlike anything I've suffered from before, and I was truly afraid that my conditions would get worse. However, my luck was in my favor &amp;amp; I have recovered from COVID-19.
&amp;amp;#x200B;
Along with this fantastic news, I'm willing to offer help in return by answering symptom related questions that people might have. I'm more than happy to share my experiences &amp;amp; my symptoms, as that's the least I could do for giving back to this supportive community. 
&amp;amp;#x200B;
Again, I truly thank each and every one of you who has helped me out through this miserable time &amp;lt;3</t>
        </is>
      </c>
      <c r="D1762" t="n">
        <v>118</v>
      </c>
      <c r="E1762" t="n">
        <v>22</v>
      </c>
      <c r="F1762">
        <f>HYPERLINK("https://www.reddit.com/r/COVID19positive/comments/gzpxa8/day_17_officially_covidfree_tested_negative/")</f>
        <v/>
      </c>
      <c r="G1762" t="inlineStr">
        <is>
          <t>2020-06-09 09:00:09</t>
        </is>
      </c>
      <c r="H1762" t="inlineStr">
        <is>
          <t>Tested Positive - Me</t>
        </is>
      </c>
    </row>
    <row r="1763">
      <c r="A1763" t="inlineStr">
        <is>
          <t>gzq9tn</t>
        </is>
      </c>
      <c r="B1763" t="inlineStr">
        <is>
          <t>Finally I know I had it!</t>
        </is>
      </c>
      <c r="C1763" t="inlineStr">
        <is>
          <t>I’m in the U.K. so could not be tested when I had mild symptoms back in March.
I finally decided to pay for an anti-body test and found out today that i do have anti-bodies. I’m delighted that it’s been and gone mildly as I do have some risk factors for severe disease. 
I know that length of immunity is unclear so far. Can anyone point me to any research about other aspects of anti-bodies e.g. I’m unlikely to get ill with it in the near future but could I carry it home to a vulnerable family member if I take risks? 
Would I still need to quarantine when entering another country? 
Any other advice for my new status? Best test result I ever had!</t>
        </is>
      </c>
      <c r="D1763" t="n">
        <v>30</v>
      </c>
      <c r="E1763" t="n">
        <v>28</v>
      </c>
      <c r="F1763">
        <f>HYPERLINK("https://www.reddit.com/r/COVID19positive/comments/gzq9tn/finally_i_know_i_had_it/")</f>
        <v/>
      </c>
      <c r="G1763" t="inlineStr">
        <is>
          <t>2020-06-09 09:17:30</t>
        </is>
      </c>
      <c r="H1763" t="inlineStr">
        <is>
          <t>Tested Positive - Me</t>
        </is>
      </c>
    </row>
    <row r="1764">
      <c r="A1764" t="inlineStr">
        <is>
          <t>gzqld9</t>
        </is>
      </c>
      <c r="B1764" t="inlineStr">
        <is>
          <t>Question about 10-day quarantine</t>
        </is>
      </c>
      <c r="C1764" t="inlineStr">
        <is>
          <t>Banner Health here in AZ said I (36/m) need to quarantine for 10 days from when I first showed symptons and this seems to be backed up by the CDC website.  I first showed symptons on 6/1 and I haven't had any symptoms for 3 or 4 days now, except loss of taste and smell.  They (Banner Health) never said I need to retest after the 10 days, so I'm just assuming I can return to life as normal this Thursday, 6/11.  Is this correct?</t>
        </is>
      </c>
      <c r="D1764" t="n">
        <v>2</v>
      </c>
      <c r="E1764" t="n">
        <v>4</v>
      </c>
      <c r="F1764">
        <f>HYPERLINK("https://www.reddit.com/r/COVID19positive/comments/gzqld9/question_about_10day_quarantine/")</f>
        <v/>
      </c>
      <c r="G1764" t="inlineStr">
        <is>
          <t>2020-06-09 09:33:21</t>
        </is>
      </c>
      <c r="H1764" t="inlineStr">
        <is>
          <t>Tested Positive - Me</t>
        </is>
      </c>
    </row>
    <row r="1765">
      <c r="A1765" t="inlineStr">
        <is>
          <t>gzqxeh</t>
        </is>
      </c>
      <c r="B1765" t="inlineStr">
        <is>
          <t>Anyone fully recovered?</t>
        </is>
      </c>
      <c r="C1765" t="inlineStr">
        <is>
          <t>Please post here.  I got sick the beginning of April and still feel like crap much of the time.  Not enough to go to the hospital but just plain crappy.  I was wondering if anyone is back at 100% for an extended period of time?  I could use some hope lol.</t>
        </is>
      </c>
      <c r="D1765" t="n">
        <v>23</v>
      </c>
      <c r="E1765" t="n">
        <v>29</v>
      </c>
      <c r="F1765">
        <f>HYPERLINK("https://www.reddit.com/r/COVID19positive/comments/gzqxeh/anyone_fully_recovered/")</f>
        <v/>
      </c>
      <c r="G1765" t="inlineStr">
        <is>
          <t>2020-06-09 09:50:30</t>
        </is>
      </c>
      <c r="H1765" t="inlineStr">
        <is>
          <t>Tested Positive - Me</t>
        </is>
      </c>
    </row>
    <row r="1766">
      <c r="A1766" t="inlineStr">
        <is>
          <t>gzs6ee</t>
        </is>
      </c>
      <c r="B1766" t="inlineStr">
        <is>
          <t>Antibody test result</t>
        </is>
      </c>
      <c r="C1766" t="inlineStr">
        <is>
          <t>I was fairly sick during the middle of March (13th) while at university with cold symptoms, pulsating headaches, shivers, diarrhea, and insane fatigue. All my other symptoms went away fairly quickly save for the fatigue (took 6 weeks to subside) and the headaches which I have to this day, though they’ve been less intense ever since I started taking Vitamin D. I never got the COVID test but I ended up taking the Abbott IGG SARS-CoV-2 Test from LabCorps 12 weeks after my initial systems and got my results by the following day: Positive. I wanted to ask how accurate these tests are. Is it common to get a false positive? Granted, my parents will also take the antibody test as they got sick a couple days after I returned home from college (March 15th). 
If you guys have any tips with regard to lessening the headaches, it would be much appreciated. Thanks!
Edit: I’m 22 years old and fairly healthy. I live in NYC</t>
        </is>
      </c>
      <c r="D1766" t="n">
        <v>1</v>
      </c>
      <c r="E1766" t="n">
        <v>7</v>
      </c>
      <c r="F1766">
        <f>HYPERLINK("https://www.reddit.com/r/COVID19positive/comments/gzs6ee/antibody_test_result/")</f>
        <v/>
      </c>
      <c r="G1766" t="inlineStr">
        <is>
          <t>2020-06-09 10:52:24</t>
        </is>
      </c>
      <c r="H1766" t="inlineStr">
        <is>
          <t>Tested Positive</t>
        </is>
      </c>
    </row>
    <row r="1767">
      <c r="A1767" t="inlineStr">
        <is>
          <t>gztew8</t>
        </is>
      </c>
      <c r="B1767" t="inlineStr">
        <is>
          <t>Questioning my positive PCR test result.</t>
        </is>
      </c>
      <c r="C1767" t="inlineStr">
        <is>
          <t>I developed a low grade fever on February 23rd. Due to strict CDC guidelines, I was refused testing in March. On April 3rd, I was finally tested using a nasopharyngeal PCR test and the result came back "presumed positive." 
I've been experiencing various symptoms the entire time, but I've started to doubt the positive PCR test. Why? I had two negative PCR tests in May, and on May 18th I received a negative Abbott IgG antibody test. To qualify as positive, antibodies must be over 1.4 (may differ depending on the lab). My antibody count came back at a whopping **0.1**! 
I also had a chest CT scan on May 29th, and that came back clear. All of my bloodwork has been normal so far.
I'm really starting to doubt that I had COVID at all, and I can't handle it. I'm terrified that what I'm going through isn't COVID, but I'll catch it on top of what I'm already experiencing. I seriously feel like I'm going crazy.</t>
        </is>
      </c>
      <c r="D1767" t="n">
        <v>5</v>
      </c>
      <c r="E1767" t="n">
        <v>10</v>
      </c>
      <c r="F1767">
        <f>HYPERLINK("https://www.reddit.com/r/COVID19positive/comments/gztew8/questioning_my_positive_pcr_test_result/")</f>
        <v/>
      </c>
      <c r="G1767" t="inlineStr">
        <is>
          <t>2020-06-09 11:53:12</t>
        </is>
      </c>
      <c r="H1767" t="inlineStr">
        <is>
          <t>Tested Positive</t>
        </is>
      </c>
    </row>
    <row r="1768">
      <c r="A1768" t="inlineStr">
        <is>
          <t>gzu4yu</t>
        </is>
      </c>
      <c r="B1768" t="inlineStr">
        <is>
          <t>Tested Positive Today (June 9th)</t>
        </is>
      </c>
      <c r="C1768" t="inlineStr">
        <is>
          <t>Hey guys, just found out this morning I tested positive. Started noticing symptoms last Wednesday (June 3). My sinuses are congested and I have a fever that is going away. Anyone have/had these similar symptoms? How long did it take for you to recover fully?</t>
        </is>
      </c>
      <c r="D1768" t="n">
        <v>8</v>
      </c>
      <c r="E1768" t="n">
        <v>4</v>
      </c>
      <c r="F1768">
        <f>HYPERLINK("https://www.reddit.com/r/COVID19positive/comments/gzu4yu/tested_positive_today_june_9th/")</f>
        <v/>
      </c>
      <c r="G1768" t="inlineStr">
        <is>
          <t>2020-06-09 12:29:24</t>
        </is>
      </c>
      <c r="H1768" t="inlineStr">
        <is>
          <t>Tested Positive - Me</t>
        </is>
      </c>
    </row>
    <row r="1769">
      <c r="A1769" t="inlineStr">
        <is>
          <t>gzvmge</t>
        </is>
      </c>
      <c r="B1769" t="inlineStr">
        <is>
          <t>I tested POSITIVE in a precautionary test at my military unit. I have very mild (maybe imaginary) symptoms. What should I be doing to kill it before it starts?</t>
        </is>
      </c>
      <c r="C1769" t="inlineStr">
        <is>
          <t>Hello, I am in my compulsory military service in Egypt, 2 days ago I was tested because I came into contact with another positive solider a week ago. The results came in POSITIVE. I didn’t ask to be tested or did I feel anything significant.
I was let out to go home and stay there for 14 day, I gone to an empty apartment of my family.
They gave us Vitamin C and Zinc Tablets along with paracetamol tablets. 
I started taking the Vitamins and is drinking a lot of water and herbs.
I started feeling a very very mild sore throat when I wake up, a mild mid-back pain. I have no headache and my temperature is 36.8C~37.3C.
What should I be doing now ? What types of food should I avoid ? How can I kill it before it starts ? My parents are old and if I need care and I won’t let them help then I have no one else(okay friends can help but I don’t want to infect anyone).
My first contact with an infected person should be 9 days ago now. Maybe I got infected by someone else later though.</t>
        </is>
      </c>
      <c r="D1769" t="n">
        <v>7</v>
      </c>
      <c r="E1769" t="n">
        <v>9</v>
      </c>
      <c r="F1769">
        <f>HYPERLINK("https://www.reddit.com/r/COVID19positive/comments/gzvmge/i_tested_positive_in_a_precautionary_test_at_my/")</f>
        <v/>
      </c>
      <c r="G1769" t="inlineStr">
        <is>
          <t>2020-06-09 13:38:36</t>
        </is>
      </c>
      <c r="H1769" t="inlineStr">
        <is>
          <t>Tested Positive - Me</t>
        </is>
      </c>
    </row>
    <row r="1770">
      <c r="A1770" t="inlineStr">
        <is>
          <t>gzvqgm</t>
        </is>
      </c>
      <c r="B1770" t="inlineStr">
        <is>
          <t>I got a positive antibody test and donated plasma yesterday!</t>
        </is>
      </c>
      <c r="C1770" t="inlineStr">
        <is>
          <t>It was my first time donating. Pain wasn't worse than getting your blood drawn. I was somewhat uncomfortable throughout the donation (couldn't concentrate on anything) but it was less than an hour and I'm proud of myself for following through.</t>
        </is>
      </c>
      <c r="D1770" t="n">
        <v>476</v>
      </c>
      <c r="E1770" t="n">
        <v>51</v>
      </c>
      <c r="F1770">
        <f>HYPERLINK("https://www.reddit.com/r/COVID19positive/comments/gzvqgm/i_got_a_positive_antibody_test_and_donated_plasma/")</f>
        <v/>
      </c>
      <c r="G1770" t="inlineStr">
        <is>
          <t>2020-06-09 13:43:41</t>
        </is>
      </c>
      <c r="H1770" t="inlineStr">
        <is>
          <t>Tested Positive - Me</t>
        </is>
      </c>
    </row>
    <row r="1771">
      <c r="A1771" t="inlineStr">
        <is>
          <t>gzvsrl</t>
        </is>
      </c>
      <c r="B1771" t="inlineStr">
        <is>
          <t>Anyone else having kidney problems afterwards?</t>
        </is>
      </c>
      <c r="C1771" t="inlineStr">
        <is>
          <t>I was tested positive around Mid April, showing quite bad symptoms but yet not enough to get hospitalised (my dads a nurse, he took care of me).
Yesterday I went to my GP as I've had trouble peeing for two weeks now and well, my kidneys are severely damaged. Never been a drinker or smoker, haven't had problems with them before.
Do u guys think there might be a connection?
Anyone else with the same problem?</t>
        </is>
      </c>
      <c r="D1771" t="n">
        <v>3</v>
      </c>
      <c r="E1771" t="n">
        <v>23</v>
      </c>
      <c r="F1771">
        <f>HYPERLINK("https://www.reddit.com/r/COVID19positive/comments/gzvsrl/anyone_else_having_kidney_problems_afterwards/")</f>
        <v/>
      </c>
      <c r="G1771" t="inlineStr">
        <is>
          <t>2020-06-09 13:46:45</t>
        </is>
      </c>
      <c r="H1771" t="inlineStr">
        <is>
          <t>Tested Positive</t>
        </is>
      </c>
    </row>
    <row r="1772">
      <c r="A1772" t="inlineStr">
        <is>
          <t>gzw6h8</t>
        </is>
      </c>
      <c r="B1772" t="inlineStr">
        <is>
          <t>Symptoms back after alcohol consumption</t>
        </is>
      </c>
      <c r="C1772" t="inlineStr">
        <is>
          <t>This weekend for the first time after I recovered I drank alcohol in moderation ofcourse because I'm still a little scared to my surprise I had an asthma attack the next day.
Which I found very strange, I'm asthmatic and I recovered from covid without even being hospitalized and had very little episodes with my chest, COVID-19 seemed to be attacking other parts of my body not so much my lungs
Now I'm shocked by the asthma attack 30 days after the positive test and recovery, now I'm worried that it's back or I'm just paranoid and I tested negative on day 21.
Anyone experiencing symptoms after drinking alcohol after they recover?
Thanks 
I'm definitely not drinking again for a while</t>
        </is>
      </c>
      <c r="D1772" t="n">
        <v>9</v>
      </c>
      <c r="E1772" t="n">
        <v>18</v>
      </c>
      <c r="F1772">
        <f>HYPERLINK("https://www.reddit.com/r/COVID19positive/comments/gzw6h8/symptoms_back_after_alcohol_consumption/")</f>
        <v/>
      </c>
      <c r="G1772" t="inlineStr">
        <is>
          <t>2020-06-09 14:04:52</t>
        </is>
      </c>
      <c r="H1772" t="inlineStr">
        <is>
          <t>Tested Positive - Me</t>
        </is>
      </c>
    </row>
    <row r="1773">
      <c r="A1773" t="inlineStr">
        <is>
          <t>gzw9gf</t>
        </is>
      </c>
      <c r="B1773" t="inlineStr">
        <is>
          <t>How to fall asleep with chest pain?</t>
        </is>
      </c>
      <c r="C1773" t="inlineStr">
        <is>
          <t>I was tested positive less than a week ago, I have mild symptoms and I don't require hospitalisation. 
My question for others who've been positive is - how to fall asleep easier? Before sleep I take a painkiller, which does help, but doesn't eliminate the pain enough so I can ignore it and it gets irritating when trying to sleep. 
Is there a certain sleeping position,  room temperature or anything else that helps? I was told by my doctor not to take more painkillers than prescribed.</t>
        </is>
      </c>
      <c r="D1773" t="n">
        <v>3</v>
      </c>
      <c r="E1773" t="n">
        <v>9</v>
      </c>
      <c r="F1773">
        <f>HYPERLINK("https://www.reddit.com/r/COVID19positive/comments/gzw9gf/how_to_fall_asleep_with_chest_pain/")</f>
        <v/>
      </c>
      <c r="G1773" t="inlineStr">
        <is>
          <t>2020-06-09 14:08:39</t>
        </is>
      </c>
      <c r="H1773" t="inlineStr">
        <is>
          <t>Tested Positive - Me</t>
        </is>
      </c>
    </row>
    <row r="1774">
      <c r="A1774" t="inlineStr">
        <is>
          <t>gzwlmx</t>
        </is>
      </c>
      <c r="B1774" t="inlineStr">
        <is>
          <t>Post-COVID recovery is possible with the damage of endothelial cells and blood-clots?</t>
        </is>
      </c>
      <c r="C1774" t="inlineStr">
        <is>
          <t>Hi everyone,
Does any of you know if the endothelial cells in the blood vessels heal or repair on their own? How long we have to manage until this post COVID inflammation subsides. I can't find information that says the blood vessels heal after damage and how long it takes. 
Has anyone felt better after 12 weeks of being sick with COVID? Doctors do not have a clue, I am afraid we will be stuck in this loop forever. 
I still have some aches and pains in the legs and arms, which are not constant and not every day. Transient headache that comes and goes, 2 days every other week. Some slight cough, lungs are better now, the heart calmed down, , i have stiff neck, swollen lymph nodes, right eye is twitching, weird, some nausea, bloating, slight loose stools, better than before, some abdominal pain, lower back pain, some sensation in my sinuses. I have been taking tons of vitamins, probiotics, eating healthy food, my bloodwork are normal. These symptoms do not allow me to work at maximum, if yes, I collapse the next day.</t>
        </is>
      </c>
      <c r="D1774" t="n">
        <v>12</v>
      </c>
      <c r="E1774" t="n">
        <v>25</v>
      </c>
      <c r="F1774">
        <f>HYPERLINK("https://www.reddit.com/r/COVID19positive/comments/gzwlmx/postcovid_recovery_is_possible_with_the_damage_of/")</f>
        <v/>
      </c>
      <c r="G1774" t="inlineStr">
        <is>
          <t>2020-06-09 14:25:08</t>
        </is>
      </c>
      <c r="H1774" t="inlineStr">
        <is>
          <t>Presumed Positive - From Doctor</t>
        </is>
      </c>
    </row>
    <row r="1775">
      <c r="A1775" t="inlineStr">
        <is>
          <t>gzwrd7</t>
        </is>
      </c>
      <c r="B1775" t="inlineStr">
        <is>
          <t>Value: Detected but Standard Range: Not Detected?</t>
        </is>
      </c>
      <c r="C1775" t="inlineStr">
        <is>
          <t>A roommate received these results and says she doesn't know what the 2nd part means? Does anyone else have experience with this to know what a positive result means if it says "Standard Range: Not Detected"?</t>
        </is>
      </c>
      <c r="D1775" t="n">
        <v>1</v>
      </c>
      <c r="E1775" t="n">
        <v>5</v>
      </c>
      <c r="F1775">
        <f>HYPERLINK("https://www.reddit.com/r/COVID19positive/comments/gzwrd7/value_detected_but_standard_range_not_detected/")</f>
        <v/>
      </c>
      <c r="G1775" t="inlineStr">
        <is>
          <t>2020-06-09 14:32:52</t>
        </is>
      </c>
      <c r="H1775" t="inlineStr">
        <is>
          <t>Tested Positive - Friends</t>
        </is>
      </c>
    </row>
    <row r="1776">
      <c r="A1776" t="inlineStr">
        <is>
          <t>gzy5zv</t>
        </is>
      </c>
      <c r="B1776" t="inlineStr">
        <is>
          <t>Day 100 and new symptoms - Anybody else here?</t>
        </is>
      </c>
      <c r="C1776" t="inlineStr">
        <is>
          <t>Hey everyone,
I tested positive in the beginning of March with the infection probably having started during the end of February. I also tested positive again 14 days later. Had a mild to severe case: breathing issues, lung damage, heart problems and various other symptoms. Vital capacity dropped to 50% and has not recovered so far.
Anyhow, except my limited lung function and my loss of taste&amp;amp;smell, I feel fine. And have felt fine since about 50-60 days. I also tested negative 70 days ago but haven’t had any antibodies back then (quick test).
Today I woke up with about 50+ petechia on my legs. No pain or whatsoever, no fever. I did another antibody test and it’s still negative. Will have a lot of blood work done tomorrow but it’s very concerning.
Is anybody else still struggling with this freakish disease or similar long term symptoms after such a long time?</t>
        </is>
      </c>
      <c r="D1776" t="n">
        <v>15</v>
      </c>
      <c r="E1776" t="n">
        <v>27</v>
      </c>
      <c r="F1776">
        <f>HYPERLINK("https://www.reddit.com/r/COVID19positive/comments/gzy5zv/day_100_and_new_symptoms_anybody_else_here/")</f>
        <v/>
      </c>
      <c r="G1776" t="inlineStr">
        <is>
          <t>2020-06-09 15:42:31</t>
        </is>
      </c>
      <c r="H1776" t="inlineStr">
        <is>
          <t>Tested Positive</t>
        </is>
      </c>
    </row>
    <row r="1777">
      <c r="A1777" t="inlineStr">
        <is>
          <t>gzyom4</t>
        </is>
      </c>
      <c r="B1777" t="inlineStr">
        <is>
          <t>Day 9</t>
        </is>
      </c>
      <c r="C1777" t="inlineStr">
        <is>
          <t>I'm on day 9 of the coronavirus, yesterday I felt the best but today I kinda feel bad again. Just woke up from a 2 hour nap. 
I'm experiencing loss of appetite today. I did try apple sauce with 2 plain waffles but since I still have no smell and somewhat of an altered taste, the applesauce's sweetness was extreme and it made me feel sick.
I'm also on day 3 of diarrhea. Luckily I can keep down water to prevent dehydration. Strangely, bottled water tastes sweet as well. 
Did anyone else experience this?
I also have somewhat of a cough but only when I get these strange coughing spells that occur with shortness of breath. And fevers have been pretty mild. I haven't taken anything for fever today.
Edit: idk how I forgot but anyone experience sweaty hands and feet? Like soak your socks. I'm not kidding lol
It's the strangest thing even. I tried walking around with no socks and it was disgusting.</t>
        </is>
      </c>
      <c r="D1777" t="n">
        <v>2</v>
      </c>
      <c r="E1777" t="n">
        <v>7</v>
      </c>
      <c r="F1777">
        <f>HYPERLINK("https://www.reddit.com/r/COVID19positive/comments/gzyom4/day_9/")</f>
        <v/>
      </c>
      <c r="G1777" t="inlineStr">
        <is>
          <t>2020-06-09 16:09:37</t>
        </is>
      </c>
      <c r="H1777" t="inlineStr">
        <is>
          <t>Tested Positive - Me</t>
        </is>
      </c>
    </row>
    <row r="1778">
      <c r="A1778" t="inlineStr">
        <is>
          <t>gzz6o9</t>
        </is>
      </c>
      <c r="B1778" t="inlineStr">
        <is>
          <t>A question for ling haulers regarding heart issues</t>
        </is>
      </c>
      <c r="C1778" t="inlineStr">
        <is>
          <t>So does the Heart rate resolve for anyone? Mine started in Week 7 and still experiencing the same, my resting HR is elevated to 80s throughout the day and it dips down to higher 40's at night!
Is there any hope? Does it resolve on its own? Should I go to ER?</t>
        </is>
      </c>
      <c r="D1778" t="n">
        <v>4</v>
      </c>
      <c r="E1778" t="n">
        <v>12</v>
      </c>
      <c r="F1778">
        <f>HYPERLINK("https://www.reddit.com/r/COVID19positive/comments/gzz6o9/a_question_for_ling_haulers_regarding_heart_issues/")</f>
        <v/>
      </c>
      <c r="G1778" t="inlineStr">
        <is>
          <t>2020-06-09 16:38:08</t>
        </is>
      </c>
      <c r="H1778" t="inlineStr">
        <is>
          <t>Presumed Positive - From Doctor</t>
        </is>
      </c>
    </row>
    <row r="1779">
      <c r="A1779" t="inlineStr">
        <is>
          <t>h02x4z</t>
        </is>
      </c>
      <c r="B1779" t="inlineStr">
        <is>
          <t>Liposomal Vitamin C and supplement stack</t>
        </is>
      </c>
      <c r="C1779" t="inlineStr">
        <is>
          <t>To all long-haulers. Salute for fighting this together.
My x-ray came clear. 100 days since symptomatic. Current one: mild SOB, wiping out on exertion and back ache / bloating.
Core Stack:
Liposomal Vitamin C (Livon Labs) did really change things for me. Whether it’s histamine intolerance or inflammation or boosting NK cells (lymphocytes), it does all backed by solid research. Tried may other brands, but none is so effective. Only gotcha is liposomes are made out of non-GMO soy as opposed to sunflower. But I like the their packaging via sachets to prevent oxidation. Take it with food, as choline (liver nutrients) containing in the liposome stimulates bile flow and helps absorbing fat-soluble vitamins like D3 / A / K etc. 
Dose: 1g 2x in divided doses. Equivalent to 10g usual vitamin C. 
- https://www.livonlabs.com/products/vitamin-c/
Also megadose a Bifido probiotic (histamine degrading)- 80B CFU / day. Remember to replenish gut-microbiome after heavy-dosing anti-microbial like oregano oil / black seed oil / garlic. They do kill good ones. In fact, gut microbiome module not just gut immunity but systemic immunity including lungs function. SCFAs produced by gut has direct impact on lung function (check gut-lung axis). As a bonus, if you want to boost NK cells and add a solid prebiotic to feed those good bugs, look at Arabinogalactan (Thorne has a product). 
- https://www.medlab.co/nutraceuticals/products/bifidobiotic-60s
- https://www.thorne.com/products/dp/arabinex-reg
Thorne Pic-min (2x) + Copper takes care of the trace minerals.
Dose vitamin D carefully. Overdosing it will suppress immune system (bad, unless you are trying to prevent a cytokines storm). Mg is needed if you end up supplementing it.
So instead of trying many supplements, try this specific C-D-Pro-Trace stack and journal (please share) how your symptoms improve. Assuming you are following a low-histamine diet with fresh animal protein.</t>
        </is>
      </c>
      <c r="D1779" t="n">
        <v>6</v>
      </c>
      <c r="E1779" t="n">
        <v>4</v>
      </c>
      <c r="F1779">
        <f>HYPERLINK("https://www.reddit.com/r/COVID19positive/comments/h02x4z/liposomal_vitamin_c_and_supplement_stack/")</f>
        <v/>
      </c>
      <c r="G1779" t="inlineStr">
        <is>
          <t>2020-06-09 20:31:52</t>
        </is>
      </c>
      <c r="H1779" t="inlineStr">
        <is>
          <t>Presumed Positive - From Doctor</t>
        </is>
      </c>
    </row>
    <row r="1780">
      <c r="A1780" t="inlineStr">
        <is>
          <t>h03vwt</t>
        </is>
      </c>
      <c r="B1780" t="inlineStr">
        <is>
          <t>Can Covid-19 cause Anorgasmia (lack of orgasm). Has anyone else had issues with having trouble orgasming (Embarrassing question)? Just started week 12 since first getting sick.</t>
        </is>
      </c>
      <c r="C1780" t="inlineStr">
        <is>
          <t>So this is an embarrassing question to ask.
I started to have symptoms related to Covid-19 back around March 17th (I just reached week 12). I was not able to get tested back then due to test being saved for the those who were the sickest and in the hospital. I have since received an antibodies test for Covid-19, which came back positive.
About 2 to 3 weeks ago I noticed that it would take me incredibly long to reach orgasm. Now in the last week I have found myself not able to reach orgasm at all.
I am wondering if anyone else has had this issue? If so, have you figured out a way to help this? As a guy, this is very frustration and embarrassing.</t>
        </is>
      </c>
      <c r="D1780" t="n">
        <v>10</v>
      </c>
      <c r="E1780" t="n">
        <v>10</v>
      </c>
      <c r="F1780">
        <f>HYPERLINK("https://www.reddit.com/r/COVID19positive/comments/h03vwt/can_covid19_cause_anorgasmia_lack_of_orgasm_has/")</f>
        <v/>
      </c>
      <c r="G1780" t="inlineStr">
        <is>
          <t>2020-06-09 21:40:08</t>
        </is>
      </c>
      <c r="H1780" t="inlineStr">
        <is>
          <t>Tested Positive - Me</t>
        </is>
      </c>
    </row>
    <row r="1781">
      <c r="A1781" t="inlineStr">
        <is>
          <t>h04rjk</t>
        </is>
      </c>
      <c r="B1781" t="inlineStr">
        <is>
          <t>Long-hauler with neurologic symptoms: my thoughts so far</t>
        </is>
      </c>
      <c r="C1781" t="inlineStr">
        <is>
          <t>I'll preface this by saying that I'm a healthcare provider myself, which has made this entire process even more demoralizing because I've been dismissed and gaslit by my own colleagues, from whom I've been obliged to seek care.
I developed symptoms of mild covid-19 around March 15- sore throat, extreme fatigue, headache, chest tightness with shortness of breath, and mild nonproductive cough. Never lost my sense of smell or taste, never had a true fever, my temp peaked at 99.3 but I was afebrile for the most part. Tested negative, then positive. (THE TEST IS CRAP). These symptoms lasted about a week and I rapidly improved thereafter, except for the headache. The headache never went away. Woke up every morning smelling like a WWE wrestler because I was sweating through my sheets all night.
Timeline of subsequent symptoms:
4 weeks: tinnitus in left ear, worse when laying down, also worse when headache worse. Slight vertigo but only when laying down completely still, not when I'm moving or turning my head (which would indicative of BPPV/ crystals in the inner ear). Still sweating profusely at night, sweat smells much worse than usual. No fevers.
5 weeks: odd sensation of pressure (not pain) in anterior left side of neck, right over the carotid artery. Very persistent, I figured I slept wrong and had a crick in my neck. But it did not improve with stretches/heat/ibuprofen. I had a telemedicine visit with my doctor, who prescribed physical therapy for cervicogenic tinnitus/vertigo. I went to 2 sessions, where they were unable to find anything abnormal. They gave me neck and pec stretches.
6 weeks: I woke up in the early morning with intense pulsatile tinnitus in both ears, very loud whooshing, accompanied by a sensation of "throbbing cold sunburn" over the bridge of my nose, tingling/numbness of the lower left side of my face, a "buzzing" sensation in the vessels of my neck (yes it felt like there were bees in my veins), and an electric feeling in the front of my brain- I can only describe it as someone pressing the "reset" button on a nintendo, it would wash over the front of my brain in brief waves, often in time with my pulse.
At this point I went to the ED because I was concerned that I was having a stroke or carotid dissection. They did CT angiograms of my neck and brain and everything was normal, but I was tachycardic and hypertensive (pulse 130, BP 180/110). EKG showed sinus tachycardia with left atrial enlargement and nonspecific ST abnormality. I have no history of heart problems. The doctor took my hand and suggested I see a mental health professional to help me cope with "these stressful times". They said my EKG was nothing to worry about. I insisted that they consult cardiology. Cardiologist said "no reason to worry, you have no history of heart problems". No further testing.
I was bedridden for 4 days after this, slept probably 20 hours per day easily.
7 weeks: symptoms improved slightly, electric feeling in brain decreased. But I did notice a very fine, faint petechial rash on my abdomen and upper thighs at one point and thought "huh". It disappeared after a few days. I was not very concerned because it was minor, was nonpalpable, and I see postviral rashes a lot in kids at work.
Good days when I could go on a 3 mile walk and cook myself dinner, followed by days when I could barely get out of bed, I was crushed with fatigue. Running even 1 errand was enough to knock me off my feet for over 24 hours.
Paid out of pocket for the Abbott antibody test (because I wanted to donate plasma), negative. (But these antibody tests are only 50% accurate at best, read this if you don't believe me: [https://www.vox.com/2020/5/1/21240123/coronavirus-quest-diagnostics-antibody-test-covid](https://www.vox.com/2020/5/1/21240123/coronavirus-quest-diagnostics-antibody-test-covid)
8 weeks: developed symptoms of occipital neuralgia- intense electric buzzing in the back of my scalp radiating down the back of my neck, not painful but very distressing. It only occurred at night or when I laid down for extended periods of time. Tinnitus was also worse when it was bad. Faint tingling of buttocks that came and went randomly. I was prescribed increasing doses of gabapentin at this point, which did not help at all. MRI of neck was negative. I saw a neurologist, they told me I was having migraines. Horrible bouts of nausea, no appetite.
9 weeks: Buzzing/crawling sensations are spreading down my body, worse every single night along with the buzzing in back of my scalp. One morning I was buzzing down to my armpits, the next it was waistlevel, the next it was from head to toe. Along with the buzzing was sensation of a very fine internal tremor, like my muscles were fasciculating or shivering. But I couldn't tell if I actually had a tremor, or if it just felt that way. I frequently put my hand on my leg to see if it was moving on its own. When I put my palm on a flat surface it feels like I can feel the blood coursing through the individual vessels under the skin, buzzing. I called the neurologist again when I woke up and the back of my tongue was writhing involuntarily in the back of my mouth and buzzing. Symptoms of dysautonomia- runs of tachycardia that came out of nowhere, chest tightness, sensation of lump in the back of my throat, heart palpitations, random bouts of diarrhea. There were times when I felt like I had acid in my blood and swore I could feel my blood moving through the vessels in my neck. I urgently requested a brain MRI to rule out multiple sclerosis. I also asked for a few other blood tests- CRP (inflammation), B12 level. They refused to run a d-dimer because "no reason to run that". Ugh. CRP and B12 are both normal.
Brain MRI was mildly abnormal but nonspecific- one region of white matter subcortical FLAIR hyperintensity (a sign of inflammation), small fluid collections in mastoid region bilaterally. Does not meet criteria for MS. Neurologist doubles down on diagnosis of migraine, prescribes nortriptyline. I requested a copy of the radiology report, under 'indication' the neurologist had written "vague complaints". This is what we write when we think the patient is full of shit but are covering our asses so that we don't get sued on the off chance that they really are sick. They didn't even bother to list a single one of the VERY specific symptoms I had been describing.
So this is where I'm at now. I've refused to start the nortriptyline, because it's a very old antidepressant with shitty side effects that can worsen cardiac arrhythmias AND it lowers the threshold for seizures.
I'm convinced that there's an inflammatory reaction going on in my brain, which is causing these neurologic symptoms. Additionally, I think I'm experiencing seizure-like activity in parts of my brain during the night, as now when I wake up in the middle of the night it's to involuntary movements in my mouth and my left leg. They resolve when I get up and walk around. To test this, I took 2mg lorazepam (ativan) one night before bed, and slept soundly throughout the night without symptoms. This is an anti-seizure medication that we use to stop seizures (though not at full dose). I only have a very small supply of this medication (I use it for flight anxiety) and am only taking it maybe once every week when I absolutely cannot stand the symptoms any longer and haven't slept all night. It's also not safe to take every single day because the body develops dependence very quickly, and withdrawing abruptly can CAUSE seizures.
I've also been using a beta blocker, propranolol, sparingly as needed for racing heart and palpitations. I don't take it every day, because, again, the body can develop tolerance- abrupt withdrawal can cause rebound tachycardia and I don't have a huge supply. But it has been helpful in making me comfortable when I feel like my heart is about to beat out of my chest.
I'm also taking 81mg aspirin daily as an antiplatelet because who knows if I'm throwing microclots. I am not allowed to give medical advice here and I cannot advise than anyone else on here do any of what I'm doing, I'm simply giving the rationale for the decisions I'm making for myself. These drugs have very real risks (even aspirin). I've seen some people on here reason that larger doses of aspirin are better, and this is not true. Larger doses of aspirin actually have less bloodthinning activity, and more potential for side effects. IF you decide to take aspirin for this purpose stick with 81mg.
Moving forward: I'm going to try a few different things-
1. ketogenic diet- proven to reduce seizures in some types of epilepsy. Try to do as much of a healthy keto as possible with lots of leafy greens and low carb veggies, no slabs of melted cheese or cured meats. After my ED visit, I ate maybe 2 meals total during the following 4 days because I was sleeping all day, and my neurologic symptoms did improve during that time- I was definitely in ketosis, and lost 5 pounds.
2. CBD, dose to be determined but starting at 100mg twice daily- again has been used to treat epilepsy
3. try to finagle a prescription for more beta blockers from my neurologist, so that I can safely take them every day- reasoning for this is two-fold, the ketogenic diet can CAUSE more heart palpitations and arrhythmias (I've experienced it firsthand), and if I'm already having palpitations this diet will only worsen them, and secondly, beta blockers are one form of migraine prophylaxis so I can reasonably argue for the prescription if the neurologist truly thinks I'm experiencing migraines (which I am not).
4. acupuncture twice weekly- I have had 2 sessions and didn't feel worse afterwards, it doesn't seem to be hurting me so I'm going to keep it up
5. Will see a chiropractor who has been recommended by a few friends of mine, maybe some other physical adjustments will help, who knows, I'll try anything at this point
6. Might find a naturopath who is covered by my insurance for further advice, and also so that I have someone to talk to who will believe me when I describe my symptoms. Because none of my allopathic colleagues have believed me so far and that has been the hardest thing of all. I've been made to feel that I'm suddenly crazy, by people who have worked alongside me and trusted my medical judgment in the past. It's incredibly invalidating and painful.
7. limiting physical activity. Whenever I have a relatively good day, I try to do something like go to the store and then I'm knocked on my ass for a full day. None of that. If I'm having a good day, I might walk to the mailbox and back, but no big activities until I've made some lasting progress
Thank god I'm not working right now. I was furloughed shortly after getting sick (never had the chance to go back to work) and am able to collect unemployment based on this, and haven't been scheduled to return to work yet. This has been an evolving hellscape and will definitely change the way I practice medicine when I do return to work.
&amp;amp;#x200B;
EDIT: Forgot to include a list of things that definitely make my symptoms worse: caffeine (I love coffee, but even a single cup of half-caff now will send my heart through the roof), alcohol (same), laying flat on my back for too long or on either side (am sleeping in a recliner at a 45 degree angle, with pillows on both sides so I can't shift onto my side during sleep), too much physical activity, loud noises, too much mental exertion</t>
        </is>
      </c>
      <c r="D1781" t="n">
        <v>70</v>
      </c>
      <c r="E1781" t="n">
        <v>137</v>
      </c>
      <c r="F1781">
        <f>HYPERLINK("https://www.reddit.com/r/COVID19positive/comments/h04rjk/longhauler_with_neurologic_symptoms_my_thoughts/")</f>
        <v/>
      </c>
      <c r="G1781" t="inlineStr">
        <is>
          <t>2020-06-09 22:47:59</t>
        </is>
      </c>
      <c r="H1781" t="inlineStr">
        <is>
          <t>Tested Positive - Me</t>
        </is>
      </c>
    </row>
    <row r="1782">
      <c r="A1782" t="inlineStr">
        <is>
          <t>h04zk5</t>
        </is>
      </c>
      <c r="B1782" t="inlineStr">
        <is>
          <t>Long termers negative for IgG &amp;amp; IgM -- Should we assume T Cells confirm long term immunity?</t>
        </is>
      </c>
      <c r="C1782" t="inlineStr">
        <is>
          <t>My husband and I were ill with Covid for 6 weeks starting in early March.  Recently he tested positive for IGG antibodies (Abbott test); I did not.  I also took an IGM test and confirmed I don't have those either.
We were ill at the same time, so there is no doubt it was Covid for both of us.  
If I didn't make antibodies to clear the virus, I assume my body used T Cells instead. (It sounds like many others on this thread are in the same boat).  For those of you who are certain you had Covid but did not make antibodies -- how confident are you of immunity from future infection?  T Cells are supposed to be longer lasting (permanent?) versus antibodies... so maybe in some way we are better off?</t>
        </is>
      </c>
      <c r="D1782" t="n">
        <v>13</v>
      </c>
      <c r="E1782" t="n">
        <v>18</v>
      </c>
      <c r="F1782">
        <f>HYPERLINK("https://www.reddit.com/r/COVID19positive/comments/h04zk5/long_termers_negative_for_igg_igm_should_we/")</f>
        <v/>
      </c>
      <c r="G1782" t="inlineStr">
        <is>
          <t>2020-06-09 23:06:18</t>
        </is>
      </c>
      <c r="H1782" t="inlineStr">
        <is>
          <t>Tested Positive - Family</t>
        </is>
      </c>
    </row>
    <row r="1783">
      <c r="A1783" t="inlineStr">
        <is>
          <t>h0604a</t>
        </is>
      </c>
      <c r="B1783" t="inlineStr">
        <is>
          <t>Fatigue after COVID?</t>
        </is>
      </c>
      <c r="C1783" t="inlineStr">
        <is>
          <t>Hello so I’ve been presumed positive of the virus back in march and I had a somewhat mild case. However I have found that since I am still suffering from tiredness. I have some days where I am perfectly fine then I have days where I’m just completely tired and just need to rest. I’ve literally been on the phone to my doctor to arrange bloods to see if it’s something else but she did tell me a lot of people who have had cases tend to have tiredness months after.
So my question is has anyone had a somewhat mild case and found themselves with the fatigue? If so do you still have it? When did it wear off for you?
Thanks for all the help
Ps here’s my symptoms 
It started out with a bad stomach ache and extreme fatigue which I was thought due to a tattoo session and then I ended up waking up in the night with a fever and I got a horrid dry cough, my throat was on fire and my muscles and body was aching like hell. I had a period when I felt better then a day later my throat was back on fire and at the end every time I breathed in I sounded like a can of soda fizzing inside my lungs.
EDIT: so many have replied and I’m not sure how to respond to you all but thank you for making me feel less alone, I’m so glad it’s not just me. I hope we all get through it and it goes away soon!
EDIT 2: added symptoms</t>
        </is>
      </c>
      <c r="D1783" t="n">
        <v>14</v>
      </c>
      <c r="E1783" t="n">
        <v>29</v>
      </c>
      <c r="F1783">
        <f>HYPERLINK("https://www.reddit.com/r/COVID19positive/comments/h0604a/fatigue_after_covid/")</f>
        <v/>
      </c>
      <c r="G1783" t="inlineStr">
        <is>
          <t>2020-06-10 00:28:52</t>
        </is>
      </c>
      <c r="H1783" t="inlineStr">
        <is>
          <t>Presumed Positive - From Doctor</t>
        </is>
      </c>
    </row>
    <row r="1784">
      <c r="A1784" t="inlineStr">
        <is>
          <t>h078io</t>
        </is>
      </c>
      <c r="B1784" t="inlineStr">
        <is>
          <t>Share your list of Symptoms.</t>
        </is>
      </c>
      <c r="C1784" t="inlineStr">
        <is>
          <t>I thought it would be helpful for all of us to list our symptoms in a basic list and how long we have been feeling unwell for. This way it can help people who are also seeking to communicate with people who are feeling the same way and maybe will be an easy way to see whats coming up again and again. So for eg
25m, 75 days with Symptoms.
Chest pain and shortness of breath.   
Wrist pain, finger pain, general bone pain.   
Burning skin.   
Rash on face and sides of face.   
Back shoulder and neck pain.   
Sores in lip.   
Loss of appetite.   
Intermittent low grade fevers.  
Sores in lip.  
White tongue.   
Tension headaches.   
Bounding heartbeat.  
Vertigo seemingly (labyrinthitis)</t>
        </is>
      </c>
      <c r="D1784" t="n">
        <v>21</v>
      </c>
      <c r="E1784" t="n">
        <v>34</v>
      </c>
      <c r="F1784">
        <f>HYPERLINK("https://www.reddit.com/r/COVID19positive/comments/h078io/share_your_list_of_symptoms/")</f>
        <v/>
      </c>
      <c r="G1784" t="inlineStr">
        <is>
          <t>2020-06-10 02:10:26</t>
        </is>
      </c>
      <c r="H1784" t="inlineStr">
        <is>
          <t>Presumed Positive - From Doctor</t>
        </is>
      </c>
    </row>
    <row r="1785">
      <c r="A1785" t="inlineStr">
        <is>
          <t>h08nxl</t>
        </is>
      </c>
      <c r="B1785" t="inlineStr">
        <is>
          <t>What's the longest someone has been in the hospital for Covid?</t>
        </is>
      </c>
      <c r="C1785" t="inlineStr">
        <is>
          <t>I posted earlier about how we were worried for our friend who has been in the hospital for covid for over 11 weeks. We were able to get in contact with his family and they said they are in touch with the hospital and he is getting better slowly but now the question for us what is the longest someone has been in the hospital? The wait seems to be endless. I am wondering if there are any more cases of people being in hospital for more than 11 weeks. :(</t>
        </is>
      </c>
      <c r="D1785" t="n">
        <v>4</v>
      </c>
      <c r="E1785" t="n">
        <v>3</v>
      </c>
      <c r="F1785">
        <f>HYPERLINK("https://www.reddit.com/r/COVID19positive/comments/h08nxl/whats_the_longest_someone_has_been_in_the/")</f>
        <v/>
      </c>
      <c r="G1785" t="inlineStr">
        <is>
          <t>2020-06-10 04:03:54</t>
        </is>
      </c>
      <c r="H1785" t="inlineStr">
        <is>
          <t>Tested Positive - Friends</t>
        </is>
      </c>
    </row>
    <row r="1786">
      <c r="A1786" t="inlineStr">
        <is>
          <t>h08w0h</t>
        </is>
      </c>
      <c r="B1786" t="inlineStr">
        <is>
          <t>Day 80+ thought I was recovered at day 70, but started to have inflammation on week 11 (Antibody test negative )</t>
        </is>
      </c>
      <c r="C1786" t="inlineStr">
        <is>
          <t>hi,  since I have received lots of support here, and reading all your stories helped me through the dark times, I thought it's time to share my life in the last 80 days. *sorry for the long post, would appreciate if you could let me know if you have similar experience, and any thought on the antibody tests.*
Started getting sick mid march, first week was very mild with sore throat, stomachache, neck pain, and a bit winded when loading my laundry (didn't think much of it)... till Day 5 early evening with sudden on set of major diarrhea followed with chills (shaking uncontrollably). 
Day 6-10 was hell, with all the GI symptoms, strong headache, body aches, felt like I was hit by a bus all my internal organs hurt, strange vivid dreams kept me from proper rest, lost sense of smell completely. Day 9 I felt so miserable woke up in the middle of the night with aches, nausea that followed with vomiting and diarrhea, I was so weak by then since I couldn't eat anything except drinking water like crazy. while I laid in bed trying to decide if I should call for the ambulance (still trying to convince myself this was just bad stomach flu), there was a sudden calm peaceful feeling came over me ( I cannot explain), that's the moment I knew I would make it through.
Day 10 -12 I started feeling better, thought I was over it.. but hell I was wrong.. Day 13 headache came back in full force, fever came back,  face was burning, lower lung pain , shortness of breath kicking in, talking on the phone became difficult (but strangely enough going up and down the stairs were ok). OH and lovely pink eyes!
Day 20 I was sent to the ER by my dr due to my shortness of breath. ER doctor refused to do test as they were sure I was having Covid with all the symptoms (except no cough). My oxygen was good, lungs clear sounded good. I was sent home.
Day 20-25 my shortness of breath did not get better, I started to have really bad dizzy spell, vertigo was terrifying. my heart rate was all over the place and by then I have lost 6kg (10% of my body weight). I started to force myself to eat to regain my energy, which was very hard when you have 0 appetite.
Day 25 -30, still with all the above symptoms, now adding inner ear pain, strange pressure on the head, sharp pain on the back mostly left shoulder blade, pins and needles in my fingers (woke me up at night).
Day 35 My GP did blood work, and was concern with blood clots, I ended up in the ER again, d dimer came back ok, blood oxygen was good, Xray clear. the ER doctor believe I am on the road of recover just need to be patients till inflammations goes away. and time for my body to heal.
Week 6 I started working (home office) full time, it was hard. I could barely finish one conf call without feeling out of it , weak and drained. but the pain in my body started to disappear. still have SOB and extremely Bloated (like I was 3 months pregnant).
I think that was when I finally turned corner. I started felling stronger week by week, my slow 20 mins walk became 1 hour walk at normal pace, still mild SOB. by week 9 my heart rate began to get back to the normal range with occasional spike.
Week 10 SOB resolved, I felt nearly normal again (expect heart rate spike when i tried to vacuum the room)
week 11 I felt hard swollen lump on my upper chest, it got warm and uncomfortable. went to see my doctor, We felt more lump between ribs 2-3, 5, and cartilage linked to the sternum bones are inflamed. she believed this is still linked to Covid19.. I felt miserable over the weekend from feeling normal to sore swollen chest bone ..
while i was at doctor office she did another blood work, also added antibody test ( honestly I didn't want to ask, as i have seen many long term sick people have negative result), and here I go, she called to tell me result come back negative. it was difficult to understand why it shows 9.2, i thought it would be a straight forward as yes or no.. as she is very sure i have covid, she think my antibody might have already reduced .. oh well.. 
anyway, I stay positive and looking forward for full recovery.
Thank you for reading this. wish we all have more good days and recovery soon</t>
        </is>
      </c>
      <c r="D1786" t="n">
        <v>19</v>
      </c>
      <c r="E1786" t="n">
        <v>16</v>
      </c>
      <c r="F1786">
        <f>HYPERLINK("https://www.reddit.com/r/COVID19positive/comments/h08w0h/day_80_thought_i_was_recovered_at_day_70_but/")</f>
        <v/>
      </c>
      <c r="G1786" t="inlineStr">
        <is>
          <t>2020-06-10 04:19:43</t>
        </is>
      </c>
      <c r="H1786" t="inlineStr">
        <is>
          <t>Presumed Positive - From Doctor</t>
        </is>
      </c>
    </row>
    <row r="1787">
      <c r="A1787" t="inlineStr">
        <is>
          <t>h0a7e4</t>
        </is>
      </c>
      <c r="B1787" t="inlineStr">
        <is>
          <t>mentally declining?</t>
        </is>
      </c>
      <c r="C1787" t="inlineStr">
        <is>
          <t>anyone mentally declining?</t>
        </is>
      </c>
      <c r="D1787" t="n">
        <v>8</v>
      </c>
      <c r="E1787" t="n">
        <v>8</v>
      </c>
      <c r="F1787">
        <f>HYPERLINK("https://www.reddit.com/r/COVID19positive/comments/h0a7e4/mentally_declining/")</f>
        <v/>
      </c>
      <c r="G1787" t="inlineStr">
        <is>
          <t>2020-06-10 05:47:58</t>
        </is>
      </c>
      <c r="H1787" t="inlineStr">
        <is>
          <t>Tested Positive - Me</t>
        </is>
      </c>
    </row>
    <row r="1788">
      <c r="A1788" t="inlineStr">
        <is>
          <t>h0a7m1</t>
        </is>
      </c>
      <c r="B1788" t="inlineStr">
        <is>
          <t>Still positive 2 months later.</t>
        </is>
      </c>
      <c r="C1788" t="inlineStr">
        <is>
          <t>I developed symptoms around the end of March and tested positive the first week of April. I had mild symptoms thankfully which consisted of mild gi irritation, cough, headache and nasal congestion. I still suffer from the headaches which are not as frequent. I tested positive twice for antibodies at the end of May. I went to see my doc for a post covid check up last week and to ask him if it was safe for me to go home to my family. He said of course it was. I had antibodies and I’m probably not contagious anymore. I asked for a test and he said he didn’t want to test me because it could still come back positive meaning I was shedding inactive virus. I got the test anyway and bam! Positive. Anyone have a similar experience or know of anyone who keeps testing positive? Thanks</t>
        </is>
      </c>
      <c r="D1788" t="n">
        <v>116</v>
      </c>
      <c r="E1788" t="n">
        <v>74</v>
      </c>
      <c r="F1788">
        <f>HYPERLINK("https://www.reddit.com/r/COVID19positive/comments/h0a7m1/still_positive_2_months_later/")</f>
        <v/>
      </c>
      <c r="G1788" t="inlineStr">
        <is>
          <t>2020-06-10 05:48:17</t>
        </is>
      </c>
      <c r="H1788" t="inlineStr">
        <is>
          <t>Tested Positive - Me</t>
        </is>
      </c>
    </row>
    <row r="1789">
      <c r="A1789" t="inlineStr">
        <is>
          <t>h0d2x1</t>
        </is>
      </c>
      <c r="B1789" t="inlineStr">
        <is>
          <t>Anyone have numb head?</t>
        </is>
      </c>
      <c r="C1789" t="inlineStr">
        <is>
          <t>9 weeks in. I actually got numb head due to a massive nonstop headache starting at Week 2. Does it get better?</t>
        </is>
      </c>
      <c r="D1789" t="n">
        <v>2</v>
      </c>
      <c r="E1789" t="n">
        <v>6</v>
      </c>
      <c r="F1789">
        <f>HYPERLINK("https://www.reddit.com/r/COVID19positive/comments/h0d2x1/anyone_have_numb_head/")</f>
        <v/>
      </c>
      <c r="G1789" t="inlineStr">
        <is>
          <t>2020-06-10 08:23:23</t>
        </is>
      </c>
      <c r="H1789" t="inlineStr">
        <is>
          <t>Presumed Positive - From Doctor</t>
        </is>
      </c>
    </row>
    <row r="1790">
      <c r="A1790" t="inlineStr">
        <is>
          <t>h0d4kx</t>
        </is>
      </c>
      <c r="B1790" t="inlineStr">
        <is>
          <t>Negative for antibodies on two separate tests.</t>
        </is>
      </c>
      <c r="C1790" t="inlineStr">
        <is>
          <t>I tested positive for Rona back in April, from onset to recovery it was about two weeks duration.  I was happy to enlist when my healthcare team asked if I wanted to be a plasma donor.  First Antibody test was negative so I waited two weeks and we checked again. Still negative. So that’s the end of the journey to donate plasma 😢.</t>
        </is>
      </c>
      <c r="D1790" t="n">
        <v>26</v>
      </c>
      <c r="E1790" t="n">
        <v>32</v>
      </c>
      <c r="F1790">
        <f>HYPERLINK("https://www.reddit.com/r/COVID19positive/comments/h0d4kx/negative_for_antibodies_on_two_separate_tests/")</f>
        <v/>
      </c>
      <c r="G1790" t="inlineStr">
        <is>
          <t>2020-06-10 08:25:50</t>
        </is>
      </c>
      <c r="H1790" t="inlineStr">
        <is>
          <t>Tested Positive - Me</t>
        </is>
      </c>
    </row>
    <row r="1791">
      <c r="A1791" t="inlineStr">
        <is>
          <t>h0ej7n</t>
        </is>
      </c>
      <c r="B1791" t="inlineStr">
        <is>
          <t>Burning when taking breaths, chest tightness, what are your lingering chest symptoms?</t>
        </is>
      </c>
      <c r="C1791" t="inlineStr">
        <is>
          <t>I’m freaking out with these lingering symptoms, especially since I was never officially diagnosed. 
Does anyone else have false alarms when you have relapse symptoms? I already got a few negative tests, but I’m still worried that these relapses are actually new infections.</t>
        </is>
      </c>
      <c r="D1791" t="n">
        <v>1</v>
      </c>
      <c r="E1791" t="n">
        <v>5</v>
      </c>
      <c r="F1791">
        <f>HYPERLINK("https://www.reddit.com/r/COVID19positive/comments/h0ej7n/burning_when_taking_breaths_chest_tightness_what/")</f>
        <v/>
      </c>
      <c r="G1791" t="inlineStr">
        <is>
          <t>2020-06-10 09:39:47</t>
        </is>
      </c>
      <c r="H1791" t="inlineStr">
        <is>
          <t>Presumed Positive - From Doctor</t>
        </is>
      </c>
    </row>
    <row r="1792">
      <c r="A1792" t="inlineStr">
        <is>
          <t>h0ex9z</t>
        </is>
      </c>
      <c r="B1792" t="inlineStr">
        <is>
          <t>Guys, were your testicles affected by Covid?</t>
        </is>
      </c>
      <c r="C1792" t="inlineStr">
        <is>
          <t>Did they ache or anything? Please see the comments as well and leave comments with your experience.
[View Poll](https://www.reddit.com/poll/h0ex9z)</t>
        </is>
      </c>
      <c r="D1792" t="n">
        <v>3</v>
      </c>
      <c r="E1792" t="n">
        <v>29</v>
      </c>
      <c r="F1792">
        <f>HYPERLINK("https://www.reddit.com/r/COVID19positive/comments/h0ex9z/guys_were_your_testicles_affected_by_covid/")</f>
        <v/>
      </c>
      <c r="G1792" t="inlineStr">
        <is>
          <t>2020-06-10 09:58:37</t>
        </is>
      </c>
      <c r="H1792" t="inlineStr">
        <is>
          <t>Presumed Positive - From Doctor</t>
        </is>
      </c>
    </row>
    <row r="1793">
      <c r="A1793" t="inlineStr">
        <is>
          <t>h0f3ml</t>
        </is>
      </c>
      <c r="B1793" t="inlineStr">
        <is>
          <t>Constant not stopping diarrhea</t>
        </is>
      </c>
      <c r="C1793" t="inlineStr">
        <is>
          <t>Hi!
This is my friends (29/M, software engineer) story. His symptoms started at May 8. The usual things: back pain, burning eyes, cough, chest pain, nausea. These went away in a couple of days but in a week (May 15) he tested positive. A couple of days after that (May 18) new symptoms emerged: muscle pain, fatigue. These faded away by the time. 2 weeks ago (May 27) diarrhea got serious: even water causes it. He also got hemorrhoids but had no problem with it before covid, but for a couple of days had also bloody stool. Now bloody part is gone, but the diarrhea is serious and does not stop. Tried to live on potato, got antibiotics, tried pre/probiotic stuff, but did not help. Do you have any idea what to do with that? (We suspect its a covid based diarrhea so it might need different treatment)</t>
        </is>
      </c>
      <c r="D1793" t="n">
        <v>2</v>
      </c>
      <c r="E1793" t="n">
        <v>9</v>
      </c>
      <c r="F1793">
        <f>HYPERLINK("https://www.reddit.com/r/COVID19positive/comments/h0f3ml/constant_not_stopping_diarrhea/")</f>
        <v/>
      </c>
      <c r="G1793" t="inlineStr">
        <is>
          <t>2020-06-10 10:06:21</t>
        </is>
      </c>
      <c r="H1793" t="inlineStr">
        <is>
          <t>Tested Positive - Friends</t>
        </is>
      </c>
    </row>
    <row r="1794">
      <c r="A1794" t="inlineStr">
        <is>
          <t>h0g125</t>
        </is>
      </c>
      <c r="B1794" t="inlineStr">
        <is>
          <t>I had the worst strep I’ve ever had...</t>
        </is>
      </c>
      <c r="C1794" t="inlineStr">
        <is>
          <t>I’m a healthy fit 23 year old who got really sick a couple days ago. I felt tired, groggy, had a 100+ fever but my biggest symptom was my sore throat. I could barely swallow water without gagging it up from the pain. I couldn’t even talk. I used to get strep a lot as a kid; so I assumed it was strep. I went in and got tested for strep test (which came back as positive), and tested for Covid as well. Today, covid test came back positive. Looking back on it, I’ve never been that sick in my life. The strep-covid wombo combo is something I never want to experience again. I couldn’t sleep because the throat pain forbid it. I lived in a state of fear from the pain that a single weak cough caused me. I struggled to drink anything because it felt like the skin of my throat was being ripped off. All while shivering in my bed. 
2020 isn’t over yet, 
\#strepvid-2020</t>
        </is>
      </c>
      <c r="D1794" t="n">
        <v>217</v>
      </c>
      <c r="E1794" t="n">
        <v>27</v>
      </c>
      <c r="F1794">
        <f>HYPERLINK("https://www.reddit.com/r/COVID19positive/comments/h0g125/i_had_the_worst_strep_ive_ever_had/")</f>
        <v/>
      </c>
      <c r="G1794" t="inlineStr">
        <is>
          <t>2020-06-10 10:49:11</t>
        </is>
      </c>
      <c r="H1794" t="inlineStr">
        <is>
          <t>Tested Positive - Me</t>
        </is>
      </c>
    </row>
    <row r="1795">
      <c r="A1795" t="inlineStr">
        <is>
          <t>h0h5yg</t>
        </is>
      </c>
      <c r="B1795" t="inlineStr">
        <is>
          <t>Has anyone tried anti inflammatory meds to calm down long term effects?</t>
        </is>
      </c>
      <c r="C1795" t="inlineStr">
        <is>
          <t>My question is to people who have been seek for 2+ months and do not have an active infection.
Have you tried anti inflammatory medications and did they help? My doc prescribed a steroid inhaler for my lungs, but I was having a terrible reaction to it - I felt like I drank 10 buckets of coffee, was shaky and anxious and had to stop.
But what about things like OTC anti inflammatory like ibuprofen? I noticed it is very helpful if I’m experiencing any lung burning - alleviates the burning and greatly improves how I feel overall. 
Any thoughts?</t>
        </is>
      </c>
      <c r="D1795" t="n">
        <v>4</v>
      </c>
      <c r="E1795" t="n">
        <v>37</v>
      </c>
      <c r="F1795">
        <f>HYPERLINK("https://www.reddit.com/r/COVID19positive/comments/h0h5yg/has_anyone_tried_anti_inflammatory_meds_to_calm/")</f>
        <v/>
      </c>
      <c r="G1795" t="inlineStr">
        <is>
          <t>2020-06-10 11:41:28</t>
        </is>
      </c>
      <c r="H1795" t="inlineStr">
        <is>
          <t>Presumed Positive - From Doctor</t>
        </is>
      </c>
    </row>
    <row r="1796">
      <c r="A1796" t="inlineStr">
        <is>
          <t>h0iesk</t>
        </is>
      </c>
      <c r="B1796" t="inlineStr">
        <is>
          <t>Anyone get a call from the LA Health department?</t>
        </is>
      </c>
      <c r="C1796" t="inlineStr">
        <is>
          <t>Got a call asking so many questions about the virus did anyone who tested positive get a call from the LA Health Department?</t>
        </is>
      </c>
      <c r="D1796" t="n">
        <v>1</v>
      </c>
      <c r="E1796" t="n">
        <v>4</v>
      </c>
      <c r="F1796">
        <f>HYPERLINK("https://www.reddit.com/r/COVID19positive/comments/h0iesk/anyone_get_a_call_from_the_la_health_department/")</f>
        <v/>
      </c>
      <c r="G1796" t="inlineStr">
        <is>
          <t>2020-06-10 12:39:55</t>
        </is>
      </c>
      <c r="H1796" t="inlineStr">
        <is>
          <t>Tested Positive - Family</t>
        </is>
      </c>
    </row>
    <row r="1797">
      <c r="A1797" t="inlineStr">
        <is>
          <t>h0ikly</t>
        </is>
      </c>
      <c r="B1797" t="inlineStr">
        <is>
          <t>Has any Long termer has elevated ferritin level from blood work? Link to inflammation?</t>
        </is>
      </c>
      <c r="C1797" t="inlineStr">
        <is>
          <t>Edit: Just to clarify I am not looking for way to bring down the ferritin level, just want to help the body to heal quicker (the longer the inflammation lasts the harder is for our body to cope and recover). I just found it interesting that doctors (at least mine) tends to tell us "the blood work is perfect not infection, you are perfect", but why the GP not seeing the link with Ferritin and cytokine. People talk about cytokine storms  for the critically ill patients, but I am quite convinced this is over looked for people with mild onset but long tail for recovery, except just rest at home, why not trying higher dose of vitamin C or other supplement that has  IL-6 inhibitor. 
*************
Original post:
As I am suffering a bad inflammation lately at day 80+, I started searching post viral inflammation and hoping to find something can help to calm it down. 
I came cross with some studies on covid19 cytokine storms and saw a distinct marker with high ferritin. It explained in the article covid 19 has two stage: viral infection, then inflammation stage. Where we could experience cytokine storm, we (long termer) might not have the life threatening version of it 
I had blood work done mid April and early June, my results are good , no sign of infection, no auto immune issue, everything shows I am healthy person, except a very elevated ferritin! As I always suspected our inflammation is related to our immune system attacking our body, this could really explain it. 
I am wondering if any of you who is fighting the post covid inflammation has elevated Ferritin level.</t>
        </is>
      </c>
      <c r="D1797" t="n">
        <v>4</v>
      </c>
      <c r="E1797" t="n">
        <v>22</v>
      </c>
      <c r="F1797">
        <f>HYPERLINK("https://www.reddit.com/r/COVID19positive/comments/h0ikly/has_any_long_termer_has_elevated_ferritin_level/")</f>
        <v/>
      </c>
      <c r="G1797" t="inlineStr">
        <is>
          <t>2020-06-10 12:47:41</t>
        </is>
      </c>
      <c r="H1797" t="inlineStr">
        <is>
          <t>Presumed Positive - From Doctor</t>
        </is>
      </c>
    </row>
    <row r="1798">
      <c r="A1798" t="inlineStr">
        <is>
          <t>h0im4b</t>
        </is>
      </c>
      <c r="B1798" t="inlineStr">
        <is>
          <t>Halp feel ill again</t>
        </is>
      </c>
      <c r="C1798" t="inlineStr">
        <is>
          <t>Halpppp. Are you not supposed to be immune after having overcome 
Covid19? I have tested negative twice, but have fever and respiratory issues again like before.</t>
        </is>
      </c>
      <c r="D1798" t="n">
        <v>7</v>
      </c>
      <c r="E1798" t="n">
        <v>11</v>
      </c>
      <c r="F1798">
        <f>HYPERLINK("https://www.reddit.com/r/COVID19positive/comments/h0im4b/halp_feel_ill_again/")</f>
        <v/>
      </c>
      <c r="G1798" t="inlineStr">
        <is>
          <t>2020-06-10 12:49:35</t>
        </is>
      </c>
      <c r="H1798" t="inlineStr">
        <is>
          <t>Tested Positive - Me</t>
        </is>
      </c>
    </row>
    <row r="1799">
      <c r="A1799" t="inlineStr">
        <is>
          <t>h0k2x3</t>
        </is>
      </c>
      <c r="B1799" t="inlineStr">
        <is>
          <t>Two of my family members tested positive and don't care about spreading the virus. I live with them.</t>
        </is>
      </c>
      <c r="C1799" t="inlineStr">
        <is>
          <t>Rant ahead. 
So my mom went out of town to visit my uncle, even though someone in his house was in contact with someone who had COVID. The person who was in contact tested negative, but he was still exposed to it. 
Then she brings COVID home. She was lucky enough to only have mild symptoms. My dad and my sister don't give a SHIT. They're going in there and hanging out with her, my dad still sleeps with my mom. It's not even phasing them that SHE HAS FUCKING COVID. I love my mom, and I've been texting her jokes and asking if she needs anything left outside her door often. But I don't want to share, no. I got tested at the same time as my mom and came back negative. 
Then yesterday, my SISTER tested positive. Big fucking surprise there. She's 16, a bit of a slob and she's showing no symptoms and she keeps saying she "forgot that she had it". She's just going about her day and isn't even isolating herself. No mask, nothing. 
I really think they're all convinced that this is a non-issue. But here's the thing - I smoke, which makes me incredibly vulnerable. It could be lethal for me. It's a dumb choice, and I'd rather me die from it than some other poor soul who has made good health choices, but I'd still rather avoid it if I can. 
What's more? They're acting pissed that I don't want to come to their family dinners and that I'm spending most of my time in my room. It's nothing personal. I just don't wanna die. It's actually pretty hurtful that they give zero shits if I get it. In their eyes, the danger of COVID is a lie perpetuated by the liberal media. Jesus. 
Edit: Smoking is bad. I know. I don't smoke cigarettes. I am a medical cannabis patient. I accept responsibility for the consequences. I appreciate your concern, but please don't lecture me about it, because I've heard it before. 
I never thought I'd be in a place where I'm terrified to live in my own home. I'm actually thinking it might be much safer outside. 
If you made it this far, thank you for reading. I just needed to get this off my chest.</t>
        </is>
      </c>
      <c r="D1799" t="n">
        <v>445</v>
      </c>
      <c r="E1799" t="n">
        <v>91</v>
      </c>
      <c r="F1799">
        <f>HYPERLINK("https://www.reddit.com/r/COVID19positive/comments/h0k2x3/two_of_my_family_members_tested_positive_and_dont/")</f>
        <v/>
      </c>
      <c r="G1799" t="inlineStr">
        <is>
          <t>2020-06-10 13:58:43</t>
        </is>
      </c>
      <c r="H1799" t="inlineStr">
        <is>
          <t>Tested Positive - Family</t>
        </is>
      </c>
    </row>
    <row r="1800">
      <c r="A1800" t="inlineStr">
        <is>
          <t>h0kmmp</t>
        </is>
      </c>
      <c r="B1800" t="inlineStr">
        <is>
          <t>Aspirin?</t>
        </is>
      </c>
      <c r="C1800" t="inlineStr">
        <is>
          <t>So if it's possible that were experiencing problems with inflammation and micro clotting, wouldn't aspirin be a good resource? I'm thinking about taking a baby aspirin to help with some of the neurological symptoms I've been experiencing.</t>
        </is>
      </c>
      <c r="D1800" t="n">
        <v>5</v>
      </c>
      <c r="E1800" t="n">
        <v>13</v>
      </c>
      <c r="F1800">
        <f>HYPERLINK("https://www.reddit.com/r/COVID19positive/comments/h0kmmp/aspirin/")</f>
        <v/>
      </c>
      <c r="G1800" t="inlineStr">
        <is>
          <t>2020-06-10 14:25:07</t>
        </is>
      </c>
      <c r="H1800" t="inlineStr">
        <is>
          <t>Presumed Positive - From Doctor</t>
        </is>
      </c>
    </row>
    <row r="1801">
      <c r="A1801" t="inlineStr">
        <is>
          <t>h0ksjw</t>
        </is>
      </c>
      <c r="B1801" t="inlineStr">
        <is>
          <t>Virus Symptoms Worse with PMS</t>
        </is>
      </c>
      <c r="C1801" t="inlineStr">
        <is>
          <t>Just wanted to give a heads up to anyone who experiences periods on this forum - in my experience, virus symptoms get worse around PMS.
For almost a week, I’ve had both PMS symptoms and some symptoms coming back. Whenever I exert myself, I have a low grade fever (but temp comes down to 98.6°F at rest). My cramping is painful like you would not believe. I have PCOS and rarely get periods, and even with that, these cramps are more painful than times prior. I saw another thread on this, but I think it’d be useful to have another, as this sort of fascinated me. 
Symptoms of both PMS and COVID are worse. I’ve been having symptoms since April 14th.</t>
        </is>
      </c>
      <c r="D1801" t="n">
        <v>4</v>
      </c>
      <c r="E1801" t="n">
        <v>6</v>
      </c>
      <c r="F1801">
        <f>HYPERLINK("https://www.reddit.com/r/COVID19positive/comments/h0ksjw/virus_symptoms_worse_with_pms/")</f>
        <v/>
      </c>
      <c r="G1801" t="inlineStr">
        <is>
          <t>2020-06-10 14:33:14</t>
        </is>
      </c>
      <c r="H1801" t="inlineStr">
        <is>
          <t>Presumed Positive - From Doctor</t>
        </is>
      </c>
    </row>
    <row r="1802">
      <c r="A1802" t="inlineStr">
        <is>
          <t>h0lub1</t>
        </is>
      </c>
      <c r="B1802" t="inlineStr">
        <is>
          <t>Tested positive a week ago, with almost no symptoms but I have noticed that my snot is white. Anyone else have something like this?</t>
        </is>
      </c>
      <c r="C1802" t="inlineStr">
        <is>
          <t>I have had slight chest tightness that mostly came at night for maybe a half hour, some stuffiness in my nose and occasional headache and that is it so far with the exception that I noticed that anything that comes out of my nose is white and not green. I am assuming this is related but not sure. Anyone with similar experiences?</t>
        </is>
      </c>
      <c r="D1802" t="n">
        <v>7</v>
      </c>
      <c r="E1802" t="n">
        <v>8</v>
      </c>
      <c r="F1802">
        <f>HYPERLINK("https://www.reddit.com/r/COVID19positive/comments/h0lub1/tested_positive_a_week_ago_with_almost_no/")</f>
        <v/>
      </c>
      <c r="G1802" t="inlineStr">
        <is>
          <t>2020-06-10 15:24:36</t>
        </is>
      </c>
      <c r="H1802" t="inlineStr">
        <is>
          <t>Tested Positive - Me</t>
        </is>
      </c>
    </row>
    <row r="1803">
      <c r="A1803" t="inlineStr">
        <is>
          <t>h0nn0m</t>
        </is>
      </c>
      <c r="B1803" t="inlineStr">
        <is>
          <t>Gross but curious</t>
        </is>
      </c>
      <c r="C1803" t="inlineStr">
        <is>
          <t>I was wondering if anyone who is presumed positive or positive have thick clear mucus from throat even when you have recovered?</t>
        </is>
      </c>
      <c r="D1803" t="n">
        <v>4</v>
      </c>
      <c r="E1803" t="n">
        <v>2</v>
      </c>
      <c r="F1803">
        <f>HYPERLINK("https://www.reddit.com/r/COVID19positive/comments/h0nn0m/gross_but_curious/")</f>
        <v/>
      </c>
      <c r="G1803" t="inlineStr">
        <is>
          <t>2020-06-10 16:57:03</t>
        </is>
      </c>
      <c r="H1803" t="inlineStr">
        <is>
          <t>Presumed Positive - From Doctor</t>
        </is>
      </c>
    </row>
    <row r="1804">
      <c r="A1804" t="inlineStr">
        <is>
          <t>h0nuv2</t>
        </is>
      </c>
      <c r="B1804" t="inlineStr">
        <is>
          <t>Feeling of fullness &amp;amp; ringing in ears and sharp neck pain after mild mild corona symptoms?</t>
        </is>
      </c>
      <c r="C1804" t="inlineStr">
        <is>
          <t>It all started with a sharp pain in my throat and chest tightness and shortness of breath. After some time, few weeks, my neck started becoming stiff, got a cracking sensation in my throat when I lay down and my ears started ringing.
Anyone experiencing something similar? I am about 2 months in since I tested positive.</t>
        </is>
      </c>
      <c r="D1804" t="n">
        <v>5</v>
      </c>
      <c r="E1804" t="n">
        <v>32</v>
      </c>
      <c r="F1804">
        <f>HYPERLINK("https://www.reddit.com/r/COVID19positive/comments/h0nuv2/feeling_of_fullness_ringing_in_ears_and_sharp/")</f>
        <v/>
      </c>
      <c r="G1804" t="inlineStr">
        <is>
          <t>2020-06-10 17:08:31</t>
        </is>
      </c>
      <c r="H1804" t="inlineStr">
        <is>
          <t>Tested Positive - Me</t>
        </is>
      </c>
    </row>
    <row r="1805">
      <c r="A1805" t="inlineStr">
        <is>
          <t>h0nxsf</t>
        </is>
      </c>
      <c r="B1805" t="inlineStr">
        <is>
          <t>After being sick since March 11: Part 2</t>
        </is>
      </c>
      <c r="C1805" t="inlineStr">
        <is>
          <t>&amp;amp;#x200B;
Edit and info update below:
TL;DR: no real answers, but did get a referral to pulmonologist that seems interested in figuring this out.
**Original Post:**
Link to Original Post: [https://www.reddit.com/r/COVID19positive/comments/gsh9rs/after\_being\_sick\_since\_march\_11\_tons\_of\_tests/fsnekeg/?context=8&amp;amp;depth=9](https://www.reddit.com/r/COVID19positive/comments/gsh9rs/after_being_sick_since_march_11_tons_of_tests/fsnekeg/?context=8&amp;amp;depth=9)
\*The doc is going to run a bunch of blood tests, check d-dimer, test for covid for antibodies, regular swab for good measure, and something else that I can’t remember.
May do a ct with contrast. Previous ct was clear.
34/M very fit. Still have sob, diarrhea, lung pain, fever, tachycardia, night sweats, lower pulse ox, etc.
If anyone is interested, I can follow up with what they find.
Let me know.\*
**Additional Post:**
All the blood work came back. They ran a hematology - complete blood count, coagulation studies, chemistry, thyroid profile, TB skin test , and Abott IGG antibody test.
CBC was normal, Coag - d-dimer was normal, chem showed low globulin and high A/G ratio, thyroid was normal, and antibodies were still negative (2 tests total).
Since I still have fevers (99.0-100.0), and my TB skin test looked questionable + a TB exposure just over a year ago (Wife's Grandpa), they referred me to the pulmonologist. (I have serious doubts that this is TB as it is improving over time)
Pulmonologist is currently running the following tests, but thinks this is no longer the Rona (I disagree, but we'll see) and the virus may have triggered something else like Mono, or something auto immune.
Tests:
* Immunoglobulin G Subclass Panel
* Mononucleosis Test Qual
* Procalcitonin
* Lupus Profile
* Sedimentation Rate-Westergren
* QuantiFERON-TB Gold Plus
**Observations:**
My experience with the Rona was odd. My first wave cleared after 12 days and I recovered almost to normal for 2-3 weeks, and was able to go back to very intense exercise almost immediately.
My second wave was much worse than the first and my breathing was significantly impacted during this time, prompting 2 trips to the hospital (no admittance).
Third, fourth, fifth, and sixth waves were much shorter and less severe than the preceding one, but since the second wave, I have developed some exercise intolerance during un-symptomatic periods, and if I do too much, it will cause another wave.
This in of itself is interesting, since a relapse is a full cascade of symptoms that lasts days, not just a day or two of returning symptoms, almost like it is a "reinfection."
I will continue to update this as I find out more. Hope this helps.
In summation, I feel like I am slowly getting better, but I do have a fear that this is a chronic condition. Time will tell.</t>
        </is>
      </c>
      <c r="D1805" t="n">
        <v>17</v>
      </c>
      <c r="E1805" t="n">
        <v>8</v>
      </c>
      <c r="F1805">
        <f>HYPERLINK("https://www.reddit.com/r/COVID19positive/comments/h0nxsf/after_being_sick_since_march_11_part_2/")</f>
        <v/>
      </c>
      <c r="G1805" t="inlineStr">
        <is>
          <t>2020-06-10 17:12:58</t>
        </is>
      </c>
      <c r="H1805" t="inlineStr">
        <is>
          <t>Tested Positive - Me</t>
        </is>
      </c>
    </row>
    <row r="1806">
      <c r="A1806" t="inlineStr">
        <is>
          <t>h0ofhe</t>
        </is>
      </c>
      <c r="B1806" t="inlineStr">
        <is>
          <t>Symptoms lead doctor to believe I am</t>
        </is>
      </c>
      <c r="C1806" t="inlineStr">
        <is>
          <t>Long story short I was exposed to someone who had corona virus 3 weeks ago, they said they no longer had symptoms on Saturday when I saw them. Two days later I am extremely fatigued, have a sore throat (mild) constant pain, back/bone pains randomly, 101.7 fever (highest recorded after not taking Tylenol for 10+hours), chills/extreme night sweats (woke up in a pool of my own sweat this morning) and forehead/ear pressure. I got tested yesterday and ever since the pain in my throat has gotten worse is it possible that the nasal swab test irritated my throat further or the virus possibly spreading?</t>
        </is>
      </c>
      <c r="D1806" t="n">
        <v>3</v>
      </c>
      <c r="E1806" t="n">
        <v>1</v>
      </c>
      <c r="F1806">
        <f>HYPERLINK("https://www.reddit.com/r/COVID19positive/comments/h0ofhe/symptoms_lead_doctor_to_believe_i_am/")</f>
        <v/>
      </c>
      <c r="G1806" t="inlineStr">
        <is>
          <t>2020-06-10 17:40:04</t>
        </is>
      </c>
      <c r="H1806" t="inlineStr">
        <is>
          <t>Presumed Positive - From Doctor</t>
        </is>
      </c>
    </row>
    <row r="1807">
      <c r="A1807" t="inlineStr">
        <is>
          <t>h0onu9</t>
        </is>
      </c>
      <c r="B1807" t="inlineStr">
        <is>
          <t>8 weeks and I finally think I beat this thing</t>
        </is>
      </c>
      <c r="C1807" t="inlineStr">
        <is>
          <t>My case was relatively mild in comparison, but it’s finally over. Figured I’d share my experience in case it helps anyone. 
4/13- I started with GI issues and flu like symptoms (sweats, chills, headache, fatigue). This continued for about a week. 
4/21- I got a terrible sore throat out of nowhere, followed by a dry cough, flu like symptoms were mostly gone, but GI symptoms were there as bad as ever. Could barely stomach food at all without getting nauseous. That week and the first one were probably the worst, especially since I didn’t know how bad it would get at that point. I ordered a pulse oximeter which helped a lot. I would check periodically and it never went below 95%. 
4/27- The sore throat and cough calmed down a bit, was able to eat a little better. Starting taking a probiotic a bit before that which helped. 
5/1 to 5/23- Basically three weeks of GI issues and a sore throat, lot of fatigue too. Some days I would think “this isn’t too bad, this might be going away soon” and other days I wouldn’t be able to eat anything the entire day. I’ve been working from home and had to take cough drops every few minutes just to get through talking without my throat hurting. I would also get random fatigue at least once a day, if I carried a box upstairs or something I’d get tired and have to nap an hour at least. 
5/24- Woke up that day and had almost no trouble eating. GI symptoms eventually came back a bit but have since gone away. 
All this time, my physician never authorized me for a test because I’m not an at risk group and my state was pretty behind on testing until recently. I was able to get an Abbott antibody test this week though (had to wait til ~10 days of no symptoms) and it came back positive as expected. 
I’m generally feeling fine now despite the occasional upset stomach. Tried my first run in 8 weeks yesterday, only a mile (I was running ~30 miles a week before this) and it went pretty smoothly, other than my heart racing for minutes after running. probably gonna have to take it a bit easier tomorrow. Also gonna go to a GI specialist just to make sure there’s no lasting problems down there. 
Thanks for reading if you made it this far, hope y’all recover soon as well.</t>
        </is>
      </c>
      <c r="D1807" t="n">
        <v>31</v>
      </c>
      <c r="E1807" t="n">
        <v>21</v>
      </c>
      <c r="F1807">
        <f>HYPERLINK("https://www.reddit.com/r/COVID19positive/comments/h0onu9/8_weeks_and_i_finally_think_i_beat_this_thing/")</f>
        <v/>
      </c>
      <c r="G1807" t="inlineStr">
        <is>
          <t>2020-06-10 17:52:56</t>
        </is>
      </c>
      <c r="H1807" t="inlineStr">
        <is>
          <t>Tested Positive - Me</t>
        </is>
      </c>
    </row>
    <row r="1808">
      <c r="A1808" t="inlineStr">
        <is>
          <t>h0puun</t>
        </is>
      </c>
      <c r="B1808" t="inlineStr">
        <is>
          <t>Light Symptoms // (F)25</t>
        </is>
      </c>
      <c r="C1808" t="inlineStr">
        <is>
          <t>Hey guys! 
So, my boyfriend and I tested positive for covid19 this past Friday. The first week started off with an incredibly awful migraine (now gone). Now, on week two, I have shortness of breath, a tight chest, and no sense of smell. 
Since I do still have new symptoms developing as I am supposed to be recovering, when can I stop expecting new symptoms to arrive?? 
Also, should I be worried about my puppy??</t>
        </is>
      </c>
      <c r="D1808" t="n">
        <v>6</v>
      </c>
      <c r="E1808" t="n">
        <v>8</v>
      </c>
      <c r="F1808">
        <f>HYPERLINK("https://www.reddit.com/r/COVID19positive/comments/h0puun/light_symptoms_f25/")</f>
        <v/>
      </c>
      <c r="G1808" t="inlineStr">
        <is>
          <t>2020-06-10 19:05:26</t>
        </is>
      </c>
      <c r="H1808" t="inlineStr">
        <is>
          <t>Tested Positive - Me</t>
        </is>
      </c>
    </row>
    <row r="1809">
      <c r="A1809" t="inlineStr">
        <is>
          <t>h0rlux</t>
        </is>
      </c>
      <c r="B1809" t="inlineStr">
        <is>
          <t>Exercise and Immune-suppressor</t>
        </is>
      </c>
      <c r="C1809" t="inlineStr">
        <is>
          <t>Used to hit gym 3x a week with cardio/HIIT and lifting, pre-sickness. It has been known for a while that strenuous exercise suppresses immune function. Especially when your body is trying to recover and NLR is still not great, exercise is counter-productive. In fact I attribute my infection to over-fitness. From now on, Yoga/calisthenics/Pranayama will be my staple program. 
And yes, supplementing with L-thenine is good as it boosts NK cells, and calms you down as well. Same with ashwagandha. 
For hardcore bio hacker, measure your th1/Th2 dominance and supplement accordingly.</t>
        </is>
      </c>
      <c r="D1809" t="n">
        <v>2</v>
      </c>
      <c r="E1809" t="n">
        <v>3</v>
      </c>
      <c r="F1809">
        <f>HYPERLINK("https://www.reddit.com/r/COVID19positive/comments/h0rlux/exercise_and_immunesuppressor/")</f>
        <v/>
      </c>
      <c r="G1809" t="inlineStr">
        <is>
          <t>2020-06-10 20:59:00</t>
        </is>
      </c>
      <c r="H1809" t="inlineStr">
        <is>
          <t>Presumed Positive - From Doctor</t>
        </is>
      </c>
    </row>
    <row r="1810">
      <c r="A1810" t="inlineStr">
        <is>
          <t>h0rx68</t>
        </is>
      </c>
      <c r="B1810" t="inlineStr">
        <is>
          <t>Heavy feeling</t>
        </is>
      </c>
      <c r="C1810" t="inlineStr">
        <is>
          <t>Does anyone else’s body feel heavy at random times? I’m just curious. I get chest tightness a lot now but other times it just feels like my body is too heavy</t>
        </is>
      </c>
      <c r="D1810" t="n">
        <v>5</v>
      </c>
      <c r="E1810" t="n">
        <v>8</v>
      </c>
      <c r="F1810">
        <f>HYPERLINK("https://www.reddit.com/r/COVID19positive/comments/h0rx68/heavy_feeling/")</f>
        <v/>
      </c>
      <c r="G1810" t="inlineStr">
        <is>
          <t>2020-06-10 21:20:53</t>
        </is>
      </c>
      <c r="H1810" t="inlineStr">
        <is>
          <t>Presumed Positive - From Doctor</t>
        </is>
      </c>
    </row>
    <row r="1811">
      <c r="A1811" t="inlineStr">
        <is>
          <t>h0se7x</t>
        </is>
      </c>
      <c r="B1811" t="inlineStr">
        <is>
          <t>Husband tested positive, I tested negative</t>
        </is>
      </c>
      <c r="C1811" t="inlineStr">
        <is>
          <t>We both got tested a week ago, got results yesterday, he’s positive, I’m negative. He has absolutely zero symptoms and feels great. Today I have a bit of a headache and feel kinda hot. I fee like there’s no way I don’t have it at this point. My anxiety is through the roof.</t>
        </is>
      </c>
      <c r="D1811" t="n">
        <v>15</v>
      </c>
      <c r="E1811" t="n">
        <v>8</v>
      </c>
      <c r="F1811">
        <f>HYPERLINK("https://www.reddit.com/r/COVID19positive/comments/h0se7x/husband_tested_positive_i_tested_negative/")</f>
        <v/>
      </c>
      <c r="G1811" t="inlineStr">
        <is>
          <t>2020-06-10 21:54:11</t>
        </is>
      </c>
      <c r="H1811" t="inlineStr">
        <is>
          <t>Tested Positive - Family</t>
        </is>
      </c>
    </row>
    <row r="1812">
      <c r="A1812" t="inlineStr">
        <is>
          <t>h0tr9y</t>
        </is>
      </c>
      <c r="B1812" t="inlineStr">
        <is>
          <t>Retesting</t>
        </is>
      </c>
      <c r="C1812" t="inlineStr">
        <is>
          <t>So it’s been 16 days since I tested positive. I have been quarantine and I have recovered. Worst that happened is I had a fever for 3 days. After that I felt allot better. However like many I have lost my taste and smell. I notice it’s coming back slowly, very slowly. Sometimes I even feel like I lose it again but gain it back the next day. 
I want to get retested because I am tired of being stuck at home and I want to work. 
If I still have this symptom of not smelling, will I still test positive for it? Should I go get retested or wait? 
Thanks ppl</t>
        </is>
      </c>
      <c r="D1812" t="n">
        <v>1</v>
      </c>
      <c r="E1812" t="n">
        <v>3</v>
      </c>
      <c r="F1812">
        <f>HYPERLINK("https://www.reddit.com/r/COVID19positive/comments/h0tr9y/retesting/")</f>
        <v/>
      </c>
      <c r="G1812" t="inlineStr">
        <is>
          <t>2020-06-10 23:34:10</t>
        </is>
      </c>
      <c r="H1812" t="inlineStr">
        <is>
          <t>Tested Positive - Me</t>
        </is>
      </c>
    </row>
    <row r="1813">
      <c r="A1813" t="inlineStr">
        <is>
          <t>h0tywp</t>
        </is>
      </c>
      <c r="B1813" t="inlineStr">
        <is>
          <t>Types of chest pains</t>
        </is>
      </c>
      <c r="C1813" t="inlineStr">
        <is>
          <t>My chest has this uncomfortable tugging that is happening intermittently, its disturbing very much ,does Anyone relate?other symptoms I have are moderate cough,sob at times, insomnia,vivid drEams, chills,fever mind fog at times loss of Appetite n headAche im m22  on day 7</t>
        </is>
      </c>
      <c r="D1813" t="n">
        <v>1</v>
      </c>
      <c r="E1813" t="n">
        <v>12</v>
      </c>
      <c r="F1813">
        <f>HYPERLINK("https://www.reddit.com/r/COVID19positive/comments/h0tywp/types_of_chest_pains/")</f>
        <v/>
      </c>
      <c r="G1813" t="inlineStr">
        <is>
          <t>2020-06-10 23:50:44</t>
        </is>
      </c>
      <c r="H1813" t="inlineStr">
        <is>
          <t>Presumed Positive - From Doctor</t>
        </is>
      </c>
    </row>
    <row r="1814">
      <c r="A1814" t="inlineStr">
        <is>
          <t>h0y0rg</t>
        </is>
      </c>
      <c r="B1814" t="inlineStr">
        <is>
          <t>Tips to stay healthiest possible?</t>
        </is>
      </c>
      <c r="C1814" t="inlineStr">
        <is>
          <t>I just received the phone call today that I have tested positive. While I have been coughing/sneezing, breathing slightly more heavily and have had tired muscles for a few weeks I haven't really had worse symptoms yet. I was wondering if any of you have sources or personal experiences about daily practices that may help a little bit in staying relatively healthy? E.g. related to exercise, food, environment, medication, supplements, or really anything you may have found? 
I've gone through part of the sub but haven't found a whole lot + honestly some posts are kind of needlessly stressing me out rn and it's also very time consuming to go through the whole thing.</t>
        </is>
      </c>
      <c r="D1814" t="n">
        <v>6</v>
      </c>
      <c r="E1814" t="n">
        <v>13</v>
      </c>
      <c r="F1814">
        <f>HYPERLINK("https://www.reddit.com/r/COVID19positive/comments/h0y0rg/tips_to_stay_healthiest_possible/")</f>
        <v/>
      </c>
      <c r="G1814" t="inlineStr">
        <is>
          <t>2020-06-11 05:03:50</t>
        </is>
      </c>
      <c r="H1814" t="inlineStr">
        <is>
          <t>Tested Positive - Me</t>
        </is>
      </c>
    </row>
    <row r="1815">
      <c r="A1815" t="inlineStr">
        <is>
          <t>h0ynt0</t>
        </is>
      </c>
      <c r="B1815" t="inlineStr">
        <is>
          <t>Signs of muscle wasting</t>
        </is>
      </c>
      <c r="C1815" t="inlineStr">
        <is>
          <t>&amp;amp;#x200B;
&amp;amp;#x200B;
Have you noticed any signs of muscle wasting, like muscle on your hands?</t>
        </is>
      </c>
      <c r="D1815" t="n">
        <v>9</v>
      </c>
      <c r="E1815" t="n">
        <v>13</v>
      </c>
      <c r="F1815">
        <f>HYPERLINK("https://www.reddit.com/r/COVID19positive/comments/h0ynt0/signs_of_muscle_wasting/")</f>
        <v/>
      </c>
      <c r="G1815" t="inlineStr">
        <is>
          <t>2020-06-11 05:47:33</t>
        </is>
      </c>
      <c r="H1815" t="inlineStr">
        <is>
          <t>Presumed Positive - From Doctor</t>
        </is>
      </c>
    </row>
    <row r="1816">
      <c r="A1816" t="inlineStr">
        <is>
          <t>h10iy2</t>
        </is>
      </c>
      <c r="B1816" t="inlineStr">
        <is>
          <t>Just got my positive result. Super mild symptoms</t>
        </is>
      </c>
      <c r="C1816" t="inlineStr">
        <is>
          <t>Only chills, little taste, and hot flashes</t>
        </is>
      </c>
      <c r="D1816" t="n">
        <v>1</v>
      </c>
      <c r="E1816" t="n">
        <v>16</v>
      </c>
      <c r="F1816">
        <f>HYPERLINK("https://www.reddit.com/r/COVID19positive/comments/h10iy2/just_got_my_positive_result_super_mild_symptoms/")</f>
        <v/>
      </c>
      <c r="G1816" t="inlineStr">
        <is>
          <t>2020-06-11 07:38:36</t>
        </is>
      </c>
      <c r="H1816" t="inlineStr">
        <is>
          <t>Tested Positive - Me</t>
        </is>
      </c>
    </row>
    <row r="1817">
      <c r="A1817" t="inlineStr">
        <is>
          <t>h10qla</t>
        </is>
      </c>
      <c r="B1817" t="inlineStr">
        <is>
          <t>My mum has just tested positive for the antibody test and I think I’ve had it too.</t>
        </is>
      </c>
      <c r="C1817" t="inlineStr">
        <is>
          <t>Both my parents are healthcare workers (NHS in Britain). Back in March, my mother started showing mild cold symptoms - sneezing, mild congestion, and notably a loss of smell and taste. These symptoms showed around the same time she and my father came to pick me up from uni after it closed. She didn't have an antigen test but she took a week off work with me in the house with her. After about a week, I started showing the same symptoms, including the loss of smell and taste even without major congestion. We wondered if it was COVID but we were doubtful because the symptoms were so mild. A month later, we were both recovered with nothing worse than that, though it took mum longer than me. 
Fast forward to more recently, mum has just had the antibody test and it came back positive, meaning that it was likely COVID that we both had back then. Honestly, it's a miracle it wasn’t worse considering she’s quite old and has asthma (albeit very well managed asthma). 
I don't know, should I take this as meaning I've had it too?</t>
        </is>
      </c>
      <c r="D1817" t="n">
        <v>214</v>
      </c>
      <c r="E1817" t="n">
        <v>50</v>
      </c>
      <c r="F1817">
        <f>HYPERLINK("https://www.reddit.com/r/COVID19positive/comments/h10qla/my_mum_has_just_tested_positive_for_the_antibody/")</f>
        <v/>
      </c>
      <c r="G1817" t="inlineStr">
        <is>
          <t>2020-06-11 07:50:31</t>
        </is>
      </c>
      <c r="H1817" t="inlineStr">
        <is>
          <t>Tested Positive - Family</t>
        </is>
      </c>
    </row>
    <row r="1818">
      <c r="A1818" t="inlineStr">
        <is>
          <t>h112fu</t>
        </is>
      </c>
      <c r="B1818" t="inlineStr">
        <is>
          <t>Finally tested negative on PCR on 4th try! Thank you all.</t>
        </is>
      </c>
      <c r="C1818" t="inlineStr">
        <is>
          <t>After my family you guys are the ones I wanted to share this news with, you've been so helpful, specially on the toughest times. You kept me company on my isolation and gave me much needed information and support. Today I turn 1 month with symptoms, I still have some, minor, residual, postviral thank God. Thanks to all the users who wrote me and contacted me, specually to u/MinnyLakes for being always worried about my progression. 
I will continue to help this great community until we all test negative. Have a better day today than Yesterday!
Symtpoms I had (No day fever or dry cough): cold symptoms, loss of smell and taste, fatigue, body pains, night sweat, loss of appetite, nausea, diarrhea, covid hands in the morning, dandruff 2 days, chest aches, back aches, anxiety, hangover symptoms. I'LL update if remember more. 
Lingering symptoms: night sweats (minimal), minor chest and back pains, fatigue (not always, not that bad). 
Stay safe.</t>
        </is>
      </c>
      <c r="D1818" t="n">
        <v>9</v>
      </c>
      <c r="E1818" t="n">
        <v>7</v>
      </c>
      <c r="F1818">
        <f>HYPERLINK("https://www.reddit.com/r/COVID19positive/comments/h112fu/finally_tested_negative_on_pcr_on_4th_try_thank/")</f>
        <v/>
      </c>
      <c r="G1818" t="inlineStr">
        <is>
          <t>2020-06-11 08:07:43</t>
        </is>
      </c>
      <c r="H1818" t="inlineStr">
        <is>
          <t>Tested Positive - Me</t>
        </is>
      </c>
    </row>
    <row r="1819">
      <c r="A1819" t="inlineStr">
        <is>
          <t>h11cn0</t>
        </is>
      </c>
      <c r="B1819" t="inlineStr">
        <is>
          <t>Roommate tested positive, I tested negative.</t>
        </is>
      </c>
      <c r="C1819" t="inlineStr">
        <is>
          <t>Is it possible to share a space with someone who has never felt any symptoms, then to test negative when they test positive? Is my immune system an absolute goat?
Antibody tests btw.</t>
        </is>
      </c>
      <c r="D1819" t="n">
        <v>5</v>
      </c>
      <c r="E1819" t="n">
        <v>9</v>
      </c>
      <c r="F1819">
        <f>HYPERLINK("https://www.reddit.com/r/COVID19positive/comments/h11cn0/roommate_tested_positive_i_tested_negative/")</f>
        <v/>
      </c>
      <c r="G1819" t="inlineStr">
        <is>
          <t>2020-06-11 08:22:31</t>
        </is>
      </c>
      <c r="H1819" t="inlineStr">
        <is>
          <t>Tested Positive - Friends</t>
        </is>
      </c>
    </row>
    <row r="1820">
      <c r="A1820" t="inlineStr">
        <is>
          <t>h11hmi</t>
        </is>
      </c>
      <c r="B1820" t="inlineStr">
        <is>
          <t>Tested positive again with antibodies this time.</t>
        </is>
      </c>
      <c r="C1820" t="inlineStr">
        <is>
          <t>Hello everyone, just wanted to express how I’m doing with this virus and the new lifestyle we all have to follow to be safe. So I just wanted to hear thoughts about this, so I did the 14 day quarantine starting May 17, I had symptoms and I lost my taste and smell for about 9-10 days but I regained them back. No fever, no body aches nothing major thank god. But Then I got retested for covid again and I tested positive with antibodies. Now I’m curious, am I still contagious even if I don’t have anymore symptoms? Technicians are telling me I’m not and it’s fine for me to go outside (of course practicing proper PPE and distance) others are saying I still need to do the quarantine for 10 days plus 72 hours.. any thoughts? Thanks! I hope everyone is doing ok here!</t>
        </is>
      </c>
      <c r="D1820" t="n">
        <v>3</v>
      </c>
      <c r="E1820" t="n">
        <v>6</v>
      </c>
      <c r="F1820">
        <f>HYPERLINK("https://www.reddit.com/r/COVID19positive/comments/h11hmi/tested_positive_again_with_antibodies_this_time/")</f>
        <v/>
      </c>
      <c r="G1820" t="inlineStr">
        <is>
          <t>2020-06-11 08:30:13</t>
        </is>
      </c>
      <c r="H1820" t="inlineStr">
        <is>
          <t>Tested Positive - Me</t>
        </is>
      </c>
    </row>
    <row r="1821">
      <c r="A1821" t="inlineStr">
        <is>
          <t>h12b5y</t>
        </is>
      </c>
      <c r="B1821" t="inlineStr">
        <is>
          <t>Finger stick antibody test?</t>
        </is>
      </c>
      <c r="C1821" t="inlineStr">
        <is>
          <t>Has anyone got an antibody test where they use a finger stick instead of blood draw? I tested positive for Covid 11 days ago, my husband tested positive on the antibody test though he had no symptoms of covid at any point. I would like to test my daughters whom I have cared for over the course of my illness for the antibodies, to see if they are asymptomatic like their father. But I don’t want to subject them to blood draws. My 9 year old said she would be willing to do the blood draw if there is no other option.</t>
        </is>
      </c>
      <c r="D1821" t="n">
        <v>2</v>
      </c>
      <c r="E1821" t="n">
        <v>2</v>
      </c>
      <c r="F1821">
        <f>HYPERLINK("https://www.reddit.com/r/COVID19positive/comments/h12b5y/finger_stick_antibody_test/")</f>
        <v/>
      </c>
      <c r="G1821" t="inlineStr">
        <is>
          <t>2020-06-11 09:13:17</t>
        </is>
      </c>
      <c r="H1821" t="inlineStr">
        <is>
          <t>Tested Positive - Me</t>
        </is>
      </c>
    </row>
    <row r="1822">
      <c r="A1822" t="inlineStr">
        <is>
          <t>h165sq</t>
        </is>
      </c>
      <c r="B1822" t="inlineStr">
        <is>
          <t>So who here thinks Viral Load is a thing?</t>
        </is>
      </c>
      <c r="C1822" t="inlineStr">
        <is>
          <t>So my case of coronavirus has a likely source.
My last day at work before which I went into isolation - a Thursday - a colleague travelled over from overseas (through London) and this colleague had face to face meetings with two people. 
He had several meetings with me in very close proximity, he also sat near my desk and I remember he looked a bit unwell. Anyway within two days of this encounter I developed symptoms and became quite unwell, but my symptoms within the first two weeks were mild bordering on moderate. 
I also found out that the only other person this traveller colleague had face to face meetings with on that day became really sick and was hospitalised for oxygen supplementation, after which he was confirmed corona positive. The weird thing is... it took this colleague 10 additional days for symptoms to show up from presumed viral exposure. Note that the only two people in my office building that got sick were in contact with this traveller in the office that day.
I’ve still got lingering symptoms after 12 weeks but the other colleague that got more sick initially felt normal after 4 weeks. 
My question - is it possible that I got a massive viral load and hence developed symptoms so quickly? (ie. within 2 days) but the other colleague got a lower dose and hence it took him more than a week to get acutely sick. 
I’m trying to understand if viral load is the reason why I’m still suffering after 3 months, and I’d be interested to hear what sort of viral load you think you long termers were exposed to.</t>
        </is>
      </c>
      <c r="D1822" t="n">
        <v>15</v>
      </c>
      <c r="E1822" t="n">
        <v>12</v>
      </c>
      <c r="F1822">
        <f>HYPERLINK("https://www.reddit.com/r/COVID19positive/comments/h165sq/so_who_here_thinks_viral_load_is_a_thing/")</f>
        <v/>
      </c>
      <c r="G1822" t="inlineStr">
        <is>
          <t>2020-06-11 12:29:05</t>
        </is>
      </c>
      <c r="H1822" t="inlineStr">
        <is>
          <t>Presumed Positive - From Doctor</t>
        </is>
      </c>
    </row>
    <row r="1823">
      <c r="A1823" t="inlineStr">
        <is>
          <t>h17ovw</t>
        </is>
      </c>
      <c r="B1823" t="inlineStr">
        <is>
          <t>anyone got insurance to cover portable condenser?</t>
        </is>
      </c>
      <c r="C1823" t="inlineStr">
        <is>
          <t>my wife tested positive in late april, was hospitalized for almost 2 weeks.   she still needs 3L of oxygen at home.   for going out the oxygen delivery company gives us D size tanks and a backpack.   those seem to be about 30 pounds.
has anyone gotten their insurance to cover a portable condenser like Phillips or Innogen ?   we hope that she will not need oxygen forever so we dont want to rush into paying $2000-3000 out of pocket.   but getting out and getting exercise  is super important as she would like to return to work someday.
she has private insurance through her employer.</t>
        </is>
      </c>
      <c r="D1823" t="n">
        <v>7</v>
      </c>
      <c r="E1823" t="n">
        <v>3</v>
      </c>
      <c r="F1823">
        <f>HYPERLINK("https://www.reddit.com/r/COVID19positive/comments/h17ovw/anyone_got_insurance_to_cover_portable_condenser/")</f>
        <v/>
      </c>
      <c r="G1823" t="inlineStr">
        <is>
          <t>2020-06-11 13:48:12</t>
        </is>
      </c>
      <c r="H1823" t="inlineStr">
        <is>
          <t>Tested Positive - Family</t>
        </is>
      </c>
    </row>
    <row r="1824">
      <c r="A1824" t="inlineStr">
        <is>
          <t>h17q5a</t>
        </is>
      </c>
      <c r="B1824" t="inlineStr">
        <is>
          <t>Lung issues 77 days</t>
        </is>
      </c>
      <c r="C1824" t="inlineStr">
        <is>
          <t>I’m 28 male pretty healthy. I’ve had two CT’s one of which was with contrast. I’ve also had about 6 xrays. I’ve had several pulmonary function test and everything came back normal including blood work (which I’ve had drawn maybe 6 times). 
Is anyone else experiencing tight chest and asthma that gets better and gets worse? Why do my lungs look clear and I am responding so badly. It’s been up and down for 77 days almost.
My pulmonologist said my ige was elevated and is trying to get me approved for some ant inflammatory shot they use on severe asthmatics. 
Anyone else having similar issues?</t>
        </is>
      </c>
      <c r="D1824" t="n">
        <v>20</v>
      </c>
      <c r="E1824" t="n">
        <v>55</v>
      </c>
      <c r="F1824">
        <f>HYPERLINK("https://www.reddit.com/r/COVID19positive/comments/h17q5a/lung_issues_77_days/")</f>
        <v/>
      </c>
      <c r="G1824" t="inlineStr">
        <is>
          <t>2020-06-11 13:50:06</t>
        </is>
      </c>
      <c r="H1824" t="inlineStr">
        <is>
          <t>Presumed Positive - From Doctor</t>
        </is>
      </c>
    </row>
    <row r="1825">
      <c r="A1825" t="inlineStr">
        <is>
          <t>h77x74</t>
        </is>
      </c>
      <c r="B1825" t="inlineStr">
        <is>
          <t>Got my results today.</t>
        </is>
      </c>
      <c r="C1825" t="inlineStr">
        <is>
          <t>Hi everyone! A little background: 
26F, no medical issues that I know of. Used to workout, until quarantine happened. Work in veterinary medicine, we’re an essential business so we never really slowed down during lockdown. I’m constantly cleaning everything at home and generally very careful.
On Friday 6/5 I had major body aches and fatigue. My temperature was a bit increased after work. 99.7, when my usual temperature never really rises above 99.2. I figured I had just worked a little bit too hard. 
6/6 Saturday 
I woke up hot! I checked my temperature as soon as I got up and it was 98.9. My temperature then continued to increase throughout the day, I was lightheaded and the fatigue continued. I had a high of 99.4 without doing any activity. This isn’t normal for me so I knew something was up. I also had some eye pain? My eyes felt strained. 
Side note - my partner realized he lost his sense of smell &amp;amp; taste this day. He gets morning allergies so we didn’t know if this was the cause. 
We scheduled covid-19 tests. 
6/7 Sunday 
I woke up feeling fine except for a very mild headache. Very very very mild. I thought I was in the clear and was going to get my period or something. I was trying to justify the fatigue and slightly elevated temperature from the day before. My eyes still hurt all day Sunday. 
6/8 Monday 
I decided to go to work since I didn’t develop further symptoms. My temperature was 99.5 that morning. Again, I figured the temperature was due to my cycle. 
I spoke to my manager and ended up leaving early due to my concerns. I had the tiniest headache and lingering pain in my eyes. But due to my boyfriends loss of smell &amp;amp; taste, covid was the only thing I could think about. 
This night I developed a fever, it was a high of 101.4. No cough, just a fever, chills and lightheaded. 
6/9 Tuesday 
Called off. 
Felt fine most of the day, no fever. Just the same sinus pressure and mild headache/ eye pain. 
6/10 Wednesday
Got tested. I had a terrible headache all day so I took some Tylenol. Up until now I had decided to not take meds for fever unless it was very high. I want my body to do its thing and fight the infection. 
6/11 Thursday - Today.
Got my positive result. 
I still have a very mild headache, some sinus pressure, and very mild SOB when I walk around and do anything. No other symptoms. Temperature was around 98 this morning. 
My boyfriends test came back positive too. His only symptom is loss of smell &amp;amp; taste. He is 29 &amp;amp; does home workouts since quarantine started. We both eat moderately well. Sometimes we eat fast food. He also smokes weed every day. 
I’m not sure what’s going to happen now, but I’m hoping our symptoms don’t get any worse. We’re on day 5 since symptoms started. I’ll keep updating this post as time passes. 
Any questions pls let me know!</t>
        </is>
      </c>
      <c r="D1825" t="n">
        <v>12</v>
      </c>
      <c r="E1825" t="n">
        <v>15</v>
      </c>
      <c r="F1825">
        <f>HYPERLINK("https://www.reddit.com/r/COVID19positive/comments/h77x74/got_my_results_today/")</f>
        <v/>
      </c>
      <c r="G1825" t="inlineStr">
        <is>
          <t>2020-06-11 15:18:20</t>
        </is>
      </c>
      <c r="H1825" t="inlineStr">
        <is>
          <t>Tested Positive</t>
        </is>
      </c>
    </row>
    <row r="1826">
      <c r="A1826" t="inlineStr">
        <is>
          <t>h7903y</t>
        </is>
      </c>
      <c r="B1826" t="inlineStr">
        <is>
          <t>83yo mother in law tested positive this week, but no symptoms. How likely is she to develop symptoms?</t>
        </is>
      </c>
      <c r="C1826" t="inlineStr">
        <is>
          <t>my mother-in-law is in a wheelchair and assisted living. They have been on lockdown for several months now. There was one case in her building over a month ago. I don't think she has even been out of her room because they pretty much confined them to their rooms. She doesn't wheel her wheelchair anywhere so she needs assistance with everything.
A few weeks ago they started testing everybody, not sure if it's weekly or what. we were notified today that she is the only one in the building to test positive. since we got notified today we assume she was probably tested about 2 days ago. She has been thoroughly checked over and has no symptoms they say.
I assume her immune system is average. She moved up here last April and lived with her 8-year-old granddaughter and didn't really get sick, so I think that shows that she has a decent immune system. 
So my questions are if she is a very early positive is she likely to develop symptoms or do you not even test positive until you've had it for a while? Are false positives common? I was kind of wondering how common asymptomatic cases are in the elderly population. 
she has had some heart problems in the past, nothing too serious. She takes thyroid medication. She's in a wheelchair due to falling from time to time and she just is proof of the " use it or lose it"  theory. She became afraid and now she can't do anything anymore. there was no real physical reason why she couldn't walk except a little back pain.</t>
        </is>
      </c>
      <c r="D1826" t="n">
        <v>7</v>
      </c>
      <c r="E1826" t="n">
        <v>9</v>
      </c>
      <c r="F1826">
        <f>HYPERLINK("https://www.reddit.com/r/COVID19positive/comments/h7903y/83yo_mother_in_law_tested_positive_this_week_but/")</f>
        <v/>
      </c>
      <c r="G1826" t="inlineStr">
        <is>
          <t>2020-06-11 16:16:57</t>
        </is>
      </c>
      <c r="H1826" t="inlineStr">
        <is>
          <t>Tested Positive - Family</t>
        </is>
      </c>
    </row>
    <row r="1827">
      <c r="A1827" t="inlineStr">
        <is>
          <t>h793zd</t>
        </is>
      </c>
      <c r="B1827" t="inlineStr">
        <is>
          <t>Day 10 symptoms</t>
        </is>
      </c>
      <c r="C1827" t="inlineStr">
        <is>
          <t>I had a strangely mild case from the beginning. Had a 103 fever for 2 days and now I am 8 days without a fever, however, on day 10 now, I have sore throat (feels like swollen lymph nodes) and shortness of breath. I feel like I’m backtracking a little bit. My oxygen levels are normal (96-98O2) but I’m wondering if it’s likely to get worse??</t>
        </is>
      </c>
      <c r="D1827" t="n">
        <v>7</v>
      </c>
      <c r="E1827" t="n">
        <v>4</v>
      </c>
      <c r="F1827">
        <f>HYPERLINK("https://www.reddit.com/r/COVID19positive/comments/h793zd/day_10_symptoms/")</f>
        <v/>
      </c>
      <c r="G1827" t="inlineStr">
        <is>
          <t>2020-06-11 16:23:13</t>
        </is>
      </c>
      <c r="H1827" t="inlineStr">
        <is>
          <t>Tested Positive - Me</t>
        </is>
      </c>
    </row>
    <row r="1828">
      <c r="A1828" t="inlineStr">
        <is>
          <t>h79nw9</t>
        </is>
      </c>
      <c r="B1828" t="inlineStr">
        <is>
          <t>Infecting parents ?</t>
        </is>
      </c>
      <c r="C1828" t="inlineStr">
        <is>
          <t>Just tested positive but I’m asymptomatic, I live with my family now that I’m back from college and I was wondering what others’ experiences infecting relatives have been like. Have you spread it to your whole family? How severe was it? Just curious as to what’s in store</t>
        </is>
      </c>
      <c r="D1828" t="n">
        <v>3</v>
      </c>
      <c r="E1828" t="n">
        <v>7</v>
      </c>
      <c r="F1828">
        <f>HYPERLINK("https://www.reddit.com/r/COVID19positive/comments/h79nw9/infecting_parents/")</f>
        <v/>
      </c>
      <c r="G1828" t="inlineStr">
        <is>
          <t>2020-06-11 16:54:21</t>
        </is>
      </c>
      <c r="H1828" t="inlineStr">
        <is>
          <t>Tested Positive - Me</t>
        </is>
      </c>
    </row>
    <row r="1829">
      <c r="A1829" t="inlineStr">
        <is>
          <t>h79oqd</t>
        </is>
      </c>
      <c r="B1829" t="inlineStr">
        <is>
          <t>Severe fatigue affecting mental health</t>
        </is>
      </c>
      <c r="C1829" t="inlineStr">
        <is>
          <t>Hi. I had the ‘acute’ symptoms back in March - fever, body pains, cough, sob, chest pains, vertigo, loss of appetite. Most of those cleared up within a month.
But since then I’ve been battling with severe fatigue. Sometimes it seems to lift for a few days and I managed to go for a long walk. I was even running a bit quite early on when I thought I was recovered. I’ve had to accept now though that each time I do that I seem to set myself back.
I’m now back at the stage where I can barely move. It’s a struggle to shower, cook, even make a coffee. I had a batch of blood tests done to see if anything else was going on but they came back clear. And that kind of broke me. I’m struggling with the ‘not knowing’ how much longer this will last. I also have on/ off chest pains which are concerning me.
I think I’ll have to seek some help for my mental state if it doesn’t improve soon because I am really not coping well at the moment. Has anyone else with long term symptoms found their mental health has been impacted?</t>
        </is>
      </c>
      <c r="D1829" t="n">
        <v>27</v>
      </c>
      <c r="E1829" t="n">
        <v>23</v>
      </c>
      <c r="F1829">
        <f>HYPERLINK("https://www.reddit.com/r/COVID19positive/comments/h79oqd/severe_fatigue_affecting_mental_health/")</f>
        <v/>
      </c>
      <c r="G1829" t="inlineStr">
        <is>
          <t>2020-06-11 16:55:45</t>
        </is>
      </c>
      <c r="H1829" t="inlineStr">
        <is>
          <t>Presumed Positive - From Doctor</t>
        </is>
      </c>
    </row>
    <row r="1830">
      <c r="A1830" t="inlineStr">
        <is>
          <t>h7a612</t>
        </is>
      </c>
      <c r="B1830" t="inlineStr">
        <is>
          <t>Strange symptoms</t>
        </is>
      </c>
      <c r="C1830" t="inlineStr">
        <is>
          <t>I’m (36f)on day 5 of symptoms with a positive test. My bf (41) is on day 7, test results pending. My symptoms are completely different then his. Mine started with sinus congestion, mild body aches, super sensitive skin (felt like I had a sun burn), complete loss of smell, blurred vision and overall floaty feeling. Sounds like a lot but these were all pretty mild. Definitely not the sickest I’ve ever been. 
My boyfriend is the more classic headache, cough, low fever and lung congestion. He has been fever free for 2 days but has now developed a new symptom of not feeling like he can keep warm. He will have blankets piled on and is freezing cold. His skin is warm and no fever. Anyone had anytime similar? I can’t find any info on this. 
Also seems his symptoms come and go. I have been getting better day by day but he seems to be okay for a few days and then feels like crap again.</t>
        </is>
      </c>
      <c r="D1830" t="n">
        <v>10</v>
      </c>
      <c r="E1830" t="n">
        <v>8</v>
      </c>
      <c r="F1830">
        <f>HYPERLINK("https://www.reddit.com/r/COVID19positive/comments/h7a612/strange_symptoms/")</f>
        <v/>
      </c>
      <c r="G1830" t="inlineStr">
        <is>
          <t>2020-06-11 17:23:41</t>
        </is>
      </c>
      <c r="H1830" t="inlineStr">
        <is>
          <t>Tested Positive - Me</t>
        </is>
      </c>
    </row>
    <row r="1831">
      <c r="A1831" t="inlineStr">
        <is>
          <t>h7azh7</t>
        </is>
      </c>
      <c r="B1831" t="inlineStr">
        <is>
          <t>20 M, two months after infection. Discussion of symptoms and after effects.</t>
        </is>
      </c>
      <c r="C1831" t="inlineStr">
        <is>
          <t>Hello, I tested positive along with my family the beginning of March. The sickness was very bad, I had a headache, aching eyes, and a fever all at once. I never knew that combination was possible until then. My fever was 102+ for about 4 days. My family and I had to tough it out sadly. 
I experienced all symptoms except for covid toe. I ever had blood in my mucus during the peak and endless mucus. I didn’t have a very bad cough, just for about half a day, but my nose was always stuffy. One night 2 weeks after infection I woke up around 2-3 AM with an intense fever, headache, and my eyes were burning. My body was very cold, I was shaking, and something I’ve never felt before which was my hands were buzzing badly. I had to get help from my mom and I was very uncoordinated and confused. My mom also told me my skin and face were super red.
The effects I still have now are no sense of smell at all, my nose is stuffy more (wondering if I got nasal polyps from the virus), I’m short of breath more and one week my heart was very odd and had an off rhythm. And my nails are starting to club sadly.
Has anyone reported anything similar to my case?</t>
        </is>
      </c>
      <c r="D1831" t="n">
        <v>9</v>
      </c>
      <c r="E1831" t="n">
        <v>4</v>
      </c>
      <c r="F1831">
        <f>HYPERLINK("https://www.reddit.com/r/COVID19positive/comments/h7azh7/20_m_two_months_after_infection_discussion_of/")</f>
        <v/>
      </c>
      <c r="G1831" t="inlineStr">
        <is>
          <t>2020-06-11 18:11:35</t>
        </is>
      </c>
      <c r="H1831" t="inlineStr">
        <is>
          <t>Tested Positive</t>
        </is>
      </c>
    </row>
    <row r="1832">
      <c r="A1832" t="inlineStr">
        <is>
          <t>h7bjum</t>
        </is>
      </c>
      <c r="B1832" t="inlineStr">
        <is>
          <t>It’s baaaaaack... Virus mindgames.</t>
        </is>
      </c>
      <c r="C1832" t="inlineStr">
        <is>
          <t>I’m reaching wits end with this ebbing and flowing of post infection symptoms. I’ve never had any type of virus or illness do this before to such a persistent degree. After a month off from work (see my other posts for more detail on my experience), I’ve just returned last week and have been getting back to normal functioning. However, just when I start thinking I’m getting over this, I get slammed by the familiar fatigue, shortness of breath, GI symptoms, sinus headache, tachycardia, etc. I’ve been up the ER or to urgent care more often than I ever should’ve these past 2 weeks for the same complaints and blasted with so much radiation that I should be glowing at this point. Every single time bloodwork is fine, tests and scans are fine. Steroids seem to improve these symptoms, but only temporarily and shouldn’t be used long term. This virus makes you feel like you’re seriously sick with no actual evidence of being so. I’ve seen many posts on here regarding this affecting people’s mental health because of these types of mindgames. It’s hard to just shrug it off as a false alarm and tell yourself you’re fine when you don’t feel fine. What is really going on here? Has anyone else been through this? Did it eventually stop? I’m grateful that I haven’t been hospitalized and that I am basically “ok” at this point, but it’s maddening.</t>
        </is>
      </c>
      <c r="D1832" t="n">
        <v>38</v>
      </c>
      <c r="E1832" t="n">
        <v>64</v>
      </c>
      <c r="F1832">
        <f>HYPERLINK("https://www.reddit.com/r/COVID19positive/comments/h7bjum/its_baaaaaack_virus_mindgames/")</f>
        <v/>
      </c>
      <c r="G1832" t="inlineStr">
        <is>
          <t>2020-06-11 18:45:36</t>
        </is>
      </c>
      <c r="H1832" t="inlineStr">
        <is>
          <t>Tested Positive - Me</t>
        </is>
      </c>
    </row>
    <row r="1833">
      <c r="A1833" t="inlineStr">
        <is>
          <t>h7buyg</t>
        </is>
      </c>
      <c r="B1833" t="inlineStr">
        <is>
          <t>Tested positive alone and afraid</t>
        </is>
      </c>
      <c r="C1833" t="inlineStr">
        <is>
          <t>Hello,
30M no health risks other than being about 40 pounds over weight. Symptoms started about . . 
6/7 - diarrhea, fatigue, muscle pain, and dizziness
6/8- early morning about 1 am I began to get extremely cold, shivering, and then a few hours later I had my first fever. Fever lasted throughout the night and finally went away no symptoms after about 6pm. Tried to call off work boss Didn’t think it was covid so he told me I needed to be at work. 
6/9 - no symptoms other than slight chest pressure talked to a friend about it he decided to come over we had 5 drinks nothing huge.
6/10- woke up feeling good other than a slight cough with phlegm. Around midnight I began to feel cold
Again, nostrils were burning as if I was inhaling dry ice, dizziness, and fatigue began to kick in as well.
6/11- by 3 am my fever is up to 103.3 I begin to worry and head to the urgent care to get tested. As of now fever is gone.
My oxygen levels were fine, my lungs were clear, my heart was clear. It just seems to be this nagging nagging chest pain which feels hallow for some reason. I cannot explain it. It just feels like air is trapped there. I can breathe fine. Unless I take
A deep breath. 
I’ve been taking DayQuil and theraflu to help with fever. Might add mucinex and baby aspirin.
What’s killing me is the solitude. My wife and 6 month old son went to her mothers as soon as I got symptoms. Due to her health history the slightest cold or fever can complicate things for her. 
I’m just afraid of dying alone I guess.
Update: Maybe some you do want to insult me based on the fact I went to work although I had no choice I was completely transparent or the fact that a friend of mine made the decision for themselves to come over when I no longer had symptoms for a little over 24 hours. And that’s fine. But understand that this is extremely hard on me already. Now that I’m positive I have to live with the decisions that I made and the fact that I might have exposed people. I’ve cried multiple times regarding all this already. But thank you for reminding me.</t>
        </is>
      </c>
      <c r="D1833" t="n">
        <v>234</v>
      </c>
      <c r="E1833" t="n">
        <v>121</v>
      </c>
      <c r="F1833">
        <f>HYPERLINK("https://www.reddit.com/r/COVID19positive/comments/h7buyg/tested_positive_alone_and_afraid/")</f>
        <v/>
      </c>
      <c r="G1833" t="inlineStr">
        <is>
          <t>2020-06-11 19:04:08</t>
        </is>
      </c>
      <c r="H1833" t="inlineStr">
        <is>
          <t>Tested Positive - Me</t>
        </is>
      </c>
    </row>
    <row r="1834">
      <c r="A1834" t="inlineStr">
        <is>
          <t>h7c6ca</t>
        </is>
      </c>
      <c r="B1834" t="inlineStr">
        <is>
          <t>Got positive result back today. No symptoms at all, wondering if anyone had a similar experience as me?</t>
        </is>
      </c>
      <c r="C1834" t="inlineStr">
        <is>
          <t>Background: I’m 25M in pretty good health. I haven’t been to the gym in a while but I’m in decent shape. I smoke every day as well just to give you a little background on my health. 
Well I was with my friend 10 days ago who then tells me 4 days later that his friend told him he was COVID +. So I then get tested and get my results back as positive. 
So I’m sitting here now at 10 days since I believe I contracted COVID and I haven’t experienced a single symptom, I mean if he didn’t tell me to get tested I would have never have known. 
So my question is, after how long do you think I should wait for my next test to try and get a negative to go back to work? Have you guys experienced similar? Anyone develop symptoms after 10 days?
Curious over here. Been quarantined in my apartment ever since I was told my friend might have been exposed so my thoughts are going wild
EDIT: a little more info. After I was exposed to my friend who was COVID + I was only with the same 2 people the entire week up until I started quarantining who were also with me and exposed the same night. So I’m very confident that the exposure was 10 days ago</t>
        </is>
      </c>
      <c r="D1834" t="n">
        <v>4</v>
      </c>
      <c r="E1834" t="n">
        <v>10</v>
      </c>
      <c r="F1834">
        <f>HYPERLINK("https://www.reddit.com/r/COVID19positive/comments/h7c6ca/got_positive_result_back_today_no_symptoms_at_all/")</f>
        <v/>
      </c>
      <c r="G1834" t="inlineStr">
        <is>
          <t>2020-06-11 19:23:37</t>
        </is>
      </c>
      <c r="H1834" t="inlineStr">
        <is>
          <t>Tested Positive - Me</t>
        </is>
      </c>
    </row>
    <row r="1835">
      <c r="A1835" t="inlineStr">
        <is>
          <t>h7cc2v</t>
        </is>
      </c>
      <c r="B1835" t="inlineStr">
        <is>
          <t>Advil? Aleeve?</t>
        </is>
      </c>
      <c r="C1835" t="inlineStr">
        <is>
          <t>I had covid for 34 days. I tested negative. And have a bad headache. Can I take two aleeve? I’ve been scared to but Tylenol doesn’t help. Anyone else take it after covid and been fine?</t>
        </is>
      </c>
      <c r="D1835" t="n">
        <v>6</v>
      </c>
      <c r="E1835" t="n">
        <v>14</v>
      </c>
      <c r="F1835">
        <f>HYPERLINK("https://www.reddit.com/r/COVID19positive/comments/h7cc2v/advil_aleeve/")</f>
        <v/>
      </c>
      <c r="G1835" t="inlineStr">
        <is>
          <t>2020-06-11 19:34:21</t>
        </is>
      </c>
      <c r="H1835" t="inlineStr">
        <is>
          <t>Tested Positive - Me</t>
        </is>
      </c>
    </row>
    <row r="1836">
      <c r="A1836" t="inlineStr">
        <is>
          <t>h7cpmn</t>
        </is>
      </c>
      <c r="B1836" t="inlineStr">
        <is>
          <t>My long-term experience</t>
        </is>
      </c>
      <c r="C1836" t="inlineStr">
        <is>
          <t>Hi everyone, I have been reading this thread for a while now. It has made an incredible difference in how I am able to handle this difficult time. I want to add to the thread as I feel each story does bring some comfort to people. It's funny how people say you shouldn't look up medical information online but I would be in a great deal of distress without other people's stories. 
&amp;amp;#x200B;
I'm 34M, used to work out 4-5 times per week, no previous immune or health issues. This has been my long-term experience:
&amp;amp;#x200B;
***Symptoms***
March 17- First started feeling sick, testing only available in limited circumstances. 
March 17-25- "moderate" Shortness of breath, overall "unwell" feeling, sometimes sore throat
March 26-April 1- "light" shortness of breath, overall "unwell" feeling, sometimes sore throat
April 2-3- Zero symptoms (really feeling great here!)
April 4-5- Generally unwell feeling, sore throat, dizziness
April 6-7- Zero symptoms (this must be it)
* *April 11- Tele-consultation with Doctor (not primary one, this was saturday night)- you probably have Covid, cant' get tested, and should recover at home*
* *April 14 &amp;amp; 16 &amp;amp; 24- Tele-consultation with primary care doctor. Long story short, he can't really do anything but eventually sends me to get bloodwork which comes back looking "great"*
April 8-19- "light" short of breath and sore throat
April 20-23- Completely new symptoms... nausea, very low appetite, diarrhea (mental health starts to deteriorate)
April 24- feel pretty good this day and appetite returned in the afternoon
April 25-30- nausea and low appetite returns. Insomnia during this stage and sleeping only 1-2.5 hours per night.
April 30-May 3- Finally at the urging of family I go to a COVID test centre, thinking I will have to "demand" a test... at this point the testing centres still had a lot of screening questions but I was able to get a test.&amp;gt;! My result came back negative on May 3. !&amp;lt;During this time period, i'm feeling let's say "75%" back to my old self, so not so bad. 
May 4-31- After I got a negative Covid test, I decided I needed a "break" from the medical system and I didn't want to take the detailed day to day notes. But for the month of May my symptoms remained as light shortness of breath, light "feeling unwell" and a sore throat but only for an hour or two each day and usually in the evening. Oh yeah, I also had a return of diarrhea for 3 weeks.
&amp;gt;!June 2- second COVID test came back negative!&amp;lt;
* *June 8- Call my primary Doctor to say I am still experiencing symptoms and to ask if he was concerned about my diarrhea. He is not concerned and says we can run the blood work again but that he does not think it will show anything either (after reading this thread I agree). He says I can pick up the blood work request form if I want but that he would really only be concerned if my symptoms* ***worsen.***
June 3 until June 11- light shortness of breath remains, occasional unwell feeling (nausea?), and sore throat about 1-2 hours per day.
**\*\* some hope- each day I am honestly getting better, not worse at all**
&amp;amp;#x200B;
***What has helped***
* Hot water with lemon and honey (I get raw honey)
* Black tea, also with cream and honey
* Green tea
* Saying no to sweets and other junk food for now
* Taking it easy.... but still pushing myself a *tiny* amount. 
* Getting outside
* Anti-inflammatory foods and drinks
* CBD oil during the day, THC oil at night (lower THC for me personally)
* Faith
* For the insomnia specifically- chamomile tea, melatonin pills, and reading
&amp;amp;#x200B;
There is more I want to share about my experience but I will leave it there for now. I wish you all the best!</t>
        </is>
      </c>
      <c r="D1836" t="n">
        <v>38</v>
      </c>
      <c r="E1836" t="n">
        <v>16</v>
      </c>
      <c r="F1836">
        <f>HYPERLINK("https://www.reddit.com/r/COVID19positive/comments/h7cpmn/my_longterm_experience/")</f>
        <v/>
      </c>
      <c r="G1836" t="inlineStr">
        <is>
          <t>2020-06-11 19:59:56</t>
        </is>
      </c>
      <c r="H1836" t="inlineStr">
        <is>
          <t>Presumed Positive - From Doctor</t>
        </is>
      </c>
    </row>
    <row r="1837">
      <c r="A1837" t="inlineStr">
        <is>
          <t>h7cs7m</t>
        </is>
      </c>
      <c r="B1837" t="inlineStr">
        <is>
          <t>Anyone notice new varicose veins?</t>
        </is>
      </c>
      <c r="C1837" t="inlineStr">
        <is>
          <t>It's been 5 days since I've tested positive, and I've had mild symptoms. Loss of taste and smell, chronic headaches, and a slight stuffy nose and body aches that were gone after the first day. However, I've noticed these past few days my legs have been feeling restless, particularly the tops of my thighs. It almost feels like I'm overstretching them when I'm completely relaxed. At times the pain is intense and then it subsides.
Well I just noticed new spider veins on them. I've spotted them in other areas before, but never my thighs. I'm not too worried, it's cosmetically displeasing but otherwise I've been handling the leg pain with CBD. I'm just curious if this may be a shared symptom or if I'm being a hypochondriac?</t>
        </is>
      </c>
      <c r="D1837" t="n">
        <v>3</v>
      </c>
      <c r="E1837" t="n">
        <v>6</v>
      </c>
      <c r="F1837">
        <f>HYPERLINK("https://www.reddit.com/r/COVID19positive/comments/h7cs7m/anyone_notice_new_varicose_veins/")</f>
        <v/>
      </c>
      <c r="G1837" t="inlineStr">
        <is>
          <t>2020-06-11 20:04:59</t>
        </is>
      </c>
      <c r="H1837" t="inlineStr">
        <is>
          <t>Tested Positive - Me</t>
        </is>
      </c>
    </row>
    <row r="1838">
      <c r="A1838" t="inlineStr">
        <is>
          <t>h7fsxa</t>
        </is>
      </c>
      <c r="B1838" t="inlineStr">
        <is>
          <t>My 77 year old grandma is showing symptoms</t>
        </is>
      </c>
      <c r="C1838" t="inlineStr">
        <is>
          <t>So pretty  much my 77 year old grandma  has been going into my room.(I've tested positive and I have been in my room self isolating) the thing is when I go to the washroom  she  goes into my room I have no idea why but i think she might have caught covid from my room because the past few days she has been showing  symptoms she can barely  walk a block without gasping for air she has covid toe she started to cough but shes trying hold it in or slowly  go in her closet and cough in she is getting very cold.when I told her she should get tested  she started going ape shit crazy  screaming and saying my family  is conspiring  against her. the moment  we talk about her going to the hospital  she goes crazy. I told her dont go outside so now shes atleast not going outside.  I'm worried  about her infecting my little brothers and parents what should I do in this situation?  And also do you think its possible  that I can get reinfected? I tested  positive on the 17th of may my symptoms  first started on 15th of may  so I think it's been 27-28 days total</t>
        </is>
      </c>
      <c r="D1838" t="n">
        <v>1</v>
      </c>
      <c r="E1838" t="n">
        <v>1</v>
      </c>
      <c r="F1838">
        <f>HYPERLINK("https://www.reddit.com/r/COVID19positive/comments/h7fsxa/my_77_year_old_grandma_is_showing_symptoms/")</f>
        <v/>
      </c>
      <c r="G1838" t="inlineStr">
        <is>
          <t>2020-06-11 23:56:04</t>
        </is>
      </c>
      <c r="H1838" t="inlineStr">
        <is>
          <t>Tested Positive - Family</t>
        </is>
      </c>
    </row>
    <row r="1839">
      <c r="A1839" t="inlineStr">
        <is>
          <t>h7fv7c</t>
        </is>
      </c>
      <c r="B1839" t="inlineStr">
        <is>
          <t>My neighbors tested positive</t>
        </is>
      </c>
      <c r="C1839" t="inlineStr">
        <is>
          <t>So I just found out that my neighbors who are living right next door have been tested positive. While I am concerned, I am also confused on what additional precautions should I take. Please comment your advice, it would be really helpful!</t>
        </is>
      </c>
      <c r="D1839" t="n">
        <v>1</v>
      </c>
      <c r="E1839" t="n">
        <v>5</v>
      </c>
      <c r="F1839">
        <f>HYPERLINK("https://www.reddit.com/r/COVID19positive/comments/h7fv7c/my_neighbors_tested_positive/")</f>
        <v/>
      </c>
      <c r="G1839" t="inlineStr">
        <is>
          <t>2020-06-12 00:01:36</t>
        </is>
      </c>
      <c r="H1839" t="inlineStr">
        <is>
          <t>Tested Positive - Friends</t>
        </is>
      </c>
    </row>
    <row r="1840">
      <c r="A1840" t="inlineStr">
        <is>
          <t>h7i4en</t>
        </is>
      </c>
      <c r="B1840" t="inlineStr">
        <is>
          <t>Haven't Slept in a Week</t>
        </is>
      </c>
      <c r="C1840" t="inlineStr">
        <is>
          <t>See for profile for context. It's been 7 days with no sleep. If I do doze off, I wake up almost instantly with numbness everywhere. I think I have a bad case of dysautonomia. Anxiety meds, aspirin, Claritin... None have done the trick. I don't think I'm going to get well until I can sleep again.</t>
        </is>
      </c>
      <c r="D1840" t="n">
        <v>6</v>
      </c>
      <c r="E1840" t="n">
        <v>22</v>
      </c>
      <c r="F1840">
        <f>HYPERLINK("https://www.reddit.com/r/COVID19positive/comments/h7i4en/havent_slept_in_a_week/")</f>
        <v/>
      </c>
      <c r="G1840" t="inlineStr">
        <is>
          <t>2020-06-12 03:19:52</t>
        </is>
      </c>
      <c r="H1840" t="inlineStr">
        <is>
          <t>Presumed Positive - From Doctor</t>
        </is>
      </c>
    </row>
    <row r="1841">
      <c r="A1841" t="inlineStr">
        <is>
          <t>h7ihzv</t>
        </is>
      </c>
      <c r="B1841" t="inlineStr">
        <is>
          <t>Just another one of those long termers</t>
        </is>
      </c>
      <c r="C1841" t="inlineStr">
        <is>
          <t>Hi, possible long termer of something i caught which my doctor presumed was covid at the time even after i had 2 negative swab tests and a negative antibody serology test. I just hit my 3rd month since i got sick about mid march, man has it been a battle for me physically, mentally and emotionally and its still going on even though i am better compared to a month or 2 ago. I’m writing this right now while im having a bad relapse day of long term symptoms. Man i cant seem to catch a break! I’m a 22yr old male who is in decent health besides asthma i dont have any other underlying issues, got sick mid marchish and have had ups and downs ever since then. Typical symptoms of fatigue, weakness and chills and GI and a bit of SOB the first month which was probably due to covid then i started recovering and was mostly better for about a week and a half at like 90% Then got into bad fatigue issues still sob and brain fog for the second month, some chest pains and sinus pressure around face and head some days. Now im into the third month of this and my symptoms have morphed into other issues. While i definitely have gained back muscle strength and less physical fatigue than before i definitely still have occasional days of brain fog but now the past month ive been experiencing faster heart rate, frequent almost daily headaches, nausea every once in a while and a ticklish feeling in my throat. Not really a sore throat but slightly irritated. I cant seem to shake these symptoms off and get back to normal. Ive been seeing my doctor who does indeed think its something post viral and have seen a cardiologist recently and was told that i don’t have POTS but some sort of orthostatic intolerance with my BP goin a bit high and my heart rate also a bit higher than normal. Im waiting for an echocardiogram on my heart but thats not for another two weeks and am also trying to see a neurologist but the one i was referred to wont see patients physically yet :/ so i guess i’ll have to talk to my doctor for alternative neurologists. I’m just wondering if anyone who is also a long termer like me has had similar issues and can relate to my symptoms. I seem to be physically getting better in terms of less physical fatigue but im constantly getting pressure headaches 4/7 days of the week with mild occasional chest pains milder than previous ones though and just a strange irritation in my throat some nights and of course slightly higher blood pressure and heart rate. Some days im feelin pretty good at around 90% and i play video games or take a nice walk outside with the family and i think to myself “wow hopefully this is the start of me fully recovering” then other days i sit at like 70% with my headaches and pain and bits of nausea. Apologies if this post seems all over the place its 6:30 am and i feel a bit crappy tonight and haven’t really slept. Just wanted to rant and maybe read about some other peoples stories, experiences and maybe some good advice on what to do. Even though im younger and decently healthy im still worried that i have some sort of chronic or life threatening condition now that hasn’t been fully diagnosed yet and Im trying to stay positive but some nights it hits me hard thinking i’ll be like this forever or worse. I just wanna be back to my old self prior to getting sick. This sucks a lot. If i can get back to my normal self ill never take my health for granted again! and I can sympathize a little now with people who constantly have to deal with this kind of chronic shit. I can see why its like a living hell</t>
        </is>
      </c>
      <c r="D1841" t="n">
        <v>10</v>
      </c>
      <c r="E1841" t="n">
        <v>15</v>
      </c>
      <c r="F1841">
        <f>HYPERLINK("https://www.reddit.com/r/COVID19positive/comments/h7ihzv/just_another_one_of_those_long_termers/")</f>
        <v/>
      </c>
      <c r="G1841" t="inlineStr">
        <is>
          <t>2020-06-12 03:50:17</t>
        </is>
      </c>
      <c r="H1841" t="inlineStr">
        <is>
          <t>Presumed Positive - From Doctor</t>
        </is>
      </c>
    </row>
    <row r="1842">
      <c r="A1842" t="inlineStr">
        <is>
          <t>h7l639</t>
        </is>
      </c>
      <c r="B1842" t="inlineStr">
        <is>
          <t>What 90 Days Feels Like Day-by-Day</t>
        </is>
      </c>
      <c r="C1842" t="inlineStr">
        <is>
          <t>I've just passed the 90-day marker. And although I had two negative Covid-19 tests, I had almost all classic symptoms including loss of taste/smell and a diagnosis of post-viral pericarditis and efflusion (even tho I tested negative for cold/flu markers early on). I'm posting this for any medical ppl reading these posts to give an idea of what longterm symptoms can look like. And to plead for more investigation to be put into long-haul sufferers. I'm not alone. There are multiple thousands of us experiencing variations of the following:
\-  Day 1: Upset stomach and diarrhea, dehydration, taste aversion (jam tasted like toxic chemicals)
\-  Day 2: Stiff neck, headache, lack of appetite, nausea, loose stool, phlegmy throat
\-  Day 3: headache, upper back ache, loose stool, nausea, light dry cough, scratchy throat, upper back ache, heavy chest
\-  Day 4: severe migraine (double dose of normal painkillers not working), numbness in hands + feet, upper stomach fullness/no food movement, lack of appetite, strong nausea, very dry tongue, wheezy, centre chest pain, dry cough, lack of smell/taste
\-  Day 5: confusion and disorientation, upset stomach, hoarse voice, achiness + numbness in limbs, achy hip joints, nausea, dry tongue, centre chest pain, upper lung back ache, headache, neck ache, fatigue, bad body aches, phlegmy throat, dry cough
\-  Day 6: extreme fullness w/o food, numb arms + hands, weak legs (diff standing), post nasal drip + rhinitis, chest pain, strong fatigue, dry cough
\-  Day 7: throat phlegm, dehydrated, extreme cold, extreme fatigue, general malaise
\-  Day 8: migraine, sore chest, overwhelming fatigue, lightheaded, weak
\-  Day 9: diarrhea, nausea, strong fatigue, headache, neck ache, sinus ache, strong upper + mid back aches, heavy lungs, diff breathing (can’t draw breath thru nostrils)
\-  Day 10:  stomach fullness, diarrhea, tickly dry air passage, achy eyes, dry tongue, weak legs, early onset fatigue (usu. at 4pm), sensitivity to sound
\-  Day 11: difficulty breathing, SOB (like after light exercise), dry cough, achy/sore lower rib cage, right chest pain, achy base of throat to centre chest; headache, lightheaded, strong fatigue, weak, sensitivity to sound, icy/sweaty fluctuations, temp 35C, dry/scratchy throat, no appetite, sense of fullness/heavy pressure on stomach – need belching to relieve, stomach cramps, achy lower back, body aches (hips, back, pain in kidney area in back), lightheaded, sore throat,
\-  Day 12: diarrhea, head/neck ache, feel faint, SOB, sore lower ribs, ache across mid upper back, extreme upper stomach discomfort (can’t sit altho didn’t eat), localized pain in back of left lung, diff breathing, strong pain in centre chest
\-  Day 13: sore neck nerve, shallow breathing, discomfort across front of chest, heaviness in bottom of lungs, upper stomach fullness, weight loss (5 lbs), clammy hands/feet, frequent cold sweats, racing pulse at rest (120), arm/hand numbness, bronchitic feeling in trachea, fatigue, weak arms/legs (diff standing), Covid Test neg
\-  Day 14: pain at base of skull, felt good on waking but sudden sweeping fatigue, upper stomach discomfort, food aversion, centre chest pain, strong chills, trachea and lungs hurt when breathing, stronger dry cough, temperature 99.1 (compared to earlier 94.5), heart pounding, diarrhea, feeling of upper stomach blockage
\-  Day 15: achy spot on right mid-spine, slight SOB, can’t breathe in fully, sudden overwhelming fatigue, sound sensitivity, rise in resting pulse, painful light cough, pale, food aversion, very weak legs, icy/sweaty every 20 min, pain in upper chest to left of trachea when breathe or lean forward, SOB, no energy for simple tasks
\-  Day 16: shallow breathing from stomach, trachea pain down to mid-chest when breathe in, food triggered fever, headache, pounding racing heart, sudden fatigue, neck ache, nausea, cold/sweat fluctuations, SOB, trachea pain down to midchest, localized pain in mid left chest, voice hoarseness, headache from base of skull, bottom of rib ache, lack of appetite
\-  Day 17:  headache from base of skull radiating upwards, extreme cold, racing pulse, lung pressure, shallow breathing, upper + mid stomach discomfort, feeling faint
\-  Day 18: back ache, temp range (95.1 - 99.5F), base of neck headache, strong stomach discomfort – need to sit extremely straight to breathe (too tired to stand), strong pains in legs, lung pressure, difficulty drawing in breath, chills, left lung pain, nausea, woke to strong cramps in lower legs below knees
\-  Day 19: temp range (94.4 – 98.6F), sore lower ribs, mid-stomach sensitivity, yellow loose stool, icy/burning lungs, nausea, extreme fatigue, weak, lightheaded, difficulty drawing full breath, localized right lung pain, diarrhea
\-  Day 20: mild headache, achy lower rib cage, high temp (35C), nausea, early fatigue, lung pressure, shallow breathing, chills, palor, food aversion, slept during day, confusion, left lung breathing strain, right lung cramp, bug bite redness return, painful coughing in right lung
\-  Day 21: high temp (35C), very sore lower ribs, lightheaded, lung pressure, extreme lack of energy, right lung cramp causing cough, cough, nausea, achy eyes
\-  Day 22: breathlessness, faintness, coughing hurts ribs, constant icy sweats
\-  Day 23: unable to take full breath, lower back ache, hot/cold, lower rib (esp sides) pains, strong stomach discomfort altho barely eating, fatigue
\-  Day 24: migraine, hot sweats, sleeping on stomach only relief for upper stomach, lower ribs + left lung hurting, very low temp (34.6/94.2), low energy, general chest/back discomfort, chills/sweats every 10 min, concentrate on breathing to get breaths in, lung pressure, shallow breathing, can’t finish sentences, lightheaded, (went to hospital for SOB- but because no fever or sore throat, said not Covid), strong upper stomach discomfort
\-  Day 25: very fatigued (nap at 11am), extreme cold/chills/sweats, left lung strain like being squeezed, sharp headache from breathing, left lung pain, achy across back of lungs, scratchy sore throat (esp left side), hoarse
\-  Day 26: strong chills, 8am fatigue – back to bed, winded walking from washroom, can hear left lung strain when breathe in deeply with ache, severe sciatica (Mybulen + muscle relaxant)
\-  Day 27: strong sciatica, burning upper chest/throat, very dry mouth, dizzy, left lung pain, hot/cold
\-  Day 28: breathing exercises make worse, lower lung pressure when breathing deeply or leaning fwd, heavy chills, nausea, left lung strain, lung pressure like someone sitting on chest, lying on stomach for relief, palor
\-  Day 29: headache from base of skull, lower rib aches, diarrhea, left lung strain, difficulty lying on left
\-  Day 30: heavy lungs, difficulty taking full breath, lower lung congestion, lower lungs very heavy, lying on stomach
\-  Day 31: migraine, heavy lungs (like sacks attached to bottom), achy upper lungs in back, scratchy throat and left nasal cavity, sharp pain in left lung when breathe in, strong pain in centre of chest after talking on phone for 20 min w/stronger SOB, racing pulse (100bpm) at rest, pain if lie on right side or back, lie on stomach, breathing and lung aches causing me to wake, strong SOB
\-  Day 32: very heavy chest, strong SOB, must consciously breathe - not automatic, cold sweats, headaches, upper achy back, Covid Test neg
\-  Day 33: migraine, light cough, strong food aversion, centre chest/back pain, strong upper stomach
\-  Day 34: woken by chills, achy lower ribs, 15-min walk tired out by 10am, very weak, strong chills/sweats, lower achy ribs, desire to cough, burning lungs, extreme fatigue, nausea, headache, centre chest pain, left lung squished if lie on left, realized ZERO smell/taste because tried eating
\-  Day 35: lung pressure, achy lower ribs, mild straining to breathe, fatigue, lightheaded, burning lungs, upper back achiness, dizzy, cold sweats, rib soreness
\-  Day 36: lower rib aches, heavy pressure on lungs like someone sitting on chest, can’t draw in full breath, chills, fatigue, left lung pain, sneezing, upper right lung/back moderate pain, SOB, light cough
\-  Day 37: heaviness in bottom half of lungs, strong achy lower lungs, SOB, trachea pain, chills/sweats, right lung pain spots, strong palor + SOB out of shower, low temp (35C)
\-  Day 38: SOB, lightheaded, fatigue, racing heartbeat at rest, strong upper stomach discomfort, cough, difficulty breathing if lie on left, high Rheumatoid Factor
\-  Day 39: lung congestion, loose cough w/throat phlegm, SOB if lie on right, lung/chest pressure, SOB if lie on either side, cold/sweats preventing sleep
\-  Day 40: strong upper stomach discomfort, immediate fatigue after waking, SOB, right lung ache, very phlegmy throat, difficulty breathing when lying down, cardiologist visit – pericarditis + effusion
\-  Day 41: migraine, loose cough w/phlegmy throat, very lightheaded, sharp pain below left breast, diff taking deep breath, scratchy throat, SOB when lying down, centre chest pain, back pains in kidneys area, strong pain in left back (spleen?), cold/chills/sweats, insomnia til 4am, began Colchicine
\-  Day 42: SOB, headache, right lung ache esp if lean fwd, dry cough, very dark hollow eyes, pm headache, shallow breathing, winded coming from bthrm, constricted airway, congested lungs, mid back ache, metallic taste in mouth, nausea, strong chills
\-  Day 43: night headache, 11h sleep, sore lower ribs, lightheaded, strong chills, lowering temp, food aversion, diarrhea, hollow dark eyes, SOB, shallow breathing, force self to breathe, dull pain in lower left leg for a week
\-  Day 44: light headache behind eyes, pain in left brain stem, fatigue, extreme dark hollow eyes, ache left leg back of kneebend + another midway up thigh
\-  Day 45: mid-lower lung pressure, strong lower rib aches, cough, congested lungs (like breathing in steam), left brainstem ache radiating up head, daytime double vision (only at night since this began), fatigue + overly emotional, labored breathing, force to take in breath like breathing thru water (tickly feeling in lungs), centre chest ache, chest pressure if lean fwd, seal bark cough, SOB - worse if lie on left side, left leg kneebend ache
\-  Day 46: heavy lungs like weights, early fatigue, hollow feeling in upper stomach, diff to draw in breath, diff concentrating, loose stool, lightheaded, day-time double vision, chills/sweats, racing/pounding heart, dark hollow eyes, stomach fullness feeling, hot shower made chest worse (like breathing in water), strong hoarseness
\-  Day 47: slept 11h, felt better (1st time doing laundry/bthrm floor), lightheaded, wave of extreme fatigue, chills/sweats, dark/hollow eyes, headache, diarrhea, irritability, can’t catch full breath, evening sweats, throat phlegm
\-  Day 48: lower rib aches, heavy lower lungs, did shopping – rtd w/strong fatigue, weakness, SOB, left lung discomfort
\-  Day 49: slept 9h, woke to room spinning, left lung ache (esp after talk on phone), fatigue, dizzy, icy sweats, dry cough (tickly windpipe)
\-  Day 50: slept 10h, achy lower ribs (never sore to touch), left brainstem pain, pounding slightly racy not rhythmic heart, sudden fatigue and weakness, chills/sweats, daytime double vision, SOB, extreme dark/hollow eyes, nausea, high temp, soreness upon breathing in, can’t breathe if lie on left side, phlegmy throat
\-  Day 51: headache, heavy chest, diff breathing in fully, chills/sweats, 2 hand clots bigger + new one, left lung ache twds centre chest, mid chest/back aches, heavy lungs, upper lung burning, left brainstem pain
\-  Day 52: heavy mid-lower lungs, lung congestion, fatigue, lightheaded, weak, burning lungs, painful bronchial pipe, phlegmy, bronchial cough, fever, headache, rash on hands, earache
\-  Day 53: strong ache in left leg behind kneebend, SOB, lack of appetite, night back aches, localized pain in legs – need to elevate, frequent hot sweats, lower lungs/ribs very achy, neck muscle spasms
\-  Day 54: headaches, very achy lower lungs, more localized pain in both legs, dark hollow eyes, crampy lungs, difficulty breathing (like thru water)
\-  Day 55: some energy and interest in activities, heaviness across chest/back, breathing thru water, lung pressure, sudden fatigue, chills/sweats, hot shower gave chills + palor, dark hollow eyes, lung/windpipe cramps, frequent sweats, scratchy throat, dry barky cough
\-  Day 56: achy lower lungs, bronchial tube cough, headache, wave of fatigue 45 min after waking, chills/sweats every 20 min, weak/tired like on weed, nausea, irregular and bursts of heartbeats
\-  Day 57: 20 min walk caused left lung strain, strong lung burning, tickly airway, back aches and strong bruise feeling on upper spine (took aspirin), strong pain in back kidney areas, SOB, cough
\-  Day 58: lower lung aches, (spine bruise feeling gone), coldness in lungs, left lung crampy, coldness spread to left throat, ear, cheek and eye, blurry vision (took aspirin), SOB, left leg and buttock numbness, strong pain over heart after 25 min phone chat, cough, extremely dry (lips/tongue), no appetite
\-  Day 59: strong headache, nausea, dreaming couldn’t breathe underwater – difficulty breathing upon waking, need to consciously take breaths in or diaphragm doesn’t breathe, evening headache
\-  Day 60: headache, tiny bruise on left arm, left lung strain after 20-min walk, left lung burning, centre corresponding chest/back ache (like bruise), localized aches in left leg above kneebend, strong headache radiating from neck, diff breathing (like underwater), lungs feel like air syphoned out and can’t get back – need to sit up to breathe
\-  Day 61: localized ache in upper left leg, light dry cough, weak legs, mid-chest lung discomfort, achy over heart, pain across chest to left arm (while talking on phone), extreme fatigue (mental and physical), weakness, upper stomach discomfort, SOB, pounding heart, ache over heart (after talking on phone)
\-  Day 62: strong burning lungs, cold/hot swings every 20 min, localized left leg ache, sore top of left foot
\-  Day 63: palor, burning lungs, sudden fatigue/weakness, lack of appetite, chills/sweats, irritability, SOB, chest pressure, left hand clot bigger and sore, sharp pain above right ear, urine urgency, bad taste in mouth, left foot pain, pain at left/centre spine, very sore lungs and ribs
\-  Day 64: lower lung/rib aches, light cough, heart pounding, sudden erratic heart pounding, burning lungs/throat/left ear, numb left ear/eye/cheek, numb left leg, choked on food – strong left lung pain, left brainstem pain, ache over heart, cough
\-  Day 65: burning lungs, sore lower ribs/lungs, SOB, too tired to go for 15 min walk, leg weakness, congested lungs, loose cough, lack of appetite, strong SOB when turning in bed, left brainstem pain
\-  Day 66: lung congestion, weak, fatigue, SOB, ache over heart and corresponding back area esp when lean fwd, bruised feeling in spine at same level as heart, overly emotional, cold/sweats, very weak legs (diff standing), very achy lower rib area, SOB, heart jolts at night, upper stomach fullness, nausea, need to concentrate to make lungs breathe, frequent electrical jolts in heart, electrical currents through body to hands and feet with sweats, awakened from lower rib aches, sharp pain up to collarbone (15 sec)
\-  Day 67: need to concentrate to make lungs take in air, sore lower ribs, blurred vision, sudden ache in back left side head radiating to left eye/nose, 2 new tiny blood spots under arm and under right breast, thumping heartbeat, all day cold/sweats, brainstem ache, pain in right arm like blood supply trapped
\-  Day 68: sudden coldness, weakness, ache around heart (took aspirin), burning left lung spreading to neck and ear, night pain over heart and across to left arm, diff breathing in, left lung strain, palpitations, shoulder pain upon breathing in, nausea, sudden pain in stomach like a baseball bat poked it
\-  Day 69: woke to left lung strain and feel of collapse upon stretching – could only take in half volume of air from day before, thumping racing heart, fatigue, SOB, ache over heart and corresponding back area, diff taking air in (like too thick), chest pressure, palpitations, sore lower ribs, left side diff breathing (like not enough air in room)
\-  Day 70: achy heart, SOB, throbbing heart, lung/throat burning, numbness in left ear, squeezing sensation in lung/bronchi, chest pressure
\-  Day 71: breath tastes like soap, very cold, chills/sweats, achy heart radiating to shoulder (when on phone), drenching sweats, diff taking in breaths at night
\-  Day 72: very achy lower ribs/lungs, need to consciously take in breaths, very phlegmy throat, strong ache + numbness in left leg above knee, pounding heart, nighttime cold sweats every 5 min
\-  Day 73: sharp pain below left breast, very cold, strong lung burning, lack of appetite, numbness at left neck/chin/ear/eye, diff breathing in, very blurry vision, glasses feel too tight
\-  Day 74: sudden fatigue (canceled 15 min walk), very cold, lower rib aches, weak, lightheaded, lack of appetite, barky bronchial cough, irritable, palor, dark hollow eyes, blurry vision, constant night cold/hot flashes, glasses too tight to wear
\-  Day 75: SOB, lower rib aches, blurry vision, lightheaded, fatigue (sleep at noon), chills, lack of appetite, dizzy, loose cough, constant nighttime cold/sweats, strong achy ribs, sharp pain in spleen area
\-  Day 76: heart thumping, achy lower ribs, burning chest, lightheaded, diarrhea (2 loose, 1 watery) – took Immodium, chest tightness, dry cough
\-  Day 77: chills, sharp pain in left back at kidney area, fatigue, daytime double vision and blurriness, upper stomach feels like baseball bat pushing in, weak legs, centre chest ache when talking on phone, burning lungs, strong upper stomach discomfort – need to sit up straight to breathe, phlegmy throat
\-  Day 78: walked 20 min with one flight of stairs – in bed rest of day, strong diarrhea, upper stomach discomfort, diff breathing, chest pressure, strong throat phlegm
\-  Day 79: throat phlegm, frequent cold sweats, upper stomach discomfort, light headed, diff breathing lying on left side
\-  Day 80: diff breathing in steamy shower, early fatigue, SOB after doing dishes, laundry and making bed, weak, ache over heart, thumping heart, pressure on lower lungs, strong diff breathing on left side when lying down, strong left ear pain
\-  Day 81: SOB, headache at night
\-  Day 82: pressure across lungs, headache, allergic reaction (to dog?), lack of appetite, SOB, nausea, feel like upper stomach being pushed in, lungs feel like smoked pack of cigarettes
\-  Day 83: (after 2h walk) burning lungs, food aversion, chest pressure, weak legs, tiny bruise on upper leg
\-  Day 84: lightheaded, early fatigue, difficulty multi-tasking thoughts, upper stomach discomfort, lower rib aches, chest pressure when lying on back, feel like smoked pack of cigarettes, 5 bouts of watery diarrhea, strong upset stomach (2 Immodiums), strong chills
\-  Day 85: sensitive stomach, lung pressure when lying on back, weak legs, localized ache in upper right thigh (no aspirin today), ache in right arm above elbow, stomach rumbling and cramps lower rib ache
\-  Day 86: woke to feeling of early bronchitis in chest, racing pulse, upper stomach fullness, chest pressure, achiness extending down calves
\-  Day 87: burning lungs, wave of fatigue (like it’s 3am), sudden brain fatigue, chest tightness, right arm ache above elbow, pounding heart when sitting up, SOB (like air too thick), lung pressure
\-  Day 88: lungs suddenly deflated when stretched upon wakeup, diff taking in full breath, chest tightness, stomach upset, intense nt hot flashes
\-  Day 89: tiny bruise on left arm, blurry/double vision, dry eyes, lightheaded, dizziness, SOB, lack of appetite, localized aches in legs, need to urinate but little output, achy legs (like growing pains), chest tightness, chest pressure when lie on right side
\-  Day 90: headache, achy spot in left lung, much diff urinating, pounding heart, achy heart, strong upper stomach discomfort, lightheaded, SOB, brainfog, tight chest</t>
        </is>
      </c>
      <c r="D1842" t="n">
        <v>27</v>
      </c>
      <c r="E1842" t="n">
        <v>101</v>
      </c>
      <c r="F1842">
        <f>HYPERLINK("https://www.reddit.com/r/COVID19positive/comments/h7l639/what_90_days_feels_like_daybyday/")</f>
        <v/>
      </c>
      <c r="G1842" t="inlineStr">
        <is>
          <t>2020-06-12 06:58:51</t>
        </is>
      </c>
      <c r="H1842" t="inlineStr">
        <is>
          <t>Presumed Positive - From Doctor</t>
        </is>
      </c>
    </row>
    <row r="1843">
      <c r="A1843" t="inlineStr">
        <is>
          <t>h7l8n2</t>
        </is>
      </c>
      <c r="B1843" t="inlineStr">
        <is>
          <t>Cough started 8 days after first symptoms</t>
        </is>
      </c>
      <c r="C1843" t="inlineStr">
        <is>
          <t>Symptoms started with fever, crazy back and joint aches about 8 days ago. Lasted about 15 hours then mainly joint aches and lower fever  for another 8 hours, crazy fatigue during everything 
After that symptoms started to lessen but fatigue increased. Got tested the 2nd-ish day but didn’t have symptoms other than fatigue. Loss sense of smell and taste by the 4th day.
Had to wait an entire week  for results, positive.
Today on the 8th day, I woke up with a cough, which is slightly worrying me.
Anyone else with a cough and how are you managing it and when should it cause concern?
Been resting lots, eating as well as I can. Vitamin  d, zinc, and vitamin c.</t>
        </is>
      </c>
      <c r="D1843" t="n">
        <v>2</v>
      </c>
      <c r="E1843" t="n">
        <v>8</v>
      </c>
      <c r="F1843">
        <f>HYPERLINK("https://www.reddit.com/r/COVID19positive/comments/h7l8n2/cough_started_8_days_after_first_symptoms/")</f>
        <v/>
      </c>
      <c r="G1843" t="inlineStr">
        <is>
          <t>2020-06-12 07:02:46</t>
        </is>
      </c>
      <c r="H1843" t="inlineStr">
        <is>
          <t>Tested Positive - Me</t>
        </is>
      </c>
    </row>
    <row r="1844">
      <c r="A1844" t="inlineStr">
        <is>
          <t>h7mo8e</t>
        </is>
      </c>
      <c r="B1844" t="inlineStr">
        <is>
          <t>Tinnitus one ear or both</t>
        </is>
      </c>
      <c r="C1844" t="inlineStr">
        <is>
          <t>Hi Guys,
&amp;amp;#x200B;
I have a question, for those who have Tinnitus, is it in one ear or both ears for you?</t>
        </is>
      </c>
      <c r="D1844" t="n">
        <v>2</v>
      </c>
      <c r="E1844" t="n">
        <v>15</v>
      </c>
      <c r="F1844">
        <f>HYPERLINK("https://www.reddit.com/r/COVID19positive/comments/h7mo8e/tinnitus_one_ear_or_both/")</f>
        <v/>
      </c>
      <c r="G1844" t="inlineStr">
        <is>
          <t>2020-06-12 08:22:49</t>
        </is>
      </c>
      <c r="H1844" t="inlineStr">
        <is>
          <t>Presumed Positive - From Doctor</t>
        </is>
      </c>
    </row>
    <row r="1845">
      <c r="A1845" t="inlineStr">
        <is>
          <t>h7o2py</t>
        </is>
      </c>
      <c r="B1845" t="inlineStr">
        <is>
          <t>Amplatzer Heart Surgery and Covid ?</t>
        </is>
      </c>
      <c r="C1845" t="inlineStr">
        <is>
          <t>Does anyone know if these play into effect any worse symptoms or chances of death:
- amplatzer for Atrial Septal Defect (Heart Surgery) when i was 21
- I have had Swine flu, rotavirus, pneumonia, kidney infection before
- i had asthma when i was younger
Im worried about my heart surgery I had. 
Does anyone have any advice for people with these things like me ?
i’m blood type A. 31 female. Brazilian living in Brazil.</t>
        </is>
      </c>
      <c r="D1845" t="n">
        <v>3</v>
      </c>
      <c r="E1845" t="n">
        <v>2</v>
      </c>
      <c r="F1845">
        <f>HYPERLINK("https://www.reddit.com/r/COVID19positive/comments/h7o2py/amplatzer_heart_surgery_and_covid/")</f>
        <v/>
      </c>
      <c r="G1845" t="inlineStr">
        <is>
          <t>2020-06-12 09:34:38</t>
        </is>
      </c>
      <c r="H1845" t="inlineStr">
        <is>
          <t>Tested Positive - Me</t>
        </is>
      </c>
    </row>
    <row r="1846">
      <c r="A1846" t="inlineStr">
        <is>
          <t>h7o9ga</t>
        </is>
      </c>
      <c r="B1846" t="inlineStr">
        <is>
          <t>COVID19 and blood vessels / why it might be helpful to get a stress test EKG and Angiogram</t>
        </is>
      </c>
      <c r="C1846" t="inlineStr">
        <is>
          <t>This post is for all my long haul homies dealing with SOB/no cough or sore throat but respiratory symptoms/fatigue/flair ups and medical system gaslighting as a result. Month 4 here. The main point of my post - you may want to get those cardiovascular tests in addition to pulmonary tests based on my experience.  
I've met many individuals like myself on here that began feeling symptoms the first week of March. My roommate was exposed to someone who later tested positive and had all the telltale signs (dry cough, fever, fatigue, etc.) But I only had a low-grade fever, scratchy throat, extreme fatigue, and headaches at first. I had no cough or sore throat. By the second week, this developed into intense shortness of breath and "enflamed" chest and back symptoms that have carried into four months. This was early on and the first test I was able to access was three and a half weeks in. It was the test where you cough into the petri dish. Because I wasn't coughing up mucus, the test administrator said that my test would probably come back negative. It did. I tested negative two weeks later, as well. They did an X-ray, a CT Scan, various blood work, and nothing showed up irregular. I felt as though all of the doctors were just chalking my symptoms up to anxiety. I know my body and when I'm anxious versus actually sick.
Still, the shortness of breath and inflammation has continued over the last few months. Exercise affects it the worst. If I go for even a short jog, it's almost as if I relapse. I also have had some light GI issues and what I eat also seems to affect how extreme my symptoms are. Keep in mind, this all developed very quickly over the first few weeks of March - it wasn't like I had been having ANY prior symptoms and was a healthy, active, 37-year-old who ran and exercised frequently.
In month two when they were doing the various tests, I had been so short of breath that I was afraid to do anything more than a resting EKG. Over the last few weeks I've been taking walks and finally, today, I took the stress test. The administers immediately noticed an issue and made me wait while they consulted a doctor. They said my heart wasn't able to pump the necessary blood flow to the rest of my body under stress/exercise. They've now scheduled an angiogram to look at my cardiovascular system which will give a better sense of what's happening with my cardiovascular system than an X-Ray or CT.
I've been reading a lot about how in my demographic (30 and 40 yr olds), COVID can affect the body more as a blood disease than a respiratory disease and this is where all of these blood clots, pulmonary embolisms, strokes, etc happen.  
Now, of course, I don't yet know if I have a separate cardiovascular issue but it seems highly unlikely this would have surfaced in the way it did without having something to do with COVID19 exposure.
While I feel like my body is working through these issues slowly and naturally, looking back in retrospect I really wish that I had done the treadmill EKG sooner so that they would have seen what I was experiencing and may be offered more cardiology solutions and potentially medication that could have smoothed out my process (and maybe taken less risk on my life and health!)
I offer up my story for those of you that are running into this same issues and symptoms so that you can do check this box off your already long list of tests and appointments. I'll update you with the results of my angiogram when I take it, too. Be well!</t>
        </is>
      </c>
      <c r="D1846" t="n">
        <v>162</v>
      </c>
      <c r="E1846" t="n">
        <v>84</v>
      </c>
      <c r="F1846">
        <f>HYPERLINK("https://www.reddit.com/r/COVID19positive/comments/h7o9ga/covid19_and_blood_vessels_why_it_might_be_helpful/")</f>
        <v/>
      </c>
      <c r="G1846" t="inlineStr">
        <is>
          <t>2020-06-12 09:43:51</t>
        </is>
      </c>
      <c r="H1846" t="inlineStr">
        <is>
          <t>Presumed Positive - From Doctor</t>
        </is>
      </c>
    </row>
    <row r="1847">
      <c r="A1847" t="inlineStr">
        <is>
          <t>h7q9ln</t>
        </is>
      </c>
      <c r="B1847" t="inlineStr">
        <is>
          <t>How long are you contagious when confirmed positive?</t>
        </is>
      </c>
      <c r="C1847" t="inlineStr">
        <is>
          <t>I started feeling symptoms May 30-31st, was tested June 2nd and confirmed positive June 6th. My significant other and I don’t live together and have not seen each other because I had come in contact with someone I thought to have covid a week prior to my symptoms. I’m on antibiotics for my lungs, which ends Sunday. 
What is the safe recommendation where I won’t transfer anything to him? All my symptoms are gone minus the fatigue when I exert myself too much.</t>
        </is>
      </c>
      <c r="D1847" t="n">
        <v>1</v>
      </c>
      <c r="E1847" t="n">
        <v>3</v>
      </c>
      <c r="F1847">
        <f>HYPERLINK("https://www.reddit.com/r/COVID19positive/comments/h7q9ln/how_long_are_you_contagious_when_confirmed/")</f>
        <v/>
      </c>
      <c r="G1847" t="inlineStr">
        <is>
          <t>2020-06-12 11:29:42</t>
        </is>
      </c>
      <c r="H1847" t="inlineStr">
        <is>
          <t>Tested Positive - Me</t>
        </is>
      </c>
    </row>
    <row r="1848">
      <c r="A1848" t="inlineStr">
        <is>
          <t>h7rhkm</t>
        </is>
      </c>
      <c r="B1848" t="inlineStr">
        <is>
          <t>Tested positive (34m) -- Symptom free-- then back after a month? (rash, vascular symptoms, mini strokes)</t>
        </is>
      </c>
      <c r="C1848" t="inlineStr">
        <is>
          <t>So on May 9th I got a strange rash on my head, it developed the next few days. I had the cough and chest pressure, but the worse symptoms for me were vascular related. Extreme pain in my veins/ arteries... weakness but not like the flu. I had tingling on my left side, eye weakness and eye pressure. Temporal arteries really bulging. I didn't know Stroke was associated with it in May.
I probably had a few mini strokes but I was doing the FAST check and I never had facial drooping or arm drop, but did have the pins and needles and numbness in my left side. 
I was chewing Asprin for the stroke symptoms.  
Anyway I got checked on the 17th and was mainly feeling better after being bed ridden for 4 days. At that point I didn't think I had it, but got the check anyway and it came back positive.  
Even though the main symptoms only lasted a week, I have noticed that the "flushing"  never went away fully, even up to now. Every once in a while I could feel my whole body "flush," which feels like a more painful version of goosebumps, or the feeling you get just before you start to sweat.  It usually only last a second or two and goes away. But I had a feeling the virus was still with me. 
Anyway, I woke up on 6/12 to find another similar rash to the first one. I am wondering if this is the virus again, I have been noticing for the past few days that was sleeping more, and generally more tired than usual. Also, I have a distinct pain and soreness in my back/ base of neck. 
My question is has anyone else had it positive confirmation then it goes away for the most part for a month then comes back? 
Is it possible this is a chronic virus and has flare up? Aren't there a lot of virus that never leave but hide in this manner-- kind of like Herpes Simplexes? I don't have cold sores but it seems kind of similar.</t>
        </is>
      </c>
      <c r="D1848" t="n">
        <v>24</v>
      </c>
      <c r="E1848" t="n">
        <v>22</v>
      </c>
      <c r="F1848">
        <f>HYPERLINK("https://www.reddit.com/r/COVID19positive/comments/h7rhkm/tested_positive_34m_symptom_free_then_back_after/")</f>
        <v/>
      </c>
      <c r="G1848" t="inlineStr">
        <is>
          <t>2020-06-12 12:35:14</t>
        </is>
      </c>
      <c r="H1848" t="inlineStr">
        <is>
          <t>Tested Positive - Me</t>
        </is>
      </c>
    </row>
    <row r="1849">
      <c r="A1849" t="inlineStr">
        <is>
          <t>h7sd26</t>
        </is>
      </c>
      <c r="B1849" t="inlineStr">
        <is>
          <t>For those with chronic symptoms. What is your blood type?</t>
        </is>
      </c>
      <c r="C1849" t="inlineStr">
        <is>
          <t>A while ago it was talked about that those with A blood types are hit harder than other blood types. I was curious for those who got sick in March and April who are still dealing with symptoms what your blood type is?  
I'm A negative.</t>
        </is>
      </c>
      <c r="D1849" t="n">
        <v>23</v>
      </c>
      <c r="E1849" t="n">
        <v>58</v>
      </c>
      <c r="F1849">
        <f>HYPERLINK("https://www.reddit.com/r/COVID19positive/comments/h7sd26/for_those_with_chronic_symptoms_what_is_your/")</f>
        <v/>
      </c>
      <c r="G1849" t="inlineStr">
        <is>
          <t>2020-06-12 13:22:53</t>
        </is>
      </c>
      <c r="H1849" t="inlineStr">
        <is>
          <t>Presumed Positive - From Test</t>
        </is>
      </c>
    </row>
    <row r="1850">
      <c r="A1850" t="inlineStr">
        <is>
          <t>h7tag8</t>
        </is>
      </c>
      <c r="B1850" t="inlineStr">
        <is>
          <t>Became ill in January, now I have Raynauds Syndrome symptoms</t>
        </is>
      </c>
      <c r="C1850" t="inlineStr">
        <is>
          <t>67F who has Lupus, RA, in cancer remission, survived Mono, Hong Kong flu, kidney failure when I was 8, but this thing, this virus is not like anything I have gone through. I would do chemo all,over again instead of this.  And I think my case was mild.
Some commonalities were the loss of smell/taste, nausea when eating, intense pain when breathing, horrific coughing so bad I sprained some ribs and back muscles, eyes looked like I had used red lipstick for eyeliner, GI problems, headache, low fever, had a seizure, but hey, it only lasted 7 days. I only felt like I could be dying on the third day,  but the nearest hospital is an hour away. 
I am not as fatigued as before but this thing going on with my hands and feet is crazy.  Raynauds as I understand is some kind of autoimmune dysfunction involving the vascular system. The body’s extremities over react to cold temps, like holding a cold drink or handling frozen foods, walking through snow, and turn dark purple and hurt like hell.  
If the temps in my house go below 74 degrees, my hands and feet first tingle, go numb and turn dark purple.  They look like exhibit A from the Forensic Files. The color is gross, and in a few minutes, my hands turn icky white.  If I try to warm them up, it does no good.  I just have to wait for it to pass. It happens several times a day.  It doesn’t seem to be triggered by anything I can identify. No consistency.
My husband was also sick, and now he’s heat sensitive all the time, so we battle over the thermostat settings. 
My handwriting is also almost illegible.  But I can type. 
I will get a test next week when I can see my doctor in person.  I just hope I don’t look too stupid wearing socks with sandals.  
I would like to know if anyone has had this symptom.  I don’t have Covid Toes, this is different.
Thank you for listening.</t>
        </is>
      </c>
      <c r="D1850" t="n">
        <v>16</v>
      </c>
      <c r="E1850" t="n">
        <v>11</v>
      </c>
      <c r="F1850">
        <f>HYPERLINK("https://www.reddit.com/r/COVID19positive/comments/h7tag8/became_ill_in_january_now_i_have_raynauds/")</f>
        <v/>
      </c>
      <c r="G1850" t="inlineStr">
        <is>
          <t>2020-06-12 14:13:55</t>
        </is>
      </c>
      <c r="H1850" t="inlineStr">
        <is>
          <t>Presumed Positive - From Doctor</t>
        </is>
      </c>
    </row>
    <row r="1851">
      <c r="A1851" t="inlineStr">
        <is>
          <t>h7u0k5</t>
        </is>
      </c>
      <c r="B1851" t="inlineStr">
        <is>
          <t>What’s the consensus? Is it best to avoid LIGHT exercise completely or engage in it. Also, what have you guys found helpful in lowering heart rate/pain</t>
        </is>
      </c>
      <c r="C1851" t="inlineStr">
        <is>
          <t>I had a two week period where I got hit with almost every symptom in COVID’s repertoire somewhat heavily but definitely not as bad as it could’ve been. While sick, I was still able to walk around my house reasonably well and I never got whacked with fever. My SOB was pretty light. I’ve made posts on here before so if you wanna see my previous symptoms, take a peak at them, but obv don’t feel required to.
I then had a two week period where I felt really good and am getting my first relapse in the form of heart palpitation, really elevated heart rate (hr is currently at 72 while at rest but other times it can be in the 90s when at rest and standing up brings it to the 110s/120s. A little chest pain and very slight SOB as well, like I’m not at full lung capacity when I inhale. The pain and SOB come and go, but the elevated heart rate has been here consistently for about 4/5 days.
I went to the ER 3 days ago because my heart rate was really high and, after getting an EKG done by my pcp the day earlier, a finding of a “right bundle blockage pattern” really made me anxious. When I got to the ER, my RHR was in the 108-115 range. They ran another EKG that found the right bundle thingy, a chest x-ray that came back normal, and lab work that all came back normal with the exception of me being a bit dehydrated. Doc said he isn’t concerned about the right bundle blockage, he thinks it’s just a slight electrical current delay in my body that’s completely benign. That did wonders to calm me down.
Should I be avoiding going out for walks? Are they harmful or helpful? What have you guys found that’s worked well for you.</t>
        </is>
      </c>
      <c r="D1851" t="n">
        <v>6</v>
      </c>
      <c r="E1851" t="n">
        <v>20</v>
      </c>
      <c r="F1851">
        <f>HYPERLINK("https://www.reddit.com/r/COVID19positive/comments/h7u0k5/whats_the_consensus_is_it_best_to_avoid_light/")</f>
        <v/>
      </c>
      <c r="G1851" t="inlineStr">
        <is>
          <t>2020-06-12 14:55:54</t>
        </is>
      </c>
      <c r="H1851" t="inlineStr">
        <is>
          <t>Presumed Positive - From Doctor</t>
        </is>
      </c>
    </row>
    <row r="1852">
      <c r="A1852" t="inlineStr">
        <is>
          <t>h7u1ks</t>
        </is>
      </c>
      <c r="B1852" t="inlineStr">
        <is>
          <t>Day 84 and still experiencing SOB</t>
        </is>
      </c>
      <c r="C1852" t="inlineStr">
        <is>
          <t>Hello.
I will try to make it short. I started to have a dry cough beginning of March and then probably on day 12 or so I started to have shortness of breath. Basically when I want to take a deep breath (inspire) the air doesn't go through and I feel that it stays blocked in my throat.
I didn't have fever. Just dry cough (it's gone now), fatigue (some days, not everyday) and SOB that has never left me since the beginning. Luckily I don't feel it's coming from my lunges but more my throat... does anybody is experiencing the same?
I had doctors consultations. I have been diagnosed with covid 19. A month later I called back the doctor thinking it might be something else... maybe allergie or asthma (even though I never had those in my life... and I don't think that it could be anxiety as I have experienced stressful events in my life and I have never had this SOB) 
With the symptoms the doctor said it's no allergy and it doesn't look like asthma but he has still prescribed me a peak flow meter to measure my breathing to see if I have asthma. I called back with my results and no asthma. The doctor prescribed me omeprazole (he thinks that I have acid rejection from my stomach and apparently this could lead to SOB...) I'm taking it for a month now.
Basically it's like a roller coaster... I will feel better for few days (even if the breathing is feeling a bit better, the inconfort of breathing is still here) I will think that I'm healing ! And no! It always comes back! (Has never really gone away but it's like "good" and "bad" days.)
I have been better for one week and now it's been few days that I struggle to breath again.
It's a hell and I wanted to share my story and see that I'm not alone here. I hope you are doing well and let me know if you have recovered from SOB. Any tips? I try to go for a walk daily it kinda helps but it doesn't heal for sure. 
Stay safe</t>
        </is>
      </c>
      <c r="D1852" t="n">
        <v>4</v>
      </c>
      <c r="E1852" t="n">
        <v>10</v>
      </c>
      <c r="F1852">
        <f>HYPERLINK("https://www.reddit.com/r/COVID19positive/comments/h7u1ks/day_84_and_still_experiencing_sob/")</f>
        <v/>
      </c>
      <c r="G1852" t="inlineStr">
        <is>
          <t>2020-06-12 14:57:28</t>
        </is>
      </c>
      <c r="H1852" t="inlineStr">
        <is>
          <t>Presumed Positive - From Doctor</t>
        </is>
      </c>
    </row>
    <row r="1853">
      <c r="A1853" t="inlineStr">
        <is>
          <t>h7ujyb</t>
        </is>
      </c>
      <c r="B1853" t="inlineStr">
        <is>
          <t>Positive for COVID-19, negative for antibodies</t>
        </is>
      </c>
      <c r="C1853" t="inlineStr">
        <is>
          <t>My fiancee and I live together, and in April we both got sick.  I had the classic fever, cough, and shortness of breath.  She had all of that plus headaches and extreme fatigue.  I felt better after a month (although I still have occasional chest pain and breathing problems).  She kept feeling bad and got a COVID-19 swab test, which came back positive.  
More than a month later, in early June, she was still feeling awful -- she was so fatigued that she had to nap five or six hours per day, and she had chest pain and nasty headaches.  We both got swab tests and IGG antibody tests.  Her swab test came back positive, and a chest x-ray showed that she had pneumonia.   My swab test was negative.  They told us our antibodies were "low," whatever that means.
Two weeks later she got another swab test and x-ray, and I got another antibody test.  The good news is that she's now pneumonia- and COVID-free (even though she's not feeling all that much better).  The bad news is that I'm now negative for antibodies  -- "as if you never had the virus," they told me.
We don't understand it.  We know for a fact that she had COVID-19, and there's no way that I didn't -- I was exposed to her 24 hours per day for the month-plus that she was laboratory positive and I had all the classic symptoms  We're both still dealing with symptoms more than two months after getting infected, and it's making our life hell.  Now we have to worry about getting it again.  Needless to say, we're stressed.
Has anyone had a similar experience?
For what it's worth, they said my "low" antibody test was an "8" and my "negative" test was a "3.8."  I'm not sure what those numbers mean.</t>
        </is>
      </c>
      <c r="D1853" t="n">
        <v>29</v>
      </c>
      <c r="E1853" t="n">
        <v>31</v>
      </c>
      <c r="F1853">
        <f>HYPERLINK("https://www.reddit.com/r/COVID19positive/comments/h7ujyb/positive_for_covid19_negative_for_antibodies/")</f>
        <v/>
      </c>
      <c r="G1853" t="inlineStr">
        <is>
          <t>2020-06-12 15:25:06</t>
        </is>
      </c>
      <c r="H1853" t="inlineStr">
        <is>
          <t>Tested Positive - Family</t>
        </is>
      </c>
    </row>
    <row r="1854">
      <c r="A1854" t="inlineStr">
        <is>
          <t>h7wanw</t>
        </is>
      </c>
      <c r="B1854" t="inlineStr">
        <is>
          <t>testing positive 3 months after first having symptoms? is this even possible?</t>
        </is>
      </c>
      <c r="C1854" t="inlineStr">
        <is>
          <t>hi
i had on/off symptoms of a sore throat, chest tightness/feeling like my oesophagus was very irritated, a weird 'heavy' feeling at the bottom of my lungs, nausea, diarrhoea since march. at the beginning, the symptoms were really prominent. I was dizzy, fatigued, would have random and very sudden bouts of nausea, headaches and felt like i couldn't breathe properly. during march I could not be tested but I self isolated on the assumption I had coronavirus because I felt really off
these symptoms then went and I thought I was fine. however since march these symptoms have continued- I'll feel fine (albeit a little exhausted and sometimes weak) for weeks and then I'll have a week of chest tightness, sore throat, feel like I can't breathe but it'll go, I think absolutely I'm fine but then I'll get a very mildly sore throat, headaches and a weird shooting pain in my spine and lower back.  I've also noticed my sense of taste has been slightly diminished
anyway, a few days ago I was tested for covid antigens and I tested positive. three months after i first started feeling this way. is this even possible? was I ill with something else during this whole time? could I have been exposed again somehow/would this even show up in an antigen test? would it be possible to still have viral debris three months after first experiencing symptoms?</t>
        </is>
      </c>
      <c r="D1854" t="n">
        <v>13</v>
      </c>
      <c r="E1854" t="n">
        <v>9</v>
      </c>
      <c r="F1854">
        <f>HYPERLINK("https://www.reddit.com/r/COVID19positive/comments/h7wanw/testing_positive_3_months_after_first_having/")</f>
        <v/>
      </c>
      <c r="G1854" t="inlineStr">
        <is>
          <t>2020-06-12 17:00:03</t>
        </is>
      </c>
      <c r="H1854" t="inlineStr">
        <is>
          <t>Tested Positive - Me</t>
        </is>
      </c>
    </row>
    <row r="1855">
      <c r="A1855" t="inlineStr">
        <is>
          <t>h7weao</t>
        </is>
      </c>
      <c r="B1855" t="inlineStr">
        <is>
          <t>out of the woods it seems Day 64</t>
        </is>
      </c>
      <c r="C1855" t="inlineStr">
        <is>
          <t>Hey guys, 
I'm really elated to report that a majority of my symptoms have finally vanished. Only very occasional, brief, chest tightness, weird heart rate fluctuations while standing up vs sitting down(red toes from weird stuff). I've started exercising again!!! walking every single day. I am no longer aspirin bound. I really hope i continue to get better. 
Red toes: right before I sleep they turn bright red, during a hot shower, or after a long walk. They are very annoying and extremely hot but goes away when laying down or pretty soon after exercise.
Heart rate:pretty consistent but sometimes standing up bpm goes from 78 to 110, then sitting down will drop it to like 59 bpm( bradycardia for someone who is unfit feels WEIRD as FUCK, kinda scary but not nearly as scary as high tachy)
***this will end for you too I promise***
stay safe. I'm at about 95% I hope to reach 100% soon.</t>
        </is>
      </c>
      <c r="D1855" t="n">
        <v>98</v>
      </c>
      <c r="E1855" t="n">
        <v>26</v>
      </c>
      <c r="F1855">
        <f>HYPERLINK("https://www.reddit.com/r/COVID19positive/comments/h7weao/out_of_the_woods_it_seems_day_64/")</f>
        <v/>
      </c>
      <c r="G1855" t="inlineStr">
        <is>
          <t>2020-06-12 17:05:41</t>
        </is>
      </c>
      <c r="H1855" t="inlineStr">
        <is>
          <t>Tested Positive</t>
        </is>
      </c>
    </row>
    <row r="1856">
      <c r="A1856" t="inlineStr">
        <is>
          <t>h7xzu7</t>
        </is>
      </c>
      <c r="B1856" t="inlineStr">
        <is>
          <t>Tested Positive for COVID Need advice</t>
        </is>
      </c>
      <c r="C1856" t="inlineStr">
        <is>
          <t>Hello all, I just tested positive for Covid today. I was wondering what I should expect. The doctor who told me the test result didn’t really elaborate on what I should expect. Thought I would ask you all.
Thanks in advance!</t>
        </is>
      </c>
      <c r="D1856" t="n">
        <v>4</v>
      </c>
      <c r="E1856" t="n">
        <v>7</v>
      </c>
      <c r="F1856">
        <f>HYPERLINK("https://www.reddit.com/r/COVID19positive/comments/h7xzu7/tested_positive_for_covid_need_advice/")</f>
        <v/>
      </c>
      <c r="G1856" t="inlineStr">
        <is>
          <t>2020-06-12 18:41:49</t>
        </is>
      </c>
      <c r="H1856" t="inlineStr">
        <is>
          <t>Tested Positive - Me</t>
        </is>
      </c>
    </row>
    <row r="1857">
      <c r="A1857" t="inlineStr">
        <is>
          <t>h7yg8w</t>
        </is>
      </c>
      <c r="B1857" t="inlineStr">
        <is>
          <t>I tested positive for COVID-19 all the way back in December AMA</t>
        </is>
      </c>
      <c r="C1857" t="inlineStr">
        <is>
          <t>I was 17 at the time and I have asthma, sooo AMA.</t>
        </is>
      </c>
      <c r="D1857" t="n">
        <v>0</v>
      </c>
      <c r="E1857" t="n">
        <v>10</v>
      </c>
      <c r="F1857">
        <f>HYPERLINK("https://www.reddit.com/r/COVID19positive/comments/h7yg8w/i_tested_positive_for_covid19_all_the_way_back_in/")</f>
        <v/>
      </c>
      <c r="G1857" t="inlineStr">
        <is>
          <t>2020-06-12 19:10:40</t>
        </is>
      </c>
      <c r="H1857" t="inlineStr">
        <is>
          <t>Tested Positive</t>
        </is>
      </c>
    </row>
    <row r="1858">
      <c r="A1858" t="inlineStr">
        <is>
          <t>h7yri4</t>
        </is>
      </c>
      <c r="B1858" t="inlineStr">
        <is>
          <t>Fast</t>
        </is>
      </c>
      <c r="C1858" t="inlineStr">
        <is>
          <t>Out of luck? Try fasting. It works. That is all.</t>
        </is>
      </c>
      <c r="D1858" t="n">
        <v>0</v>
      </c>
      <c r="E1858" t="n">
        <v>6</v>
      </c>
      <c r="F1858">
        <f>HYPERLINK("https://www.reddit.com/r/COVID19positive/comments/h7yri4/fast/")</f>
        <v/>
      </c>
      <c r="G1858" t="inlineStr">
        <is>
          <t>2020-06-12 19:29:57</t>
        </is>
      </c>
      <c r="H1858" t="inlineStr">
        <is>
          <t>Presumed Positive - From Test</t>
        </is>
      </c>
    </row>
    <row r="1859">
      <c r="A1859" t="inlineStr">
        <is>
          <t>h7zfmd</t>
        </is>
      </c>
      <c r="B1859" t="inlineStr">
        <is>
          <t>Scared mom diagnosed with covid</t>
        </is>
      </c>
      <c r="C1859" t="inlineStr">
        <is>
          <t>Hi all. Welp, Im infected. Got the call this afternoon. The only reason I got tested was because its a requirement for work if you call out sick/have a fever. The doctor was extremely dismissive. Said i appeared fine and that this was probably some viral infection, not to worry, etc. , gave me flonase for my post nasal drip and sent me on my way. 
My symptoms started Monday. Saw the doctor on Wednesday. Got results today. 
Monday: itchy throat with a cough because my throat was itchy (thought nothing of it, allergies, maybe)
Tuesday: felt a migraine coming on (I suffer from them so I thought nothing of it) during the day and then BOOM...at night severe body aches, body chills, pressure in my head, and low grade fever (99F). Excessive sweating overnight. 
Wednesday: wet cough (not constant), extremely lethargic, muscle soreness, head pressure. When I went to the dr my heart rate, temp, O2, and chest xray were fine. 
Thursday: Worst day so far. Extremely lethargic. I paced my room crying from the pain in my back and neck. Its almost like someone was crushing/twisting my spine. The pressure in my head was so intense that it hurt to move my eyes. Slight cough. 99F temp came back for a little bit. Excessive sweating overnight. 
Friday (today): Better than Thursday. Woke up with muscle soreness like I worked out. No fever.  No energy. Head pressure and eye pain continue. Slight cough. At around 8/9pm the body pain returned but I immediately put the heating pad to decrease the intensity. Working so far. 
Ive been taking in: Vitamin C, flonase, omega-3, probiotics, ibuprofen (Ill stop now, right? I dont know anymore), ginger/tumeric tea, lots of fluids, and a chinese herb (yin qiao san). 
Has anyone else had this crazy body ache? Is this going to get worse considering Im on day 5? What helped you with these similar symptoms ? Im a generally anxious person so this unpredictability of what tomorrow or the next day will bring is scary to me. Thanks guys!!!</t>
        </is>
      </c>
      <c r="D1859" t="n">
        <v>16</v>
      </c>
      <c r="E1859" t="n">
        <v>15</v>
      </c>
      <c r="F1859">
        <f>HYPERLINK("https://www.reddit.com/r/COVID19positive/comments/h7zfmd/scared_mom_diagnosed_with_covid/")</f>
        <v/>
      </c>
      <c r="G1859" t="inlineStr">
        <is>
          <t>2020-06-12 20:13:12</t>
        </is>
      </c>
      <c r="H1859" t="inlineStr">
        <is>
          <t>Tested Positive - Me</t>
        </is>
      </c>
    </row>
    <row r="1860">
      <c r="A1860" t="inlineStr">
        <is>
          <t>h80nxq</t>
        </is>
      </c>
      <c r="B1860" t="inlineStr">
        <is>
          <t>My smell and taste are still not functioning normally.</t>
        </is>
      </c>
      <c r="C1860" t="inlineStr">
        <is>
          <t>I started showing symptoms for the virus on March 18th and they didn’t really go away until mid April. However, the loss of my smell and taste have still not come back. I get GI issues and the occasional body ache also.
The only thing I can smell or taste is this really unpleasant aroma that is like rotting food. Any time I eat citrus or carbs, that awful taste/smell is back.
Other than that, I still cannot taste or smell properly. I am really concerned as it has been almost 3 months since I first showed symptoms.
Any ideas or is anyone else experiencing this?</t>
        </is>
      </c>
      <c r="D1860" t="n">
        <v>3</v>
      </c>
      <c r="E1860" t="n">
        <v>7</v>
      </c>
      <c r="F1860">
        <f>HYPERLINK("https://www.reddit.com/r/COVID19positive/comments/h80nxq/my_smell_and_taste_are_still_not_functioning/")</f>
        <v/>
      </c>
      <c r="G1860" t="inlineStr">
        <is>
          <t>2020-06-12 21:38:02</t>
        </is>
      </c>
      <c r="H1860" t="inlineStr">
        <is>
          <t>Tested Positive - Me</t>
        </is>
      </c>
    </row>
    <row r="1861">
      <c r="A1861" t="inlineStr">
        <is>
          <t>h814og</t>
        </is>
      </c>
      <c r="B1861" t="inlineStr">
        <is>
          <t>After effects of Covid</t>
        </is>
      </c>
      <c r="C1861" t="inlineStr">
        <is>
          <t>I've recovered from Covid but my husband and I are having a lot of symptoms that we think are related. The worse one for me is the constant smell of cigarette smoke. I researched and apparently that can happen after a bad cold or sinus infection that affects your olfactory system. I did lose complete sense of smell during Covid so I'm assuming that's where this has come from. It's driving me mad. I hate the smell of cigarettes. Has anyone else HD any weird symptoms after recovering?</t>
        </is>
      </c>
      <c r="D1861" t="n">
        <v>1</v>
      </c>
      <c r="E1861" t="n">
        <v>7</v>
      </c>
      <c r="F1861">
        <f>HYPERLINK("https://www.reddit.com/r/COVID19positive/comments/h814og/after_effects_of_covid/")</f>
        <v/>
      </c>
      <c r="G1861" t="inlineStr">
        <is>
          <t>2020-06-12 22:11:57</t>
        </is>
      </c>
      <c r="H1861" t="inlineStr">
        <is>
          <t>Tested Positive - Me</t>
        </is>
      </c>
    </row>
    <row r="1862">
      <c r="A1862" t="inlineStr">
        <is>
          <t>h81f99</t>
        </is>
      </c>
      <c r="B1862" t="inlineStr">
        <is>
          <t>Tested positive for covid about 2 weeks ago, any idea when sense of smell/taste might come back?</t>
        </is>
      </c>
      <c r="C1862" t="inlineStr">
        <is>
          <t>Hey guys, I woke up on June 3rd with a fever, sore throat, and cough, immediately got tested and a couple days later got my positive result. I've been self-isolating since I first got symptoms and haven't left my room since, and I've been lucky enough that I've only had relatively mild symptoms and almost 2 weeks later I'd say I'm mostly recovered, but I still don't have a sense of smell and taste. I've heard cases where those may not recover so I was kinda worried, anyone have a potential timeline for smell recovery? Thanks.</t>
        </is>
      </c>
      <c r="D1862" t="n">
        <v>5</v>
      </c>
      <c r="E1862" t="n">
        <v>22</v>
      </c>
      <c r="F1862">
        <f>HYPERLINK("https://www.reddit.com/r/COVID19positive/comments/h81f99/tested_positive_for_covid_about_2_weeks_ago_any/")</f>
        <v/>
      </c>
      <c r="G1862" t="inlineStr">
        <is>
          <t>2020-06-12 22:33:43</t>
        </is>
      </c>
      <c r="H1862" t="inlineStr">
        <is>
          <t>Tested Positive - Friends</t>
        </is>
      </c>
    </row>
    <row r="1863">
      <c r="A1863" t="inlineStr">
        <is>
          <t>h81hns</t>
        </is>
      </c>
      <c r="B1863" t="inlineStr">
        <is>
          <t>Tested positive alone and afraid - update</t>
        </is>
      </c>
      <c r="C1863" t="inlineStr">
        <is>
          <t>Hello, first I would like to thank everyone who responded and all your well wishes. You’ve been a great help. 
30M no health risks other than being about 40 pounds over weight. Symptoms started about . . 
6/7 - diarrhea, fatigue, muscle pain, and dizziness
6/8- early morning about 1 am I began to get extremely cold, shivering, and then a few hours later I had my first fever. Fever lasted throughout the night and finally went away no symptoms after about 6pm. Tried to call off work boss Didn’t think it was covid so he told me I needed to be at work. 
6/9 - no symptoms other than slight chest pressure talked to a friend about it he decided to come over we had 5 drinks nothing huge.
6/10- woke up feeling good other than a slight cough with phlegm. Around midnight I began to feel cold
Again, nostrils were burning as if I was inhaling dry ice, dizziness, and fatigue began to kick in as well.
6/11- by 3 am my fever is up to 103.3 I begin to worry and head to the urgent care to get tested. As of now fever is gone.
My oxygen levels were fine, my lungs were clear, my heart was clear. It just seems to be this nagging nagging chest pain which feels hallow for some reason. I cannot explain it. It just feels like air is trapped there. I can breathe fine. Unless I take
A deep breath. 
I’ve been taking DayQuil and theraflu to help with fever. Might add mucinex and baby aspirin.
What’s killing me is the solitude. My wife and 6 month old son went to her mothers as soon as I got symptoms. Due to her health history the slightest cold or fever can complicate things for her. 
I’m just afraid of dying alone I guess.
Update: Maybe some you do want to insult me based on the fact I went to work although I had no choice I was completely transparent or the fact that a friend of mine made the decision for themselves to come over when I no longer had symptoms for a little over 24 hours. And that’s fine. But understand that this is extremely hard on me already. Now that I’m positive I have to live with the decisions that I made and the fact that I might have exposed people. I’ve cried multiple times regarding all this already. But thank you for reminding me.
6/12- finally slept. I’ve been battling insomnia for a few days now. I slept 12 hours today and have not had any fever. Chest still feels strange, headaches are still around but I’m finally eating again. Had wings and taco bell to celebrate. Probably not the best foods but I needed something to remind me of normal living. 
Anxiety is calming a bit thanks to my new found love for Chef Ramsey and Hell’s Kitchen.</t>
        </is>
      </c>
      <c r="D1863" t="n">
        <v>8</v>
      </c>
      <c r="E1863" t="n">
        <v>16</v>
      </c>
      <c r="F1863">
        <f>HYPERLINK("https://www.reddit.com/r/COVID19positive/comments/h81hns/tested_positive_alone_and_afraid_update/")</f>
        <v/>
      </c>
      <c r="G1863" t="inlineStr">
        <is>
          <t>2020-06-12 22:38:54</t>
        </is>
      </c>
      <c r="H1863" t="inlineStr">
        <is>
          <t>Tested Positive - Me</t>
        </is>
      </c>
    </row>
    <row r="1864">
      <c r="A1864" t="inlineStr">
        <is>
          <t>h81uvw</t>
        </is>
      </c>
      <c r="B1864" t="inlineStr">
        <is>
          <t>What would I have done differently? My tips for protecting yourself from negative Covid-19 outcomes.</t>
        </is>
      </c>
      <c r="C1864" t="inlineStr">
        <is>
          <t>When I got really sick, I asked myself, "how does someone my age (21), with my BMI, get this sick from a disease most people told me would be mild?" Well, it turns out I meet a lot of risk factors. I'm a male, with high blood pressure (medication was causing hbp unknowingly),  type A blood, and an EX-smoker. Being of male sex means you have more androgens that the virus likes to attach to and spread. High blood pressure may increase cardiovascular issues. Type A blood is more prone to clotting and it is the more inflammatory blood type. Ex smokers account for 60% of people in French hospitals right now whereas smokers account for only 2%. This is in a population where 1/4th smoke. Nicotine could possibly slow the process of viral replication. Being an ex smoker means you may have all the negative long term effects of smoking with out the protective elements of nicotine.
What I would have done differently:
I would first stop taking my medication that was causing HPB (Wellbutrin XL), gotten blood pressure under control, exercised to help with heart health, and eaten a Vitamin C enriched diet. When I was sick I would have taken 80mg asprin daily for clotting, Tylenol for pain, and taken vitamin C and D supplements for endothelial cell function.
What you should do (those who have not contracted Covid-19 yet):
Make sure blood pressure and cholesterol are under control, attain healthy BMI, exercise daily, get vitamin D (if possible), eat a vitamin C enriched diet.
*Also, I'm not recommending you take up smoking. I'm just saying for anyone who smokes currently and wants to quit maybe opt for nicotine patches. 
It sucks being the guinea pig in this all, but hopefully my experience and the studies that came out can help others. Good luck.</t>
        </is>
      </c>
      <c r="D1864" t="n">
        <v>3</v>
      </c>
      <c r="E1864" t="n">
        <v>9</v>
      </c>
      <c r="F1864">
        <f>HYPERLINK("https://www.reddit.com/r/COVID19positive/comments/h81uvw/what_would_i_have_done_differently_my_tips_for/")</f>
        <v/>
      </c>
      <c r="G1864" t="inlineStr">
        <is>
          <t>2020-06-12 23:06:37</t>
        </is>
      </c>
      <c r="H1864" t="inlineStr">
        <is>
          <t>Tested Positive - Me</t>
        </is>
      </c>
    </row>
    <row r="1865">
      <c r="A1865" t="inlineStr">
        <is>
          <t>h823jq</t>
        </is>
      </c>
      <c r="B1865" t="inlineStr">
        <is>
          <t>Quick update re: long-hauler with neurologic symptoms</t>
        </is>
      </c>
      <c r="C1865" t="inlineStr">
        <is>
          <t>Previous post here: [https://www.reddit.com/r/COVID19positive/comments/h04rjk/longhauler\_with\_neurologic\_symptoms\_my\_thoughts/](https://www.reddit.com/r/COVID19positive/comments/h04rjk/longhauler_with_neurologic_symptoms_my_thoughts/)
(timing is off by about 2 days based on that post, because it took me a few days to compose it initially)
\-I am on day 4 of strict ketogenic diet, more plant-based. Less than 20g carbs per day, heavily skewed towards plant based fats (avocado, coconut, olive oil), no dairy. Eating mostly low carb veggies, fish, eggs, and fats. Also intermittent fasting (16:8- eating only between hours of 2pm-10pm). I think it's helping, because I noticed that I always felt worse the day after having a lot of sugar. I am in ketosis now because my sweat smells like nailpolish remover and I have the usual low-carb tension headache that lasts for a few days. But it's not nearly as bad as my other covid symptoms have been so I'll take it. CAVEAT: I'm watching my electrolytes with the keto diet- supplementing specifically with small doses of potassium, magnesium, and salt. Had a metabolic panel drawn yesterday so I'll see how things are sitting when I get those results. 
\-I decided to start myself on a 2 week taper of a moderate-high dose steroid. I'm not posting details about medication/dose because I can't give medical advice, and I don't want people trying it themselves without a doctor's advice. Do as I say, not as I do. I've gained a few pounds already on it, despite the keto diet. Necessary evil- water retention. 
\-Have been taking a very small dose of ativan (0.5mg) at bedtime since nights seem to be the worst for me, and a bad night sets me up for a bad day. I believe this is helping quite a bit with the neurologic symptoms (it always does). Rather than wait for them to get bad I'm just going to try to keep ahead of them for a few days with the small dose at bedtime. The improvement in sleep is very welcome and has me feeling much less depressed. 
\-absolutely no exerting myself. I walk around the house as needed, and that's it. I've had 4 relatively good days in a row, which is a record, and I'm not going to mess it up by trying to walk around the block. 
My tinnitus has improved markedly in the last 4 days. I don't know what I can attribute it to, but it feels like there is less inner ear pressure. My brain MRI did show fluid in both inner ears, and perhaps the steroid is reducing that inflammation. I'd say that the tinnitus is a 1/10 intensity now when upright, and 3/10 when supine (previously it was 5/10). 
My heart rate has gone down, much less random tachycardia however now I have the opposite issue- HR as low as 50 while up and walking around the house, combined with persistent very mild cardiac pain. My blood pressure is still adequate (118/78) and I'm not dizzy so I'm not headed in to the ED yet. But I'm watching my vitals closely. One side effect of steroids (rare) is slow heart rate, so that could be an explanation. Again, I'm being careful with potassium supplementation because this can affect heart rhythm, and steroids can cause loss of potassium, which is another reason I'm supplementing. Previous plan to get on a beta blocker to slow the tachycardia is on the backburner now but I'll revisit that if my heart rate starts shooting up again. Would be dangerous for me at this point with the already low HR. 
Cold sunburnt feeling across the bridge of my nose is back, along with stiffness along the back of my neck. However MOST of the buzzing sensation is gone from my body, with the exception of one small area in my left armpit. And the buzzing in the back of my scalp (occipital neuralgia) is completely gone, and that was my most miserable symptom. 
Fasciculations/fast twitching of left thigh has reduced in frequency by about 50%, now only notice about 5 times a day. 
I ordered the following supplements: NAC, turmeric, resveratrol, vitamin B complex, and am taking 25mg zinc and 2,000IU vitamin D. (will edit if I look through and find others). CAVEAT: vitamins are tough on your stomach and you can definitely get too much of a good thing. Always take with food, space them apart throughout different meals if you are taking more than a few, and don't assume that more is more. Zinc causes vomiting and diarrhea in large doses. Vitamin D can reach toxic levels with prolonged high dose supplementation. They aren't like candy, follow the dosing guidelines. I'm still taking 81mg aspirin. 
Overall I am feeling about 30% better than I was 4 days ago. I'm not even going to say that I'm optimistic, because I've been sick for almost 3 months and I'm just waiting to crash again. But I feel better emotionally because I have a plan for myself and I'm being proactive, it helps reduce the fear. 
I'll post again when I have results of the labs I ordered, and with further progress reports. I scheduled a visit with the ENT (ear specialist) to address the fluid in the ears but they can't see me until July 6. Fingers crossed, maybe the ears will have sorted themselves out before then. 
Lastly, just got my ED bill from the visit when I had my brain and neck scans when the neurologic symptoms first got bad. $3,500 after insurance. And I have good insurance! More insult to injury.</t>
        </is>
      </c>
      <c r="D1865" t="n">
        <v>1</v>
      </c>
      <c r="E1865" t="n">
        <v>23</v>
      </c>
      <c r="F1865">
        <f>HYPERLINK("https://www.reddit.com/r/COVID19positive/comments/h823jq/quick_update_re_longhauler_with_neurologic/")</f>
        <v/>
      </c>
      <c r="G1865" t="inlineStr">
        <is>
          <t>2020-06-12 23:25:03</t>
        </is>
      </c>
      <c r="H1865" t="inlineStr">
        <is>
          <t>Tested Positive - Me</t>
        </is>
      </c>
    </row>
    <row r="1866">
      <c r="A1866" t="inlineStr">
        <is>
          <t>h82jay</t>
        </is>
      </c>
      <c r="B1866" t="inlineStr">
        <is>
          <t>COVID+; Day 29 SOB, Mild Cough, Tachycardia, and Lightheadedness</t>
        </is>
      </c>
      <c r="C1866" t="inlineStr">
        <is>
          <t>On day 29, tested positive 3 times and finally tested negative last week. My main symptoms (fever, loss taste/smell, sore throat and body aches) subsided by day 8, and then the SOB and cough worsened. Went to the ED for SOB and tachycardia and feeling lightheaded, had a whole work up done, ddimer (-), troponin (-), BNP (-); EKG sinus tachycardia, CXR- normal, CBC/CMP WNL. Received a some IV steroids, two breathing treatments and told it was COVID related anxiety. 
Fast forward to a week later and my dizzy spells are worsening. Was getting up from a chair started coughing, became SOB, tachycardic and fell. I tried to grab onto the chain link fence for support, missed and sustained a laceration on my right index finger, cut to the bone exposing the tendon. Went inside once I felt my footing come back, cleaned it out and dressed it. I went back outside (down 8 stairs) to grab my phone and run to urgent care to get it sutured (tried dermabond but it was above the PIP joint and didn’t hold). As I was coming down the stairs I became super lightheaded and needed to sit down. I took my pulse manually and counted 162 before I screamed out for my wife for help. She came outside put the pulse ox on my while I was symptomatic. HR-183, 02- 83% RR-44. I became pale, diaphoretic, had ringing in my ears, facial numbness, tunnel vision and the feeling for impending doom. I kept telling my wife I felt like I was going to die. She kept saying I’m going to call 911 but I refused (the time they’d come and get me to the ED it be over) because they’d tell me the same thing they told me the previous week, that it’s just anxiety. After about 15 minutes I finally was able to stand up and went inside to lie down before going to get sutured.
I’ve been keeping in constant contact with my employee health department (I’m an ED nurse at large university hospital) and they keep telling me to rest and get better and offer retesting. So I called my PCP and asked if I can have a more in-depth work up done and that I’ve never felt like this before. She requested for me to have a holter (cardiac) monitor placed and requested an ECHO. In order to get this paid for by worker’s compensation I need to go through my employer. So I had my PCP contact my employee health department with her recs and they denied the referral. Employee health finally calls me in after expressing my concern about these episodes I’ve been experiencing. I finally go in for an in-person egalitarian by our worker’s compensation doctor. At this point they probably think I’m playing the system. I explain all my symptoms and the several episodes (described above) I keep experiencing with mild-moderate activity. He had me do a road test (walk the hallway with a pulse ox on) and I reported I started feeling SOB. He looks at the monitor and say my oxygen saturation was at 98% which is ideal. I sat down and he witnessed me drop down into the low 80s% after activity. I was finally referred to a pulmonologist for a further work up and felt vindicated that it’s not in my head and it’s not anxiety. 
Currently, I’m waiting for my consult with  a pulmonologist and hopefully will have more answers. 
How have all of you been feeling? Is this happening to anyone else? I feel like I’m going mad. I want to get back to work but also don’t know if I can meet the demand of these episodes keep happening. How can I be taking care of someone in the ED when I have intermittent episodes of SOB and dizziness? 
Background: 33 year old male, hx on anxiety on maintenance dose of Lexapro 10mg/daily. No other health conditions. I’m 6’2” 250lbs, active but chubby.  No heart or lung disease.
Let me know your thoughts.....</t>
        </is>
      </c>
      <c r="D1866" t="n">
        <v>1</v>
      </c>
      <c r="E1866" t="n">
        <v>11</v>
      </c>
      <c r="F1866">
        <f>HYPERLINK("https://www.reddit.com/r/COVID19positive/comments/h82jay/covid_day_29_sob_mild_cough_tachycardia_and/")</f>
        <v/>
      </c>
      <c r="G1866" t="inlineStr">
        <is>
          <t>2020-06-12 23:59:53</t>
        </is>
      </c>
      <c r="H1866" t="inlineStr">
        <is>
          <t>Tested Positive - Me</t>
        </is>
      </c>
    </row>
    <row r="1867">
      <c r="A1867" t="inlineStr">
        <is>
          <t>h82nzf</t>
        </is>
      </c>
      <c r="B1867" t="inlineStr">
        <is>
          <t>Is anyone experiencing a severe personality change?</t>
        </is>
      </c>
      <c r="C1867" t="inlineStr">
        <is>
          <t>Hi,
I started getting I'll in March and thought it was stress. I have many of the same symptoms you hall have mentioned and a personality change. It's a childlike version of me. Easily confused, forgetful, difficulty talking, trouble understanding simple things, my voice even sounds different. 
I've gone from being intelligent, articulate, independent woman, to someone who needs adult supervision. 
Is this happening to anyone else?</t>
        </is>
      </c>
      <c r="D1867" t="n">
        <v>5</v>
      </c>
      <c r="E1867" t="n">
        <v>53</v>
      </c>
      <c r="F1867">
        <f>HYPERLINK("https://www.reddit.com/r/COVID19positive/comments/h82nzf/is_anyone_experiencing_a_severe_personality_change/")</f>
        <v/>
      </c>
      <c r="G1867" t="inlineStr">
        <is>
          <t>2020-06-13 00:10:04</t>
        </is>
      </c>
      <c r="H1867" t="inlineStr">
        <is>
          <t>Presumed Positive - From Doctor</t>
        </is>
      </c>
    </row>
    <row r="1868">
      <c r="A1868" t="inlineStr">
        <is>
          <t>h82vz7</t>
        </is>
      </c>
      <c r="B1868" t="inlineStr">
        <is>
          <t>Day 24 since I got infected and my only symptom left is fatigue</t>
        </is>
      </c>
      <c r="C1868" t="inlineStr">
        <is>
          <t>When I got infected, I felt like crap constantly and for a long time. I had awful headaches, shortness of breath, chest pain, lost of smell and taste, and many more stuff. I was almost depressed about this thing and I was fearing the worst constantly. After almost a month, I've been feeling great. My only symptom left is some fatigue when I push myself a bit. My taste and smell are slowly getting back. My family also got infected and progress has been great. In case you need some hope out there, if you are feeling lonely and like the world's over, let me say that things eventually improve. You will get better, you are not alone on this.</t>
        </is>
      </c>
      <c r="D1868" t="n">
        <v>2</v>
      </c>
      <c r="E1868" t="n">
        <v>1</v>
      </c>
      <c r="F1868">
        <f>HYPERLINK("https://www.reddit.com/r/COVID19positive/comments/h82vz7/day_24_since_i_got_infected_and_my_only_symptom/")</f>
        <v/>
      </c>
      <c r="G1868" t="inlineStr">
        <is>
          <t>2020-06-13 00:27:38</t>
        </is>
      </c>
      <c r="H1868" t="inlineStr">
        <is>
          <t>Tested Positive - Me</t>
        </is>
      </c>
    </row>
    <row r="1869">
      <c r="A1869" t="inlineStr">
        <is>
          <t>h83qc0</t>
        </is>
      </c>
      <c r="B1869" t="inlineStr">
        <is>
          <t>12 weeks in and I'm almost completely better</t>
        </is>
      </c>
      <c r="C1869" t="inlineStr">
        <is>
          <t>Its been a long journey but I'm almost back to normal. (Thank God). Lowering my anxiety and pushing myself to work out really helped me to improve. Also I also devolped GERD which is just really bad acid reflux. Since it was uncontrolled it was delaying my recovery even further. But with that under control, anxiety down and my work out routine 100% back the only thing left really is some muscle aches around my lung which I assume will be gone in a matter of weeks. Keep pushing yourself. Stay positive.</t>
        </is>
      </c>
      <c r="D1869" t="n">
        <v>7</v>
      </c>
      <c r="E1869" t="n">
        <v>15</v>
      </c>
      <c r="F1869">
        <f>HYPERLINK("https://www.reddit.com/r/COVID19positive/comments/h83qc0/12_weeks_in_and_im_almost_completely_better/")</f>
        <v/>
      </c>
      <c r="G1869" t="inlineStr">
        <is>
          <t>2020-06-13 01:38:13</t>
        </is>
      </c>
      <c r="H1869" t="inlineStr">
        <is>
          <t>Presumed Positive - From Doctor</t>
        </is>
      </c>
    </row>
    <row r="1870">
      <c r="A1870" t="inlineStr">
        <is>
          <t>h85lxr</t>
        </is>
      </c>
      <c r="B1870" t="inlineStr">
        <is>
          <t>Give me hope please</t>
        </is>
      </c>
      <c r="C1870" t="inlineStr">
        <is>
          <t>Length of virus so far: 17 days
Age: 19
Underlying condition: Around 100 pounds overweight
Symptoms (all): Fever, diarhhea, extreme fatigue, feeling like I can't breath, feeling like something is attacking my lungs, loss of taste, loss of smell, shortness of breath, tachycardia, chest pain, heart palpitations, acid reflux, extreme anxiety, extreme panic, extreme depression, sleeplessness, insomnia. 
Tests done: CT scan, blood tests
Test results: Blood tests fine, "a bit of pneumonia" in the lungs "most likely caused by the virus". 
It is day 17 and the symptoms I have are some chest pains (very light), a feeling like sometimes I'm not getting enough oxygen, insomnia, acid reflux, and of course the anxiety and depression. All of these weird random symptoms mixed together make the perfect cocktail of uneasiness. Sometimes I will feel completely healed but the nights and mornings are when symptoms come back. I have extremely terrible mental health and need hope that this will pass completely. I literally sometimes think that I won't make it. Thinking about the time before I had the virus and I was normal makes me extremely depressed. I cry every single day and have panic attacks. I can't sleep. I am terrified that I am going to die. I know I won't but my anxiety is through the roof. Please help or give me some hope because I don't think I can take this toll on my mental health for much longer. I am even writing this on 3 hours of sleep. If you have any questions feel free to ask as well.</t>
        </is>
      </c>
      <c r="D1870" t="n">
        <v>73</v>
      </c>
      <c r="E1870" t="n">
        <v>69</v>
      </c>
      <c r="F1870">
        <f>HYPERLINK("https://www.reddit.com/r/COVID19positive/comments/h85lxr/give_me_hope_please/")</f>
        <v/>
      </c>
      <c r="G1870" t="inlineStr">
        <is>
          <t>2020-06-13 04:12:41</t>
        </is>
      </c>
      <c r="H1870" t="inlineStr">
        <is>
          <t>Tested Positive - Me</t>
        </is>
      </c>
    </row>
    <row r="1871">
      <c r="A1871" t="inlineStr">
        <is>
          <t>h86h0i</t>
        </is>
      </c>
      <c r="B1871" t="inlineStr">
        <is>
          <t>Endless sinus and head congestion. Started April. Negative Covid Test in May. Positive antibodies in June. Arghh!</t>
        </is>
      </c>
      <c r="C1871" t="inlineStr">
        <is>
          <t>Went into complete family lockdown in mid March. One evening in early April weird burning in nostrils. Next morning smell and taste completely gone.  No other symptoms apart from a few muscle aches which I thought were related to a home workout I did. Got hold of an pulse ox just in case. All good. Never went below 98% in the few days I used it. 
Began getting nose congestion and pressure in face, little lightheaded, brain fog kind of vibe. Thought it allergies as April usually sets me off. Started with my normal antihistamine, steroid sprays, Sudafed and nasal rinsing etc. Nothing really helped. Had ENT consultation who said likely allergies inflamed Sinuses etc. Keep doing same things. Will take time for inflammation to go down. 
Based on reading this forum. Took govt Covid test in mid May. Negative result. Obviously happy with that. Entire May symptoms continued despite a plethora of sprays, drops, steam etc. Congested high up in nose. Pressure around eyes. Lightheaded. 
Took abbots blood draw antibody test last week. Positive! 
So timeline:
Mid March lockdown. 
Early April lost smell. 
Mid May negative Covid test. 
Early June positive antibodies. 
Sinus pain and brain fog from April to now throughout without stopping. No other Covid symptoms at any time. 
Am I suffering from allergy induced inflammation and just happened to have very mild Covid at the same time?
Am I suffering from Covid induced nasal issues and just have allergies thrown in?
Basically. WTF is going on? I clearly don’t have Covid as had negative test but did have Covid at some point in past few months. 
Anyone else experiencing nasal and sinus mess even though negative for at least 6 weeks but likely more?
This whole saga has been going on far too long and beginning to really get me down.</t>
        </is>
      </c>
      <c r="D1871" t="n">
        <v>1</v>
      </c>
      <c r="E1871" t="n">
        <v>9</v>
      </c>
      <c r="F1871">
        <f>HYPERLINK("https://www.reddit.com/r/COVID19positive/comments/h86h0i/endless_sinus_and_head_congestion_started_april/")</f>
        <v/>
      </c>
      <c r="G1871" t="inlineStr">
        <is>
          <t>2020-06-13 05:17:46</t>
        </is>
      </c>
      <c r="H1871" t="inlineStr">
        <is>
          <t>Presumed Positive - From Test</t>
        </is>
      </c>
    </row>
    <row r="1872">
      <c r="A1872" t="inlineStr">
        <is>
          <t>h86j8u</t>
        </is>
      </c>
      <c r="B1872" t="inlineStr">
        <is>
          <t>How can a 67 year old female improve her immunity system to survive covid-19 ?</t>
        </is>
      </c>
      <c r="C1872" t="inlineStr">
        <is>
          <t>I am 13 and probably infected with corona along with my mother (43). My parents are divorced. My grandpa just died of corona he suffered for 3 hours before his heart failed. I tried to make them watch TV but there is so much death and corona on it. I really need some help.</t>
        </is>
      </c>
      <c r="D1872" t="n">
        <v>13</v>
      </c>
      <c r="E1872" t="n">
        <v>30</v>
      </c>
      <c r="F1872">
        <f>HYPERLINK("https://www.reddit.com/r/COVID19positive/comments/h86j8u/how_can_a_67_year_old_female_improve_her_immunity/")</f>
        <v/>
      </c>
      <c r="G1872" t="inlineStr">
        <is>
          <t>2020-06-13 05:22:10</t>
        </is>
      </c>
      <c r="H1872" t="inlineStr">
        <is>
          <t>Tested Positive</t>
        </is>
      </c>
    </row>
    <row r="1873">
      <c r="A1873" t="inlineStr">
        <is>
          <t>h86ub7</t>
        </is>
      </c>
      <c r="B1873" t="inlineStr">
        <is>
          <t>SOB 80 days+</t>
        </is>
      </c>
      <c r="C1873" t="inlineStr">
        <is>
          <t>I had mild symptoms back in March but only had case confirmed this week by a positive anti-body test. 
Every day in the afternoon I get the sensation of shortness of breath, I’m not breathless, just feel as though I have to breathe deeply like I’m not getting enough oxygen. I can still exercise and carry on with my day but it lasts a few hours. I’ve been putting it down to anxiety for months but now I’ve had my result it must be the tail end of Covid I guess. 
I bought an oxymeter in April and have always had readings of 97/98 so I must be getting enough oxygen.
Can any shed any light on it? My gp wasn’t worried as I can exercise, but he didn’t know I’d had Covid when we spoke.</t>
        </is>
      </c>
      <c r="D1873" t="n">
        <v>4</v>
      </c>
      <c r="E1873" t="n">
        <v>21</v>
      </c>
      <c r="F1873">
        <f>HYPERLINK("https://www.reddit.com/r/COVID19positive/comments/h86ub7/sob_80_days/")</f>
        <v/>
      </c>
      <c r="G1873" t="inlineStr">
        <is>
          <t>2020-06-13 05:43:16</t>
        </is>
      </c>
      <c r="H1873" t="inlineStr">
        <is>
          <t>Tested Positive</t>
        </is>
      </c>
    </row>
    <row r="1874">
      <c r="A1874" t="inlineStr">
        <is>
          <t>h86zyx</t>
        </is>
      </c>
      <c r="B1874" t="inlineStr">
        <is>
          <t>I want to take a test but they cost more than 200 dollars</t>
        </is>
      </c>
      <c r="C1874" t="inlineStr">
        <is>
          <t>Someone in my same work social group died last week because of covid, then yesterday someone else tested positive.
I really don't think I have it, but I just wanted to make sure. Turns out here in Mexico they are charging for the test. If I am willing to wait a day in line and 5 days for the results, it cost around 150. If I want them to come to my house and get the results faster it's around 250 dollars. It's crazy, I can't afford that right now, literally. 
Does anyone know a way to take a home made test or something of that style??</t>
        </is>
      </c>
      <c r="D1874" t="n">
        <v>1</v>
      </c>
      <c r="E1874" t="n">
        <v>6</v>
      </c>
      <c r="F1874">
        <f>HYPERLINK("https://www.reddit.com/r/COVID19positive/comments/h86zyx/i_want_to_take_a_test_but_they_cost_more_than_200/")</f>
        <v/>
      </c>
      <c r="G1874" t="inlineStr">
        <is>
          <t>2020-06-13 05:53:48</t>
        </is>
      </c>
      <c r="H1874" t="inlineStr">
        <is>
          <t>Tested Positive - Friends</t>
        </is>
      </c>
    </row>
    <row r="1875">
      <c r="A1875" t="inlineStr">
        <is>
          <t>h895b0</t>
        </is>
      </c>
      <c r="B1875" t="inlineStr">
        <is>
          <t>Dad tested positive</t>
        </is>
      </c>
      <c r="C1875" t="inlineStr">
        <is>
          <t>Hey guys, 
My dad's been having fever since the last three days and we got a test done as a precautionary measure, turns out he's positive. 
Now, the thing is, I didn't get tested because of the lack of testing kits here in India (it's messed up)  but I think I've been having MILD symptoms wayy before he has (we took a shocking amount of precaution with him only going out to his job (sanitizer brand) and grocery shopping with masks and handwash and washing all grocery with soap and water etc (basically ,a germophobe) 
Right now, he has only fever and no other symptom AT ALL and I have a little bit of cough 
What are the things we should be doing to absolutely minimize our chances of letting it fuck us up even more. 
(I would highly appreciate descriptions as elaborate as possible) 
I really am kind of scared and my dad is low key freaking out because we weren't prepared to be hit with the news and the fear spread around it only makes it worse. 
I wanna be as precautious as possible 
PS. does inhaling steam, gargles etc. Help?</t>
        </is>
      </c>
      <c r="D1875" t="n">
        <v>3</v>
      </c>
      <c r="E1875" t="n">
        <v>3</v>
      </c>
      <c r="F1875">
        <f>HYPERLINK("https://www.reddit.com/r/COVID19positive/comments/h895b0/dad_tested_positive/")</f>
        <v/>
      </c>
      <c r="G1875" t="inlineStr">
        <is>
          <t>2020-06-13 08:03:01</t>
        </is>
      </c>
      <c r="H1875" t="inlineStr">
        <is>
          <t>Tested Positive - Family</t>
        </is>
      </c>
    </row>
    <row r="1876">
      <c r="A1876" t="inlineStr">
        <is>
          <t>h89nhx</t>
        </is>
      </c>
      <c r="B1876" t="inlineStr">
        <is>
          <t>I don't want to do this anymore. Day 70</t>
        </is>
      </c>
      <c r="C1876" t="inlineStr">
        <is>
          <t>I had a whole week without symptoms. Yesterday I woke up with that familiar uncomfortable feeling in my chest and my cough is back. 
I don't want to do this anymore. I'm exhausted and tired. 
All I have to get me through is that my stats have been stable. O2 and blood pressure have been stable and my lungs consistently sound clear. 
I hate this. So much. I tested negative 3rd week of April. They were surprised by that result, at the time they weren't testing everyone. 
There is nothing for me to do at this point. I don't want to die from this. I just want to be back to my baseline normal and stay there. 😭</t>
        </is>
      </c>
      <c r="D1876" t="n">
        <v>135</v>
      </c>
      <c r="E1876" t="n">
        <v>118</v>
      </c>
      <c r="F1876">
        <f>HYPERLINK("https://www.reddit.com/r/COVID19positive/comments/h89nhx/i_dont_want_to_do_this_anymore_day_70/")</f>
        <v/>
      </c>
      <c r="G1876" t="inlineStr">
        <is>
          <t>2020-06-13 08:32:09</t>
        </is>
      </c>
      <c r="H1876" t="inlineStr">
        <is>
          <t>Presumed Positive - From Doctor</t>
        </is>
      </c>
    </row>
    <row r="1877">
      <c r="A1877" t="inlineStr">
        <is>
          <t>h89xib</t>
        </is>
      </c>
      <c r="B1877" t="inlineStr">
        <is>
          <t>Balancing Finals and Recovery</t>
        </is>
      </c>
      <c r="C1877" t="inlineStr">
        <is>
          <t>tldr : sophomore in college with finals rolling up. tested positive with prominent tiredness and sore throat, little to none of the other symptoms. asking for advice on how to balance still participating in finals while resting an adequate amount and improving my overall health. quarantining in an isolation facility. 
long post: 
i tested that i was positive from a test my family did when my mom was positive a week ago (since then she's been cleared to go home from her isolation facility). currently i'm staying at an isolation facility as my house is inadequate for home isolation.
my symptoms are mild flu, sore throat, and very massive tiredness. it doesn't matter if i sleep for 10 hours or 4 hours (i usually need around 6 to 7 hours to feel rested), doing basic things tire me out a lot. 
due to the tiredness, i can't do my finals (2 articles and several projects alongside tests for other subjects) quite as well as i wanted to. i have asked several of my profs/lecturers for leniency on my finals (those on the first few days of the finals season), and fortunately so far they've been merciful. 
my questions are as follows: 
1. should i inform my other lecturers ahead of time? i have no idea when or how i'll get discharged, so i want to play safe.
2. how do you rationalize to yourself that resting is important? again, tiredness makes my energy very low for the past couple of days, yet thers's a part of me that thinks i'm just being lazy and a pesky virus shouldn't make me fall down this hard. 
3. being in an isolation facility, most of my needs are taken care of, yet i still feel i need to be helpful to others as much as i can. how do i redirect this energy? 
thanks for reading and answering my questions!</t>
        </is>
      </c>
      <c r="D1877" t="n">
        <v>2</v>
      </c>
      <c r="E1877" t="n">
        <v>4</v>
      </c>
      <c r="F1877">
        <f>HYPERLINK("https://www.reddit.com/r/COVID19positive/comments/h89xib/balancing_finals_and_recovery/")</f>
        <v/>
      </c>
      <c r="G1877" t="inlineStr">
        <is>
          <t>2020-06-13 08:48:25</t>
        </is>
      </c>
      <c r="H1877" t="inlineStr">
        <is>
          <t>Tested Positive</t>
        </is>
      </c>
    </row>
    <row r="1878">
      <c r="A1878" t="inlineStr">
        <is>
          <t>h8b5uk</t>
        </is>
      </c>
      <c r="B1878" t="inlineStr">
        <is>
          <t>Covid revelation</t>
        </is>
      </c>
      <c r="C1878" t="inlineStr">
        <is>
          <t>In my sleep, I seriously had this thought. So many of us long-termers never had a cough or fever.  We have dealt with lung pain and shortness of breath for months on end. When you cough you cough the virus up and out. Those of us who haven’t coughed have virus particles and debris stuck in our lungs (for months!) and were in a constant state of immune vigilance, hence the inflammation. My dad thinks he had covid but he coughed for a few weeks relentlessly and he didn’t have it more than 2 weeks. What do you all think?</t>
        </is>
      </c>
      <c r="D1878" t="n">
        <v>4</v>
      </c>
      <c r="E1878" t="n">
        <v>11</v>
      </c>
      <c r="F1878">
        <f>HYPERLINK("https://www.reddit.com/r/COVID19positive/comments/h8b5uk/covid_revelation/")</f>
        <v/>
      </c>
      <c r="G1878" t="inlineStr">
        <is>
          <t>2020-06-13 09:57:29</t>
        </is>
      </c>
      <c r="H1878" t="inlineStr">
        <is>
          <t>Presumed Positive - From Doctor</t>
        </is>
      </c>
    </row>
    <row r="1879">
      <c r="A1879" t="inlineStr">
        <is>
          <t>h8bcca</t>
        </is>
      </c>
      <c r="B1879" t="inlineStr">
        <is>
          <t>Just tested positive this past Monday 6/8</t>
        </is>
      </c>
      <c r="C1879" t="inlineStr">
        <is>
          <t>Started off as a cough which came out of nowhere. I felt completely fine all day and then boom. Cough. Later that night I started getting hot but no real fever. I it felt like I was getting a cold with the sniffles and sinus pressure so I didn’t think it could be Covid. But my test came back positive. I completely lost my taste/smell senses for a couple days which was trippy. And the shortness of breath didn’t hit me until yesterday when I was trying to do laundry. But today I’m experiencing extreme nausea and migraine.</t>
        </is>
      </c>
      <c r="D1879" t="n">
        <v>29</v>
      </c>
      <c r="E1879" t="n">
        <v>30</v>
      </c>
      <c r="F1879">
        <f>HYPERLINK("https://www.reddit.com/r/COVID19positive/comments/h8bcca/just_tested_positive_this_past_monday_68/")</f>
        <v/>
      </c>
      <c r="G1879" t="inlineStr">
        <is>
          <t>2020-06-13 10:07:13</t>
        </is>
      </c>
      <c r="H1879" t="inlineStr">
        <is>
          <t>Tested Positive - Me</t>
        </is>
      </c>
    </row>
    <row r="1880">
      <c r="A1880" t="inlineStr">
        <is>
          <t>h8c0qe</t>
        </is>
      </c>
      <c r="B1880" t="inlineStr">
        <is>
          <t>Potential Covid</t>
        </is>
      </c>
      <c r="C1880" t="inlineStr">
        <is>
          <t>Hi y’all, hope you guys are on the road to recovery. I just have some quick questions. I woke up the other day with a sore throat and have been feeling warm with no fever for the past week or so. I had a small bout of loose stool  but nothing crazy. I just got tested yesterday and am feeling extremely anxious waiting for my results. I keep feeling a tightness in my chest like I have to breathe deeply to get a full breath. I’m not sure if i’m being paranoid or not. I also have this constant daze/feeling high almost behind my eyes where everything feels bright. Not sure if y’all have experienced any of this or i’m just being paranoid. I am a M/22 . Thanks for any and all comments.</t>
        </is>
      </c>
      <c r="D1880" t="n">
        <v>2</v>
      </c>
      <c r="E1880" t="n">
        <v>6</v>
      </c>
      <c r="F1880">
        <f>HYPERLINK("https://www.reddit.com/r/COVID19positive/comments/h8c0qe/potential_covid/")</f>
        <v/>
      </c>
      <c r="G1880" t="inlineStr">
        <is>
          <t>2020-06-13 10:44:21</t>
        </is>
      </c>
      <c r="H1880" t="inlineStr">
        <is>
          <t>Presumed Positive - From Doctor</t>
        </is>
      </c>
    </row>
    <row r="1881">
      <c r="A1881" t="inlineStr">
        <is>
          <t>h8cdlr</t>
        </is>
      </c>
      <c r="B1881" t="inlineStr">
        <is>
          <t>Tested negative for antibodies (LetsGetChecked), but definitely had it</t>
        </is>
      </c>
      <c r="C1881" t="inlineStr">
        <is>
          <t>**42M with childhood asthma (but gone for a long time), otherwise healthy and very active/fit.  Blood type A+
I recently received a test kit from UnitedHealth Group as part of participating in a survey they’re conducting.  It’s provided by “LetsGetChecked”, which I am very unfamiliar with, and I understand is a relatively small start up company.  Anyone else participate in this or know anything about LetsGetChecked?
I originally started feeling “sick” on the evening of March 7, but for about a week leading up to that, I remember having a pretty runny nose, but otherwise felt fine.  I probably felt my worst in the last week of March and the first week of April.  However, I’m now at day 98ish, and I would consider myself a long termer.  My partner has also had this, and although her experience may not have been quite as bad as mine, she is still dealing with ongoing fatigue and what seems to be arthritic pain.
Neither of us ever had fevers or severe coughing, but we both had chest pain, extreme fatigue, and SOB.  I also had strange sensations like chills and sweats and the feeling like my skin was being pulled or that I had a sunburn—mostly in the top of my back, shoulders, and the back of my neck.  Those symptoms gradually improved, but I continued to have ongoing breathing issues off and on, along with fatigue and the strange skin sensations mentioned above.  I eventually was able to get a test on March 28, and then another on April 10.  They were both negative, but likely way too late in my progression to show anything anyway.
I had gotten lots of tests related to my ongoing symptoms, including multiple blood draws, ECG, Stress Test, DVT Ultrasound, Chest X-rays, etc.  Everything seemed to come back normal— except that I noticed my April 20 blood panel showed a much lower Lymphocyte count and elevated Neutrophil counts (both out of the standard ranges) compared to bloodwork I had done in February (when I felt fine).  I asked my doc about this and she said it’s fine, but from what I have recently read, this is a marker of an active infection.  Since then I had another blood draw on May 26, and my levels are back in range, but still not quite where they were in February.  I was told I may have GERD, and was told to try Omeprazole (which I did).
When I asked my doc about the lingering “skin crawling” symptoms in April, she suggested this was stress/anxiety, and suggested I try Buspar (which I did).  I am now off it, as I think the side effects may have been not worth it.  I took it for about 6-7 weeks.  I also started trying an Albuterol inhaler whenever my breathing is challenged or I feel wheezy.  It seems to work ok, but it’s not always as effective.
We have two little kids, and they have never skipped a beat, which is a blessing.  But the downside is that it is difficult for us to get the proper rest we need, and we generally power through things anyway.  I started feeling pretty good on May 17, and then did about 4 consecutive days of intense exercise— including weightlifting, interval workouts, and a 3.5 mile run at 7 min/mile.  After that 4 day stretch I started feeling crazy, and although my earlier symptoms didn’t all return, I started getting really sore muscles, joints, and cramps/tingling/numbness in my extremities.  It was with this when I started getting worried about blood clots—especially as I had a lingering discomfort in my right calf.
At this point, my body aches/numbness have improved, but still have fatigue and off and on breathing annoyances.  My worst part of the day is between 11-5, and then my evenings are usually OK, and I tend to sleep much better now than I did back in April.  
I really appreciate all the stories shared here, and hope to hear more recovery stories from long termers out there.  I hope to share my own soon, and encourage everyone to stay positive and share as much as possible with others.</t>
        </is>
      </c>
      <c r="D1881" t="n">
        <v>26</v>
      </c>
      <c r="E1881" t="n">
        <v>20</v>
      </c>
      <c r="F1881">
        <f>HYPERLINK("https://www.reddit.com/r/COVID19positive/comments/h8cdlr/tested_negative_for_antibodies_letsgetchecked_but/")</f>
        <v/>
      </c>
      <c r="G1881" t="inlineStr">
        <is>
          <t>2020-06-13 11:03:54</t>
        </is>
      </c>
      <c r="H1881" t="inlineStr">
        <is>
          <t>Presumed Positive - From Doctor</t>
        </is>
      </c>
    </row>
    <row r="1882">
      <c r="A1882" t="inlineStr">
        <is>
          <t>h8f35f</t>
        </is>
      </c>
      <c r="B1882" t="inlineStr">
        <is>
          <t>Tested positive. I should not be leaving my property for any reason, right?</t>
        </is>
      </c>
      <c r="C1882" t="inlineStr">
        <is>
          <t>I have prescriptions ready at the pharmacy, but tested positive before I had a chance to pick them up. I called the pharmacy and was told they could mail them to me. For whatever reason they can't get any of my cards to go through so I can pay over the phone. The lady on the phone told me I could pick up curbside or go through the drive thru. Should I do that or should I just cancel my order and transfer the prescriptions to a mail order service?</t>
        </is>
      </c>
      <c r="D1882" t="n">
        <v>13</v>
      </c>
      <c r="E1882" t="n">
        <v>10</v>
      </c>
      <c r="F1882">
        <f>HYPERLINK("https://www.reddit.com/r/COVID19positive/comments/h8f35f/tested_positive_i_should_not_be_leaving_my/")</f>
        <v/>
      </c>
      <c r="G1882" t="inlineStr">
        <is>
          <t>2020-06-13 13:26:10</t>
        </is>
      </c>
      <c r="H1882" t="inlineStr">
        <is>
          <t>Tested Positive - Me</t>
        </is>
      </c>
    </row>
    <row r="1883">
      <c r="A1883" t="inlineStr">
        <is>
          <t>h8f4uo</t>
        </is>
      </c>
      <c r="B1883" t="inlineStr">
        <is>
          <t>Tested positive 6/11 on day 7 new symptom scaring me</t>
        </is>
      </c>
      <c r="C1883" t="inlineStr">
        <is>
          <t>Has anyone else experienced this hallow pain in chest when taking a deep breath or yawning. . it's like a weird hallow soar pain top of chest :/ 
scared shitless guys. .</t>
        </is>
      </c>
      <c r="D1883" t="n">
        <v>6</v>
      </c>
      <c r="E1883" t="n">
        <v>15</v>
      </c>
      <c r="F1883">
        <f>HYPERLINK("https://www.reddit.com/r/COVID19positive/comments/h8f4uo/tested_positive_611_on_day_7_new_symptom_scaring/")</f>
        <v/>
      </c>
      <c r="G1883" t="inlineStr">
        <is>
          <t>2020-06-13 13:28:34</t>
        </is>
      </c>
      <c r="H1883" t="inlineStr">
        <is>
          <t>Tested Positive - Me</t>
        </is>
      </c>
    </row>
    <row r="1884">
      <c r="A1884" t="inlineStr">
        <is>
          <t>h8f9o2</t>
        </is>
      </c>
      <c r="B1884" t="inlineStr">
        <is>
          <t>Just found out I tested positive..symptoms?</t>
        </is>
      </c>
      <c r="C1884" t="inlineStr">
        <is>
          <t>So..background. Im 35 female married with 2 kids full time in the home and a 3rd that is here intermittently. Im a nurse in LTC and took care of covid+ patients so obviously exposed. My work has been testing us due to exposure and our high risk population. I had 2 neg tests and now my last one from last week came back positive. I have been having INSANE itching to the palms of my hands for about the last 8 or so days. Anyone else that tested positive experience this? My only other symptom was a decreased sense of taste and smell that has come and gone for about 14 days that I chalked up to allergies. Never febrile. The positive test came as a shock. Im glad this place exists cause Im kinda freaking out a bit.</t>
        </is>
      </c>
      <c r="D1884" t="n">
        <v>18</v>
      </c>
      <c r="E1884" t="n">
        <v>8</v>
      </c>
      <c r="F1884">
        <f>HYPERLINK("https://www.reddit.com/r/COVID19positive/comments/h8f9o2/just_found_out_i_tested_positivesymptoms/")</f>
        <v/>
      </c>
      <c r="G1884" t="inlineStr">
        <is>
          <t>2020-06-13 13:35:32</t>
        </is>
      </c>
      <c r="H1884" t="inlineStr">
        <is>
          <t>Tested Positive - Me</t>
        </is>
      </c>
    </row>
    <row r="1885">
      <c r="A1885" t="inlineStr">
        <is>
          <t>h8g4li</t>
        </is>
      </c>
      <c r="B1885" t="inlineStr">
        <is>
          <t>info needed: Do asymptomatic people have antibodies?</t>
        </is>
      </c>
      <c r="C1885" t="inlineStr">
        <is>
          <t>4 members of my family whom i live with had Corona. My brother though got hot fever recovered in days. But mom took e longer (12 days) to start getting better and she's still not out of the woods yet. My father is deathly sick at nights but somehow better in morning and evenings. I'm hopeful he'll get better. I despite the primary take carer of my parents, did not get covid-19 symptoms. Not even a slight fever and i must say i got over confident and have been chain smoking joints due to stress thinking somehow im immune to this whole thing. It's been already 15-20 days since I've been exposed to the virus. Im in my early twenties and bigger than most people. My diet is also good and try to excersize. Im in my early 20s. 
The trend of donating plasma by recovered (ie. People with antibodies) is VERY big rn and everyone needs someone of my blood type. Considering im &amp;gt; 220 pounds maybe i can donate more blood than the average person. But i don't know if have antibodies. I don't have money for an antibody test rn but i can arrange if i need it. In general do asymptomatic people have anti bodies. Should i reply to Facebook posts of people looking for plasma donations of my blood type?</t>
        </is>
      </c>
      <c r="D1885" t="n">
        <v>2</v>
      </c>
      <c r="E1885" t="n">
        <v>9</v>
      </c>
      <c r="F1885">
        <f>HYPERLINK("https://www.reddit.com/r/COVID19positive/comments/h8g4li/info_needed_do_asymptomatic_people_have_antibodies/")</f>
        <v/>
      </c>
      <c r="G1885" t="inlineStr">
        <is>
          <t>2020-06-13 14:20:48</t>
        </is>
      </c>
      <c r="H1885" t="inlineStr">
        <is>
          <t>Tested Positive - Family</t>
        </is>
      </c>
    </row>
    <row r="1886">
      <c r="A1886" t="inlineStr">
        <is>
          <t>h8hs27</t>
        </is>
      </c>
      <c r="B1886" t="inlineStr">
        <is>
          <t>Tips to avoid getting infected? How did you or someone you know get the virus?</t>
        </is>
      </c>
      <c r="C1886" t="inlineStr">
        <is>
          <t>Anyone willing to share how they got infected?</t>
        </is>
      </c>
      <c r="D1886" t="n">
        <v>4</v>
      </c>
      <c r="E1886" t="n">
        <v>5</v>
      </c>
      <c r="F1886">
        <f>HYPERLINK("https://www.reddit.com/r/COVID19positive/comments/h8hs27/tips_to_avoid_getting_infected_how_did_you_or/")</f>
        <v/>
      </c>
      <c r="G1886" t="inlineStr">
        <is>
          <t>2020-06-13 15:50:23</t>
        </is>
      </c>
      <c r="H1886" t="inlineStr">
        <is>
          <t>Tested Positive - Friends</t>
        </is>
      </c>
    </row>
    <row r="1887">
      <c r="A1887" t="inlineStr">
        <is>
          <t>h8i6yj</t>
        </is>
      </c>
      <c r="B1887" t="inlineStr">
        <is>
          <t>I'm worried about my fiancé (M25). 6 days in and apparently the telling/worst days are days 8-12?</t>
        </is>
      </c>
      <c r="C1887" t="inlineStr">
        <is>
          <t>Someone please reassure me...
His symptoms are pretty mild so far and he's day 6. But he's immunocomprimised.. he takes Stellara for Crohns. 
Do we need to keep a close eye on him? Could this get a lot worse or if we're 6 days in and he's still mild but days 8-12 are supposedly the worst days? Is there any way to tell or know? He's 25 years old. 
I can't even sleep at night waiting to hear from him the next morning and update me.</t>
        </is>
      </c>
      <c r="D1887" t="n">
        <v>1</v>
      </c>
      <c r="E1887" t="n">
        <v>5</v>
      </c>
      <c r="F1887">
        <f>HYPERLINK("https://www.reddit.com/r/COVID19positive/comments/h8i6yj/im_worried_about_my_fiancé_m25_6_days_in_and/")</f>
        <v/>
      </c>
      <c r="G1887" t="inlineStr">
        <is>
          <t>2020-06-13 16:14:33</t>
        </is>
      </c>
      <c r="H1887" t="inlineStr">
        <is>
          <t>Tested Positive - Family</t>
        </is>
      </c>
    </row>
    <row r="1888">
      <c r="A1888" t="inlineStr">
        <is>
          <t>h8j14t</t>
        </is>
      </c>
      <c r="B1888" t="inlineStr">
        <is>
          <t>Extreme nausea, hard to eat or think about food without feeling like throwing up.</t>
        </is>
      </c>
      <c r="C1888" t="inlineStr">
        <is>
          <t>I had a chronic migraine and neck pain for about two weeks leading up to my initial hit of symptoms. On my first day, I felt weak, muscle soreness, kinda nauseous, and fatigue. My second day my symptoms were minuscule in comparison and I felt loads better. The third day, it hit me like a brick wall. I felt weak, it was kinda difficult to breathe, nauseous, coughing, etc. On day four, I felt incredibly nauseous like I was going to throw up all day and all night. I couldn’t eat food without feeling nauseous. I’m on day six now and I am struggling to eat and even think about food without feeling extremely nauseous. I have tried pepto and Tums with no luck. I am desperately trying to feel better so that I can rest and eat. Does anyone have any advice? Yes I have received a positive test for COVID-19.</t>
        </is>
      </c>
      <c r="D1888" t="n">
        <v>2</v>
      </c>
      <c r="E1888" t="n">
        <v>8</v>
      </c>
      <c r="F1888">
        <f>HYPERLINK("https://www.reddit.com/r/COVID19positive/comments/h8j14t/extreme_nausea_hard_to_eat_or_think_about_food/")</f>
        <v/>
      </c>
      <c r="G1888" t="inlineStr">
        <is>
          <t>2020-06-13 17:04:26</t>
        </is>
      </c>
      <c r="H1888" t="inlineStr">
        <is>
          <t>Tested Positive - Me</t>
        </is>
      </c>
    </row>
    <row r="1889">
      <c r="A1889" t="inlineStr">
        <is>
          <t>h8jwz5</t>
        </is>
      </c>
      <c r="B1889" t="inlineStr">
        <is>
          <t>Regular Cannabis users and Long haul Covid</t>
        </is>
      </c>
      <c r="C1889" t="inlineStr">
        <is>
          <t>For all the long haulers (&amp;gt;8 weeks) that used cannabis on a regular basis, did you have to stop using ?
[View Poll](https://www.reddit.com/poll/h8jwz5)</t>
        </is>
      </c>
      <c r="D1889" t="n">
        <v>2</v>
      </c>
      <c r="E1889" t="n">
        <v>2</v>
      </c>
      <c r="F1889">
        <f>HYPERLINK("https://www.reddit.com/r/COVID19positive/comments/h8jwz5/regular_cannabis_users_and_long_haul_covid/")</f>
        <v/>
      </c>
      <c r="G1889" t="inlineStr">
        <is>
          <t>2020-06-13 17:57:41</t>
        </is>
      </c>
      <c r="H1889" t="inlineStr">
        <is>
          <t>Presumed Positive - From Doctor</t>
        </is>
      </c>
    </row>
    <row r="1890">
      <c r="A1890" t="inlineStr">
        <is>
          <t>h8jxcv</t>
        </is>
      </c>
      <c r="B1890" t="inlineStr">
        <is>
          <t>Covid is affecting each one of my family members very differently</t>
        </is>
      </c>
      <c r="C1890" t="inlineStr">
        <is>
          <t>My girlfriend and my mother got tested last week for not feeling well while waiting for the test results my gf started having chest pains and a painic attack so I rushed her to the hospital where they said she had a pre heart attack! I was shocked because she’s only 27 and other wise healthy. The next day her result came back positive also my son was exposed and before this episode we took him to the pediatrician because he had a fever and getting red rashes around his face and body real scary shit this virus I’m assuming I’m positive because I’ve remained close contact with everybody throughout this and I have almost no symptoms and I’ve been smoking almost 7gs a day of marijuana and I’ve been taking Percocet daily..</t>
        </is>
      </c>
      <c r="D1890" t="n">
        <v>12</v>
      </c>
      <c r="E1890" t="n">
        <v>9</v>
      </c>
      <c r="F1890">
        <f>HYPERLINK("https://www.reddit.com/r/COVID19positive/comments/h8jxcv/covid_is_affecting_each_one_of_my_family_members/")</f>
        <v/>
      </c>
      <c r="G1890" t="inlineStr">
        <is>
          <t>2020-06-13 17:58:23</t>
        </is>
      </c>
      <c r="H1890" t="inlineStr">
        <is>
          <t>Tested Positive - Family</t>
        </is>
      </c>
    </row>
    <row r="1891">
      <c r="A1891" t="inlineStr">
        <is>
          <t>h8jxds</t>
        </is>
      </c>
      <c r="B1891" t="inlineStr">
        <is>
          <t>update on my stepfather. my sister passed away 4 days ago.</t>
        </is>
      </c>
      <c r="C1891" t="inlineStr">
        <is>
          <t>as i posted before my stepfather is sick. he's sick because covid-19. my stepdad was complaining of chest and back pain 2-3 weeks before it got worse. my mother told him go to the ER. he didn listen. instead he was arguing with my mother. so then one morning he couldnt breath and had to go to the ER. that was a week ago. his kidney failed, liver failed and his lungs collapsed. today i got a call from the hospital. they said his heart stopped so they had to resuscitate him and now he's back to Normal. blood pressure back to normal but he's still in critical condition. ive been crying for a week to the point where i have no more tears to cry. i feel numb. when i saw my stepfather in the hospital the second time (they only allow one person in) i was in shoke. as the doctors was talking to me i felt dizzy and i felt like fainting and i had to take off my mask and everything i had on because i couldnt breath. i dont know what happened to me. they had to sit me down and get me water to drink. i dont know what happened. 
my sister passed away 4 days ago. this has nothing to do with covid. but she had breast cancer. she was battling breast cancer for two years. when your family member passes away (depending on the type of person you are) you feel like you have less purpose in this world. my real father died when i was a kid so i never knew him. my stepfather became my father. i feel a loss. my heart is aching and hurting with sadness and sorrow. the struggling to move on is hard. you are close to someone and once they leave it gets hard because you cant see a world without them. sometimes i cry and hope she  jumps out the closet and laugh and tell me its a joke. but its not a joke. everytime i turn on the tv something reminds me of her. i hear a knock at the door and i think its my sister or stepdad. 
im not suicidal. i just feel like i have no purpose here. ive been suffering and the feeling of sadness and despair is the hardest. i cant believe my sister is gone. i cant believe my stepfather is in the hospital. everything is a shock. therapy sometimes dont help. my medication dont help. i was diagnosed with schizoaffective disorder, anxiety PTSD. the battle im constantly in over my mind and trying to stay sane. i really cant believe my sister is gone. it gets hard at night when i turn off the tv and im with my own thoughts and its silent in my room. that silent feeling makes me feel lonely. loneliness is the other worst feeling. i have family like everyone but my family is not the type of people i could lean on. this is something i have to try and get over myself. 
i feel like the have dark days ahead. when it rains i get scared. i feel like god is collecting his angels. all this pain i feel is destroying me from the inside.</t>
        </is>
      </c>
      <c r="D1891" t="n">
        <v>130</v>
      </c>
      <c r="E1891" t="n">
        <v>37</v>
      </c>
      <c r="F1891">
        <f>HYPERLINK("https://www.reddit.com/r/COVID19positive/comments/h8jxds/update_on_my_stepfather_my_sister_passed_away_4/")</f>
        <v/>
      </c>
      <c r="G1891" t="inlineStr">
        <is>
          <t>2020-06-13 17:58:26</t>
        </is>
      </c>
      <c r="H1891" t="inlineStr">
        <is>
          <t>Tested Positive - Family</t>
        </is>
      </c>
    </row>
    <row r="1892">
      <c r="A1892" t="inlineStr">
        <is>
          <t>h8k9m6</t>
        </is>
      </c>
      <c r="B1892" t="inlineStr">
        <is>
          <t>Generalized skin burning after FULL RECOVERY from COVID: Anyone else?</t>
        </is>
      </c>
      <c r="C1892" t="inlineStr">
        <is>
          <t>I am on day 90 now from first symptoms having fully recovered around day 22 (or so I thought) from COVID. In the past 3 weeks, I have and am experiencing a burning sensation on my skin, somewhat like sunburn, which seems to persist for most of the day/night. I feel fine otherwise - have normal energy levels, appetite, etc and no anxieties or any other issues. This sensation first appeared around the time I donated plasma at a local plasma center.
The sensation is at an outer level and there is no underlying redness or rash or burn. But it is more than annoying. Nowadays, there is nothing I love more than a cold water bath, which along with minimal clothing and AC+fan are really soothing to my burning skin. I don't have a clue why my skin is burning. Could it be an after-effect of COVID or could it be a reaction to the plasma donation (maybe citrate toxicity)?
I read some posts of folks on this subreddit who have "burning skin" as a symptom but I wonder how common this is and if what I am experiencing is something similar or different. Also, what is a good remedy for this condition? Moisturizers are not helping because my skin is not dry.
Thanks in advance for your replies, comments and suggestions.</t>
        </is>
      </c>
      <c r="D1892" t="n">
        <v>1</v>
      </c>
      <c r="E1892" t="n">
        <v>25</v>
      </c>
      <c r="F1892">
        <f>HYPERLINK("https://www.reddit.com/r/COVID19positive/comments/h8k9m6/generalized_skin_burning_after_full_recovery_from/")</f>
        <v/>
      </c>
      <c r="G1892" t="inlineStr">
        <is>
          <t>2020-06-13 18:18:48</t>
        </is>
      </c>
      <c r="H1892" t="inlineStr">
        <is>
          <t>Tested Positive - Me</t>
        </is>
      </c>
    </row>
    <row r="1893">
      <c r="A1893" t="inlineStr">
        <is>
          <t>h8kece</t>
        </is>
      </c>
      <c r="B1893" t="inlineStr">
        <is>
          <t>Day 28 started sweating like crazy in my sleep</t>
        </is>
      </c>
      <c r="C1893" t="inlineStr">
        <is>
          <t>So let me sum it up my main symptoms stopped around day 11 after that I had  wave 2 come on day 23 (throat pain and coughing) but then it stopped now since 2 nights  I'm feeling very fatigue and I am sweating like crazy in my sleep even though the ac is on the highest setting I also have type 2 diabetes also ive had diarrhea for 28days aswell 😅 to keep my self hydrated I am drinking  sports drinks  (Gatorade  zero sugar) so should  I be worried about the sweat?</t>
        </is>
      </c>
      <c r="D1893" t="n">
        <v>1</v>
      </c>
      <c r="E1893" t="n">
        <v>5</v>
      </c>
      <c r="F1893">
        <f>HYPERLINK("https://www.reddit.com/r/COVID19positive/comments/h8kece/day_28_started_sweating_like_crazy_in_my_sleep/")</f>
        <v/>
      </c>
      <c r="G1893" t="inlineStr">
        <is>
          <t>2020-06-13 18:27:01</t>
        </is>
      </c>
      <c r="H1893" t="inlineStr">
        <is>
          <t>Presumed Positive - From Test</t>
        </is>
      </c>
    </row>
    <row r="1894">
      <c r="A1894" t="inlineStr">
        <is>
          <t>h8kljc</t>
        </is>
      </c>
      <c r="B1894" t="inlineStr">
        <is>
          <t>Everything tastes terrible all of a sudden</t>
        </is>
      </c>
      <c r="C1894" t="inlineStr">
        <is>
          <t>To give a little backstory, believe I first got infected with COVID around the end of March. (Got tested May 25th, positive for antibody test). In the very first couple weeks I literally had no taste or smell, nothing tasted bad. Just neither sense. Throughout April and May my taste was very likely still changed, but nothing was unappetizing. I had eaten all the foods I typically eat with no problem. 
I believe two weeks ago I made myself hard boiled eggs, began to eat, and it tasted awful. Didn’t think too much of it, and everything else tasted fine (including sausage). Now around 6 days ago I made myself hard boiled eggs again and it tasted awful again, but this time the sausage tasted rancid as well. My family ate the same thing with no problems. This is when I decided to smell the eggs and they smelled disgusting, like I would throw up if I smelled it more than 5 seconds disgusting. Don’t know if this adds anything but my sense of smell is no longer gone but doesn’t feel at 100%. 
Finally, 3 days ago I had chicken, rice, and broccoli. No problems, yummy yummy. 2 days ago and yesterday I had salmon and rice, delicious. Now today, June 13th, I had new chicken, rice, and broccoli (prepared the exact same way) and both the chicken and broccoli tasted the same as the awful sausage. Going to the doctor this Monday because I have no idea what’s going on. I’d say COVID, but for my taste to change what feels like overnight, 3 months after infection? Posting here for anyone who has the same thing happening to them but can’t find any info, or if anybody else has insight on the topic. No my hygiene isn’t bad, no the food isn’t rotten, no I do not feel sick, and no I’m not pregnant (I’m a guy). 
TLDR: Ate home-cooked chicken 3 days ago, good. Ate new home-cooked chicken prepared the exact same way today, disgusting. Foods I eat all the time are now disgusting. Eggs smell god awful. What the hell happened to my taste/smell.</t>
        </is>
      </c>
      <c r="D1894" t="n">
        <v>11</v>
      </c>
      <c r="E1894" t="n">
        <v>99</v>
      </c>
      <c r="F1894">
        <f>HYPERLINK("https://www.reddit.com/r/COVID19positive/comments/h8kljc/everything_tastes_terrible_all_of_a_sudden/")</f>
        <v/>
      </c>
      <c r="G1894" t="inlineStr">
        <is>
          <t>2020-06-13 18:38:46</t>
        </is>
      </c>
      <c r="H1894" t="inlineStr">
        <is>
          <t>Tested Positive - Me</t>
        </is>
      </c>
    </row>
    <row r="1895">
      <c r="A1895" t="inlineStr">
        <is>
          <t>h8lpp3</t>
        </is>
      </c>
      <c r="B1895" t="inlineStr">
        <is>
          <t>Hey everybody I tested positive today</t>
        </is>
      </c>
      <c r="C1895" t="inlineStr">
        <is>
          <t>I’m nervous more so for my family sake because they’re older and I’m afraid I’ve probably infected then as well. They will be getting tested ASAP but I’m preparing for the worst. I’m a 19 year old male who is overweight but in pretty good condition. I’m nervous and don’t really know what to except. I’ve been dealing with it for a couple days and don’t really have many symptoms right now just mild shortness of breath and mild cough. Does anyone know roughly what I can except?</t>
        </is>
      </c>
      <c r="D1895" t="n">
        <v>2</v>
      </c>
      <c r="E1895" t="n">
        <v>7</v>
      </c>
      <c r="F1895">
        <f>HYPERLINK("https://www.reddit.com/r/COVID19positive/comments/h8lpp3/hey_everybody_i_tested_positive_today/")</f>
        <v/>
      </c>
      <c r="G1895" t="inlineStr">
        <is>
          <t>2020-06-13 19:46:33</t>
        </is>
      </c>
      <c r="H1895" t="inlineStr">
        <is>
          <t>Tested Positive</t>
        </is>
      </c>
    </row>
    <row r="1896">
      <c r="A1896" t="inlineStr">
        <is>
          <t>h8lwb2</t>
        </is>
      </c>
      <c r="B1896" t="inlineStr">
        <is>
          <t>Positive Test Today</t>
        </is>
      </c>
      <c r="C1896" t="inlineStr">
        <is>
          <t>As the title states I received my positive test results today. I started feeling clammy and a fever coming over me Tuesday evening. As the night progressed the fever got extremely high. I fought it through the night and forced myself to sweat it out in the morning. I went and got my test that same morning while holding a fever of 102 through that day, Wednesday. My fever broke down to 99 before going to sleep and has since stabilized. I have not had an elevated fever since that day. I feel fine all things considered besides mild congestion. I honestly just feel like I am coming off a cold. I had no breathing issues what so ever. I went to see a doctor as well to get a flu test which came back negative but she said my lungs sounded fine. Really all I want to know is what else can I expect from this? Have I had the worst or can this thing bounce back and make me ill again? What long term problems can I have? I am drinking a lot, taking vitamins, ibuprofen and resting. I am a healthy active 30 year old male with no pre existing conditions.</t>
        </is>
      </c>
      <c r="D1896" t="n">
        <v>2</v>
      </c>
      <c r="E1896" t="n">
        <v>8</v>
      </c>
      <c r="F1896">
        <f>HYPERLINK("https://www.reddit.com/r/COVID19positive/comments/h8lwb2/positive_test_today/")</f>
        <v/>
      </c>
      <c r="G1896" t="inlineStr">
        <is>
          <t>2020-06-13 19:58:05</t>
        </is>
      </c>
      <c r="H1896" t="inlineStr">
        <is>
          <t>Tested Positive - Me</t>
        </is>
      </c>
    </row>
    <row r="1897">
      <c r="A1897" t="inlineStr">
        <is>
          <t>h8mkni</t>
        </is>
      </c>
      <c r="B1897" t="inlineStr">
        <is>
          <t>My dad had covid19 but we all made it through</t>
        </is>
      </c>
      <c r="C1897" t="inlineStr">
        <is>
          <t xml:space="preserve">
A month ago, my father tested positive for covid 19, we all were depressed. We live in a small town with no hospital but a few clinics. They told my dad to maintain distance with everyone till they arrive and pick him up. As I told we live in a small town so they were not able to reach us. So we decided to take different rooms. We live in a small house with two bedrooms a kitchen and a living room. My mom was the most worried about us. We had no choice, so she took one of the bedroom that has a improper working fan and me and my sister had to take another bedroom and my dad took the living room. We were very sad and didn't knew what to do. My mom used tp sanitize everything before passing anything to our room (not food obviously) though she was not infected she used to stay away from us for our well being. A couple of days passed and no one was eating properly and then my dad noticed us. Then idk when but my whole family started sitting near the doors of our room and chat with each other. My dad was always laughing and told us not to worry he is our dad and very strong. He always used to make dad jokes and laugh he is such a happy soul. And then I used to cry sometimes at night why always the worst things happens with the beet people. My sister and I used to fight everytime before the pandemic started but now as we were locked into the same room she and I are very close to each other now. I bet my mom used to cry in her room too. She wasn't eating well either. Then after a few days a document came and it said that the particular laboratory which provided him the sample has been banned and shut down for giving false results to the patient. I still have the images of the report and I would love to share it. We all were so happy and also a little angry that we suffered so much because of the false reports. Although I am glad somehow that this happened now I am closer to my family than ever before. Previously I used to spend all my time on the phone but now I spend time with them. 
(I am not a native English speaker sorry for your sufferings :P)</t>
        </is>
      </c>
      <c r="D1897" t="n">
        <v>9</v>
      </c>
      <c r="E1897" t="n">
        <v>10</v>
      </c>
      <c r="F1897">
        <f>HYPERLINK("https://www.reddit.com/r/COVID19positive/comments/h8mkni/my_dad_had_covid19_but_we_all_made_it_through/")</f>
        <v/>
      </c>
      <c r="G1897" t="inlineStr">
        <is>
          <t>2020-06-13 20:43:08</t>
        </is>
      </c>
      <c r="H1897" t="inlineStr">
        <is>
          <t>Tested Positive - Family</t>
        </is>
      </c>
    </row>
    <row r="1898">
      <c r="A1898" t="inlineStr">
        <is>
          <t>h8pd7x</t>
        </is>
      </c>
      <c r="B1898" t="inlineStr">
        <is>
          <t>Exposed to someone with covid but showing 0 symptoms.</t>
        </is>
      </c>
      <c r="C1898" t="inlineStr">
        <is>
          <t>my friend recently got tested positive for corona virus she got tested this past tuesday after getting symptoms sunday i was with her 6/6 and she started getting symptoms 6/7 so its a pretty high chance that I am going to get it. it has been a week since i have seen her and i am not showing any serious symptoms except tiredness/fatigue and nothing else. I am going to get tested tomorrow, my other friend around us and her boyfriend both feel sick as well now and plan on getting tested. is it possible i am carrying it with 0 symptoms? really hoping I do not have it.</t>
        </is>
      </c>
      <c r="D1898" t="n">
        <v>1</v>
      </c>
      <c r="E1898" t="n">
        <v>5</v>
      </c>
      <c r="F1898">
        <f>HYPERLINK("https://www.reddit.com/r/COVID19positive/comments/h8pd7x/exposed_to_someone_with_covid_but_showing_0/")</f>
        <v/>
      </c>
      <c r="G1898" t="inlineStr">
        <is>
          <t>2020-06-14 00:31:44</t>
        </is>
      </c>
      <c r="H1898" t="inlineStr">
        <is>
          <t>Tested Positive - Friends</t>
        </is>
      </c>
    </row>
    <row r="1899">
      <c r="A1899" t="inlineStr">
        <is>
          <t>h8s1bp</t>
        </is>
      </c>
      <c r="B1899" t="inlineStr">
        <is>
          <t>does anyone have this type of face rash?</t>
        </is>
      </c>
      <c r="C1899" t="inlineStr">
        <is>
          <t>Among many of the other symptoms this is that has constantly persisted. I have excema on my elbows and have always dry and sensitive skin. But usually with cream it lessens and is no longer itchy. This seems to get worse in the sun and itchier the next day. The rash goes around my eyes on my forehead and sides of face. Also some on neck to, itchy scalp as well. 
I have tested a full Elias CTD scan for lupus etc (fearing it was a malar rash) and i tested negative. Also my inflammation marker *(ESR)* was completely normal. 
Not many others seem to be getting the face rash who I've talked to? Would be reassuring if others know what might be going on. 
Thanks so much x
Here is rash
[https://imgur.com/PuHM7Oa](https://imgur.com/PuHM7Oa)</t>
        </is>
      </c>
      <c r="D1899" t="n">
        <v>1</v>
      </c>
      <c r="E1899" t="n">
        <v>1</v>
      </c>
      <c r="F1899">
        <f>HYPERLINK("https://www.reddit.com/r/COVID19positive/comments/h8s1bp/does_anyone_have_this_type_of_face_rash/")</f>
        <v/>
      </c>
      <c r="G1899" t="inlineStr">
        <is>
          <t>2020-06-14 04:18:19</t>
        </is>
      </c>
      <c r="H1899" t="inlineStr">
        <is>
          <t>Presumed Positive - From Doctor</t>
        </is>
      </c>
    </row>
    <row r="1900">
      <c r="A1900" t="inlineStr">
        <is>
          <t>h8u48v</t>
        </is>
      </c>
      <c r="B1900" t="inlineStr">
        <is>
          <t>Hi long-termers - I've created a survey on the long-haul covid experience and various symptoms/timelines/experiences. Could you please fill it out?</t>
        </is>
      </c>
      <c r="C1900" t="inlineStr">
        <is>
          <t>The data/analytics are open to all after filling out the survey - thanks.
I'm not a medical professional but I feel the data being collected could be useful for any medical practitioners.
[https://docs.google.com/forms/d/e/1FAIpQLSekaZjnyX39SUeSB-yavDOOTPYBK1IZozxHx9DK7Jj9a7gBsg/viewform?usp=sf\_link](https://docs.google.com/forms/d/e/1FAIpQLSekaZjnyX39SUeSB-yavDOOTPYBK1IZozxHx9DK7Jj9a7gBsg/viewform?usp=sf_link)</t>
        </is>
      </c>
      <c r="D1900" t="n">
        <v>1</v>
      </c>
      <c r="E1900" t="n">
        <v>0</v>
      </c>
      <c r="F1900">
        <f>HYPERLINK("https://www.reddit.com/r/COVID19positive/comments/h8u48v/hi_longtermers_ive_created_a_survey_on_the/")</f>
        <v/>
      </c>
      <c r="G1900" t="inlineStr">
        <is>
          <t>2020-06-14 06:46:00</t>
        </is>
      </c>
      <c r="H1900" t="inlineStr">
        <is>
          <t>Presumed Positive - From Doctor</t>
        </is>
      </c>
    </row>
    <row r="1901">
      <c r="A1901" t="inlineStr">
        <is>
          <t>h8udfm</t>
        </is>
      </c>
      <c r="B1901" t="inlineStr">
        <is>
          <t>Please be careful, I believe reinfection May be possible.</t>
        </is>
      </c>
      <c r="C1901" t="inlineStr">
        <is>
          <t xml:space="preserve">
I’m not trying to scare anyone, but I just want to share my story so everybody can stay safe. I’m a 41 y/o f with no prior medical history who was in excellent health prior to contracting this virus. I became ill on March 7 with covid symptoms and have been battling them ever since. Although I feel much better I still have symptoms that come and go 14 weeks later. I still have intermittent chest tightness, dry cough, sob, tachycardia and and intolerance for activity, fatigue, body aches, headaches and some strange neuro symptoms. 
When I first contracted the virus on March 7th a close friend to me also became ill at the exact same time. We hug, share food, drinks, etc.  His only symptom was a severe headache that he described as “toxic” similar to a hangover. He said he it was a headache he has never experienced before and very unique in the way it made him feel. His headache lasted 2 weeks and passed and has felt great ever since. 
Recently he has been pressuring me to spend time together. I have been avoiding him because I didn’t want to get him sick and I’ve also been so sick I couldn’t imagine adding another illness to my already suffering body just in case he may be harboring something. 
Finally after over 3 months of my being ill and symptoms improving I saw him. Actually it was more like he just showed up at my house with food and told me enough time had gone by, we have/had the same thing and he’s not going to get sick again. I finally gave in, let him and we spent time together. We hugged, sat close together and he took the food I couldn’t eat and finished it. Although I didn’t agree with this, he is very stubborn and I decided it was probably okay as we both had the same thing 3 months ago. 
We it wasn’t ok. We saw each other last Thursday and on Saturday morning he woke up sick with the same toxic headache. We were both shocked. So far it feels the same for him. Hopefully he will recover faster and it won’t be as long but we don’t know yet. 
I’m just sharing this to let you know there is so much we don’t know. It leads me to believe that long haulers may have an active infection, rather than some of the other immune theories floating around out there.
Also leads me to believe we have limited immunity and you can get this twice. (Now I did test negative for the virus but I have been sick with all the symptoms for over 3 months that mirror people who have tested positive and tests have proved unreliable). 
Please be safe and continue to wear a mask and protect yourself and others even if you already had it and recovered. 🙏🏻</t>
        </is>
      </c>
      <c r="D1901" t="n">
        <v>1</v>
      </c>
      <c r="E1901" t="n">
        <v>50</v>
      </c>
      <c r="F1901">
        <f>HYPERLINK("https://www.reddit.com/r/COVID19positive/comments/h8udfm/please_be_careful_i_believe_reinfection_may_be/")</f>
        <v/>
      </c>
      <c r="G1901" t="inlineStr">
        <is>
          <t>2020-06-14 07:02:49</t>
        </is>
      </c>
      <c r="H1901" t="inlineStr">
        <is>
          <t>Presumed Positive - From Doctor</t>
        </is>
      </c>
    </row>
    <row r="1902">
      <c r="A1902" t="inlineStr">
        <is>
          <t>h8uv90</t>
        </is>
      </c>
      <c r="B1902" t="inlineStr">
        <is>
          <t>Day 75 and I’m finally feeling like myself. Hang in there !!!</t>
        </is>
      </c>
      <c r="C1902" t="inlineStr">
        <is>
          <t>I assume I was exposed on 3/28 at work from a + patient on the covid unit I work on. Tested + 4/3. To say the last 75 days have been a slow frustrating recovery is an understatement. My primary symptom was severe diarrhea, nausea and fatigue. Right after my 14 day quarantine I developed severe shortness of breathe and chest pain. I was terrified. It was so scary but i kept track of my pulse Ox, which never went below 95%. Chest x ray was normal. After 2 weeks of SOB/CP, the diarrhea and nausea returned and remained the rest of the time. I’m still having diarrhea but it’s usually once a day compared to the 10+ times a day I previously had. Blood work 2 weeks ago showed dehydration and electrolyte imbalance, but my inflammation markers were normal and ANA ( auto immune ) was negative. Everything I was feeling was from the virus, there wasn’t anything else causing it. I also tested + for antibodies. 
I want to share with you something my doctor said to me that really resonated with me. When i told him how frustrated I was that I felt bad for so long he said “ You are fighting the very virus that has killed so many people. Just because you are not in the hospital on a vent doesn’t mean you are not fighting the same virus . Be kind to your body. And when your body is done fighting this virus, continue to be kind to it because it just won a literal war. It will be tired, worn out and need a break. Don’t be mad you feel horrible, be proud of your body for fighting so hard” 
Hang in there everyone.</t>
        </is>
      </c>
      <c r="D1902" t="n">
        <v>1</v>
      </c>
      <c r="E1902" t="n">
        <v>24</v>
      </c>
      <c r="F1902">
        <f>HYPERLINK("https://www.reddit.com/r/COVID19positive/comments/h8uv90/day_75_and_im_finally_feeling_like_myself_hang_in/")</f>
        <v/>
      </c>
      <c r="G1902" t="inlineStr">
        <is>
          <t>2020-06-14 07:33:32</t>
        </is>
      </c>
      <c r="H1902" t="inlineStr">
        <is>
          <t>Tested Positive - Me</t>
        </is>
      </c>
    </row>
    <row r="1903">
      <c r="A1903" t="inlineStr">
        <is>
          <t>h8voa3</t>
        </is>
      </c>
      <c r="B1903" t="inlineStr">
        <is>
          <t>Today was the final straw: I’ve officially lost faith in doctors and I will do everything in my power to avoid them as much as possible for the rest of my life.</t>
        </is>
      </c>
      <c r="C1903" t="inlineStr">
        <is>
          <t>Day 83
32F
AB
I’ve just returned from the emergency room (for the second time, my first visit was in mid May) due to ongoing pain in the left arm, left shoulder blade, heart area, and centre chest. The doctor told me that he cannot see anything wrong in my ECG and my blood work, perhaps I should go see a psychologist or a psychiatrist. If feels like doctors are blaming anything that they can’t explain on anxiety. Are doctors not allowed to tell patients that they don’t know what’s wrong with them?
I’m starting to feel really depressed, instead of comforting sick people, doctors kick you while you’re down. I feel like maybe it’s time to just accept whatever my fate is. If my body can pull through, that’s great, but a part of me also feels like the world is just filled with so many horrible people, why would anyone want to live here, maybe leaving wouldn’t be so bad.</t>
        </is>
      </c>
      <c r="D1903" t="n">
        <v>3</v>
      </c>
      <c r="E1903" t="n">
        <v>249</v>
      </c>
      <c r="F1903">
        <f>HYPERLINK("https://www.reddit.com/r/COVID19positive/comments/h8voa3/today_was_the_final_straw_ive_officially_lost/")</f>
        <v/>
      </c>
      <c r="G1903" t="inlineStr">
        <is>
          <t>2020-06-14 08:19:23</t>
        </is>
      </c>
      <c r="H1903" t="inlineStr">
        <is>
          <t>Presumed Positive - From Doctor</t>
        </is>
      </c>
    </row>
    <row r="1904">
      <c r="A1904" t="inlineStr">
        <is>
          <t>h8wb3q</t>
        </is>
      </c>
      <c r="B1904" t="inlineStr">
        <is>
          <t>Guilt and shame</t>
        </is>
      </c>
      <c r="C1904" t="inlineStr">
        <is>
          <t>Recently had a covid scare at work and we got tested, my result came positive last night. No symptoms at all, I feel pretty fine. 
Mentally, not too well atm. I’m anxious about what people will think of me and if I’ll ever get my clients back at work when I’m done with this (I work with kids with autism). I’m anxious nobody will want to spend time with me or even be around me. :$ 
I know this is my brain but I’m not able to get rid of these thoughts. Is the stigma around covid real? If you’ve been infected and recovered, do people you know and love treat you differently?</t>
        </is>
      </c>
      <c r="D1904" t="n">
        <v>1</v>
      </c>
      <c r="E1904" t="n">
        <v>14</v>
      </c>
      <c r="F1904">
        <f>HYPERLINK("https://www.reddit.com/r/COVID19positive/comments/h8wb3q/guilt_and_shame/")</f>
        <v/>
      </c>
      <c r="G1904" t="inlineStr">
        <is>
          <t>2020-06-14 08:55:30</t>
        </is>
      </c>
      <c r="H1904" t="inlineStr">
        <is>
          <t>Tested Positive - Me</t>
        </is>
      </c>
    </row>
    <row r="1905">
      <c r="A1905" t="inlineStr">
        <is>
          <t>h8wgho</t>
        </is>
      </c>
      <c r="B1905" t="inlineStr">
        <is>
          <t>Day 75 - Craziest headaches i've ever had</t>
        </is>
      </c>
      <c r="C1905" t="inlineStr">
        <is>
          <t>I'm on day 75. Tested positive. 
I was symptom free for a week but then 4-5 days ago the burning chest sensation i've always had came back along with something new, these crazy intense headaches (or is it migraine ?). I've had mild headaches throughout this rollercoaster but they were not like these at all. The only way I can describe it is feeling like my head is under pressure as if I was wearing something thight and the pressure also feels really "hot" (my temp is only at 99.5F)
Does any other long-termer experience this too ? If so have you find anything to alleviate them ? They are seriously driving me insane..</t>
        </is>
      </c>
      <c r="D1905" t="n">
        <v>1</v>
      </c>
      <c r="E1905" t="n">
        <v>13</v>
      </c>
      <c r="F1905">
        <f>HYPERLINK("https://www.reddit.com/r/COVID19positive/comments/h8wgho/day_75_craziest_headaches_ive_ever_had/")</f>
        <v/>
      </c>
      <c r="G1905" t="inlineStr">
        <is>
          <t>2020-06-14 09:04:13</t>
        </is>
      </c>
      <c r="H1905" t="inlineStr">
        <is>
          <t>Tested Positive - Me</t>
        </is>
      </c>
    </row>
    <row r="1906">
      <c r="A1906" t="inlineStr">
        <is>
          <t>h8wk4a</t>
        </is>
      </c>
      <c r="B1906" t="inlineStr">
        <is>
          <t>Strep Throat and Covid 19 positive</t>
        </is>
      </c>
      <c r="C1906" t="inlineStr">
        <is>
          <t>So I go into the ER because my throat is killing me and I always get strep in June. They swab my throat as normal. Ask me if I've had a fever or anything which I haven't. Then they take a blood sample and do the nasal test which tickled but not as bad as I expected. Was surprised they even tested me for covid to be honest. Doctor and nurse came back into the room like 10 minutes later in hazard gear and it was like ohh.. I guess you're not wearing that just for the strep. About two hours after leaving the ER I lost my sense of taste and smell, but so far no other symptoms after two days and the antibiotics for the strep throat are working. Anyone else have a similar experience?</t>
        </is>
      </c>
      <c r="D1906" t="n">
        <v>2</v>
      </c>
      <c r="E1906" t="n">
        <v>41</v>
      </c>
      <c r="F1906">
        <f>HYPERLINK("https://www.reddit.com/r/COVID19positive/comments/h8wk4a/strep_throat_and_covid_19_positive/")</f>
        <v/>
      </c>
      <c r="G1906" t="inlineStr">
        <is>
          <t>2020-06-14 09:10:04</t>
        </is>
      </c>
      <c r="H1906" t="inlineStr">
        <is>
          <t>Tested Positive - Me</t>
        </is>
      </c>
    </row>
    <row r="1907">
      <c r="A1907" t="inlineStr">
        <is>
          <t>h8wqqn</t>
        </is>
      </c>
      <c r="B1907" t="inlineStr">
        <is>
          <t>Update - long term (~60 days) case fully recovered</t>
        </is>
      </c>
      <c r="C1907" t="inlineStr">
        <is>
          <t>Hey,
I thought i'd give an update to my case as this might give some hope to long-termers.
As you can see in my post history, I was sick for about 60 days. Although I did not end up in the hospital (thankfully) this is definitely the sickest I've ever been and it's only after that I realised how terrified I was. 
I had a wide range of symptoms (20 in total!), coming and going in waves, with the low fever a constant. The end of the illness was as strange as the rest tbh, the last real wave was not as rough as the previous ones (some weird joint/muscles/nerves pains), and was followed by a week of symptomless fever, plus some asthma problems. I am slightly asthmatic, but it didn't cause any issues during the illness itself, so that was strange! What changed really was that I felt better, like a weight had been lifted off me. It was not due to mental health improvements, because on the contrary, my anxiety flared up coupled with insomnia. A few weeks later now, I am fully better, I am able to go on long walks, work full days and exercise, as I used to. The only impacts now are that this has somehow cured me of one of my OCDs (still not sure if that is due to the high stress of fearing for my life or some kind of effect of the virus in the brain?!), and I still have mild skin problems (eczema on the cheeks, slowly receding, and psoriasis on the head) - so really nothing big.
In terms of medical tests, I had the PCR test at day 40 - negative with no surprise, the serology test at day 47 (IgG and IgM), negative too. My GP tested me for tuberculosis (I was vaccinated), turns out I produce a low amount of antibodies to that one as well. I found out my mom is in the same case, as they once revaccinated her for tuberculosis only to realise that although the test could not detect a lot of antibodies, these were efficient enough! So that could be an explanation for my negative serology.
I had a CT-scan of my upper body, my lungs, heart and various organs are in perfect health now, thankfully. The only issue they found was with my thyroid, but that's something we've been suspecting for a while so it was definitely not caused by Covid, just mentioning in case some people with thyroid issues have been worrying...
Anyway, I hope all of you will get better too, I think a lot about those of you who are still struggling with it after 80+ days, I wish you all and your loved ones the best :)</t>
        </is>
      </c>
      <c r="D1907" t="n">
        <v>4</v>
      </c>
      <c r="E1907" t="n">
        <v>17</v>
      </c>
      <c r="F1907">
        <f>HYPERLINK("https://www.reddit.com/r/COVID19positive/comments/h8wqqn/update_long_term_60_days_case_fully_recovered/")</f>
        <v/>
      </c>
      <c r="G1907" t="inlineStr">
        <is>
          <t>2020-06-14 09:21:19</t>
        </is>
      </c>
      <c r="H1907" t="inlineStr">
        <is>
          <t>Presumed Positive - From Doctor</t>
        </is>
      </c>
    </row>
    <row r="1908">
      <c r="A1908" t="inlineStr">
        <is>
          <t>h8x821</t>
        </is>
      </c>
      <c r="B1908" t="inlineStr">
        <is>
          <t>Roommate tested positive, asymptomatic. How likely is it that I have it?</t>
        </is>
      </c>
      <c r="C1908" t="inlineStr">
        <is>
          <t>Roommate tested positive on Friday and is quarantining elsewhere. She isn't experiencing symptoms, but her father tested positive on Monday and he has a mild/moderate case. I hadn't seen much of her, but we live in a small apartment. I got tested yesterday and am waiting the results. I am wondering about the likelihood of having it, as I have no symptoms, but am also concerned with receiving a false negative.
Should I still isolate for two weeks having been directly exposed even if I receive a negative result?
Thanks.</t>
        </is>
      </c>
      <c r="D1908" t="n">
        <v>2</v>
      </c>
      <c r="E1908" t="n">
        <v>7</v>
      </c>
      <c r="F1908">
        <f>HYPERLINK("https://www.reddit.com/r/COVID19positive/comments/h8x821/roommate_tested_positive_asymptomatic_how_likely/")</f>
        <v/>
      </c>
      <c r="G1908" t="inlineStr">
        <is>
          <t>2020-06-14 09:49:44</t>
        </is>
      </c>
      <c r="H1908" t="inlineStr">
        <is>
          <t>Tested Positive - Friends</t>
        </is>
      </c>
    </row>
    <row r="1909">
      <c r="A1909" t="inlineStr">
        <is>
          <t>h8xu8l</t>
        </is>
      </c>
      <c r="B1909" t="inlineStr">
        <is>
          <t>Asymptomatic - postive for both tests</t>
        </is>
      </c>
      <c r="C1909" t="inlineStr">
        <is>
          <t>This past Tuesday, my wife and I decided to take the IgG Antibody blood test for shits and giggles. My wife’s results came back as negative. I hadn’t gotten mine back due to some error. That Friday, we both needed to take the PCR nasal swab test since the wife would be giving birth the next day. 
Lo and behold, day of surgery, we find out that I tested positive and my wife was negative... I stayed for the delivery but was immediately sent home afterwards and now shes at the hospital alone with the little one. 
Today, I called the urgent care to see what happened with my blood test. They resolved the error and I finally got my lab results... tested Positive for Antibodies. 
Here’s the kicker... we were both asymptomatic the entire time. All of this came to us as an absolute shock.
So, my question is... what does this all mean? I came out as positive for antibodies, which means I already had covid but recovered? My PCR nasal swab also came out as positive, so does that mean I am still infectious and can get others sick? Or would the results of the PCR test just be from viral shedding and not necessarily mean that I am actively fighting off the virus? 
In the mean time, I will take extreme caution and isolate myself from the family and practice hygiene (disinfecting, mask wearing, etc.). I plan to re-take the test in one or two weeks from now to get an updated status. 
I guess my only concern would be if I am infectious or not. I feel totally fine, but absolutely do not want to get any one sick.</t>
        </is>
      </c>
      <c r="D1909" t="n">
        <v>3</v>
      </c>
      <c r="E1909" t="n">
        <v>3</v>
      </c>
      <c r="F1909">
        <f>HYPERLINK("https://www.reddit.com/r/COVID19positive/comments/h8xu8l/asymptomatic_postive_for_both_tests/")</f>
        <v/>
      </c>
      <c r="G1909" t="inlineStr">
        <is>
          <t>2020-06-14 10:25:35</t>
        </is>
      </c>
      <c r="H1909" t="inlineStr">
        <is>
          <t>Tested Positive - Me</t>
        </is>
      </c>
    </row>
    <row r="1910">
      <c r="A1910" t="inlineStr">
        <is>
          <t>h8y2iz</t>
        </is>
      </c>
      <c r="B1910" t="inlineStr">
        <is>
          <t>sun-burned face? Red nose, cheeks, burning in the face?</t>
        </is>
      </c>
      <c r="C1910" t="inlineStr">
        <is>
          <t>Hi everyone,
I am sorry for writing so many posts but this virus is full of surprises all the time.
Recently I started to have burning in my face, under the skin of my nose, and cheeks nearby, under the eyes.. Then the skin feels like it is sun-burnt, a bit red, or purplish, itchy and burning. I had it in my feet before, as well as hands, but never the face area. 
Has anyone else experienced this in the face area, if yes did it go away and how long it lasted? This is really frustrating. 
I appreciate any comment on this experience. Thank you!!</t>
        </is>
      </c>
      <c r="D1910" t="n">
        <v>3</v>
      </c>
      <c r="E1910" t="n">
        <v>8</v>
      </c>
      <c r="F1910">
        <f>HYPERLINK("https://www.reddit.com/r/COVID19positive/comments/h8y2iz/sunburned_face_red_nose_cheeks_burning_in_the_face/")</f>
        <v/>
      </c>
      <c r="G1910" t="inlineStr">
        <is>
          <t>2020-06-14 10:38:57</t>
        </is>
      </c>
      <c r="H1910" t="inlineStr">
        <is>
          <t>Presumed Positive - From Doctor</t>
        </is>
      </c>
    </row>
    <row r="1911">
      <c r="A1911" t="inlineStr">
        <is>
          <t>h8yrck</t>
        </is>
      </c>
      <c r="B1911" t="inlineStr">
        <is>
          <t>3 yr old son positive. I am negative so far.</t>
        </is>
      </c>
      <c r="C1911" t="inlineStr">
        <is>
          <t>So we learned on Wednesday June 10 that my son’s teacher fell ill on Friday June 5 and got positive test results Wednesday June 10. My son as been essentially asymptomatic, maybe some mild symptoms (Tired, less appetite). 
I had a low fever on Wed June 5 so I got tested that night. Still don’t have results back. At least 6 kids in his class have tested positive. 
I took my son and myself today June 14 to get rapid tests. His results were POSITIVE mine were negative. I have felt kind of crummy since June 10. 
I have a daughter too and a husband. They have no symptoms. I plan on getting all of us retested in a week. I sort of feel like a sitting duck. Will I get symptoms? Obviously this will make its way through our family. None of us has any high risk health issues and we have been self isolating since June 10. 
It’s weird when your kid tests positive but you aren’t positive yet...</t>
        </is>
      </c>
      <c r="D1911" t="n">
        <v>7</v>
      </c>
      <c r="E1911" t="n">
        <v>12</v>
      </c>
      <c r="F1911">
        <f>HYPERLINK("https://www.reddit.com/r/COVID19positive/comments/h8yrck/3_yr_old_son_positive_i_am_negative_so_far/")</f>
        <v/>
      </c>
      <c r="G1911" t="inlineStr">
        <is>
          <t>2020-06-14 11:17:37</t>
        </is>
      </c>
      <c r="H1911" t="inlineStr">
        <is>
          <t>Tested Positive</t>
        </is>
      </c>
    </row>
    <row r="1912">
      <c r="A1912" t="inlineStr">
        <is>
          <t>h8z7u2</t>
        </is>
      </c>
      <c r="B1912" t="inlineStr">
        <is>
          <t>For long haulers , I am just wondering if we all had some sort of immune system disorder prior to Covid</t>
        </is>
      </c>
      <c r="C1912" t="inlineStr">
        <is>
          <t>[deleted]
[View Poll](https://www.reddit.com/poll/h8z7u2)</t>
        </is>
      </c>
      <c r="D1912" t="n">
        <v>1</v>
      </c>
      <c r="E1912" t="n">
        <v>1</v>
      </c>
      <c r="F1912">
        <f>HYPERLINK("https://www.reddit.com/r/COVID19positive/comments/h8z7u2/for_long_haulers_i_am_just_wondering_if_we_all/")</f>
        <v/>
      </c>
      <c r="G1912" t="inlineStr">
        <is>
          <t>2020-06-14 11:43:51</t>
        </is>
      </c>
      <c r="H1912" t="inlineStr">
        <is>
          <t>Presumed Positive - From Doctor</t>
        </is>
      </c>
    </row>
    <row r="1913">
      <c r="A1913" t="inlineStr">
        <is>
          <t>h8z938</t>
        </is>
      </c>
      <c r="B1913" t="inlineStr">
        <is>
          <t>For long haulers, I am wondering if we have some kind of immune system disorder before covid..</t>
        </is>
      </c>
      <c r="C1913" t="inlineStr">
        <is>
          <t>Should have added voting options “none of the above”... sorry
[View Poll](https://www.reddit.com/poll/h8z938)</t>
        </is>
      </c>
      <c r="D1913" t="n">
        <v>3</v>
      </c>
      <c r="E1913" t="n">
        <v>5</v>
      </c>
      <c r="F1913">
        <f>HYPERLINK("https://www.reddit.com/r/COVID19positive/comments/h8z938/for_long_haulers_i_am_wondering_if_we_have_some/")</f>
        <v/>
      </c>
      <c r="G1913" t="inlineStr">
        <is>
          <t>2020-06-14 11:45:52</t>
        </is>
      </c>
      <c r="H1913" t="inlineStr">
        <is>
          <t>Presumed Positive - From Doctor</t>
        </is>
      </c>
    </row>
    <row r="1914">
      <c r="A1914" t="inlineStr">
        <is>
          <t>h8zjkb</t>
        </is>
      </c>
      <c r="B1914" t="inlineStr">
        <is>
          <t>Change in Taste and Smell?</t>
        </is>
      </c>
      <c r="C1914" t="inlineStr">
        <is>
          <t>It is very likely that I had Covid in mid to late March. I never did have a fever, but I had several other symptoms, including full body aches, dizziness, exhaustion, cough, loss of smell, shallow breathing, pain behind my eyes- the fun stuff. Anyways after I called the doctor I was told that I likely had it but my symptoms weren’t severe enough to come in so just stay home and self-quarantine. I recently had an antibody test done and it came back positive so there was my confirmation. 
Anyways, I am now a few months out from Covid. I had regained my sense of smell in April and since then things have been fine. Over the last three weeks however, I have noticed a really disturbing change in my sense of taste and smell. Everything’s like this really sickly sweet acidic flavor or scent. My Gatorade taste like battery acid, pizza sauce tastes sour, chapstick smells like garbage- the list goes on. At first I thought it was a side effect of some of the medications I’m on for a different medical issue, since I only started those recently, but change in senses is not listed as a side effect on any of those medications. It’s to the point where I have to force food down because it taste so bad, and I can barely shower because my shampoo smells like death and I don’t want it in my hair.  
Is anyone else experiencing this issue? If it isn’t Covid related, I’d like to rule out so I can get down to the root of the issue.</t>
        </is>
      </c>
      <c r="D1914" t="n">
        <v>4</v>
      </c>
      <c r="E1914" t="n">
        <v>18</v>
      </c>
      <c r="F1914">
        <f>HYPERLINK("https://www.reddit.com/r/COVID19positive/comments/h8zjkb/change_in_taste_and_smell/")</f>
        <v/>
      </c>
      <c r="G1914" t="inlineStr">
        <is>
          <t>2020-06-14 12:02:01</t>
        </is>
      </c>
      <c r="H1914" t="inlineStr">
        <is>
          <t>Presumed Positive - From Doctor</t>
        </is>
      </c>
    </row>
    <row r="1915">
      <c r="A1915" t="inlineStr">
        <is>
          <t>h8zukq</t>
        </is>
      </c>
      <c r="B1915" t="inlineStr">
        <is>
          <t>Coming out on the Other Side of COVID Anxiety</t>
        </is>
      </c>
      <c r="C1915" t="inlineStr">
        <is>
          <t>I feel like I have woken up out of the fog of COVID 19 anxiety. 
My brief experience: Presumed Positive
Starting in March, Sick (SOB, extreme fatigue, low fever, GI probs, high HR, headaches, etc) for 9 weeks. Tested 2x at 4wk (neg)- presumes false neg by doc; Tested at 7wk (neg); Tested Antibody at 9 wk (neg) by Infec. Disease specialist- no alternative illness found, found to not be bacterial a illness (was a virus) 
Still dealing with Post-Viral fatigue, but about 85% better
I probably didn’t have COVID, but had some random virus that knocked me out doubly coupled with anxiety
I’ve done a lot of reflection on the experience and here’s what I want people who are still in the thick of it to know:
No, you aren’t going to be sick forever; no, you aren’t going to die- unless you are hospitalized and your doctor is telling you these things, it’s not the case. I know this might be how you feel but remember your brain is telling you unrealistic, worst care scenario things. 
No, the doctors aren’t completely incompetent or unaware of the unknowns of COVID 19- they know that the tests aren’t great and there’s a variety of symptoms for the virus, however they see much more then you do and if they disagree with what you think is going on they may be right. If your doctor is finding nothing wrong and suggests you see a psychologist- SEE ONE. I can’t stress this enough. They don’t mean to think you’re making it up, they see your anxiety and KNOW that it is deeply related. Especially if you’re one of the people i’ve seen saying their “usually great” GP is telling them this. (Note: if your GP has been unacceptably apathetic or rude get a new one ASAP. Stop getting mad at ER docs for being short with you when you come into the EMERGENCY room with non-emergency). 
Yes, your anxiety is absolutely exacerbating your symptoms beyond what you think is possible- again this is not you “making it up” or exaggerating; look up “psychosomatic illness”.  Anxiety can cause and worsen VERY REAL illness. This needs to be dealt with because it is very bad for your health, but the answer may not be “medical” but rather mental (see a psychologist in conjunction with your GP)
I have seen a lot of medical denial and conspiracy on this thread. This is toxic. I was caught up in it for a while and I know in hindsight that it negatively affected me. (ie. The tests are not great but not complete garbage, absence of antibodies doesn’t cause prolonged illness, the docs are not lying about the requirements to get tested, ect). 
I have even seen some people question why life-saving interventions (ie trial meds and plasma) aren’t being deviated towards long termers (- if you are one of those people, please get your head out of your ass).
Everyone else, please try to recognize your anxiety and do something about it. 
I know many people will feel angry and invalidated by this, but understand that I am not telling you that you arent sick or you are crazy; i’m telling you that anxiety is causing very real illness and compromising your health, as it did to mine. 
Health is Not One Dimensional</t>
        </is>
      </c>
      <c r="D1915" t="n">
        <v>16</v>
      </c>
      <c r="E1915" t="n">
        <v>24</v>
      </c>
      <c r="F1915">
        <f>HYPERLINK("https://www.reddit.com/r/COVID19positive/comments/h8zukq/coming_out_on_the_other_side_of_covid_anxiety/")</f>
        <v/>
      </c>
      <c r="G1915" t="inlineStr">
        <is>
          <t>2020-06-14 12:18:54</t>
        </is>
      </c>
      <c r="H1915" t="inlineStr">
        <is>
          <t>Presumed Positive - From Doctor</t>
        </is>
      </c>
    </row>
    <row r="1916">
      <c r="A1916" t="inlineStr">
        <is>
          <t>h90f7j</t>
        </is>
      </c>
      <c r="B1916" t="inlineStr">
        <is>
          <t>First post here: Day 4 of being positive</t>
        </is>
      </c>
      <c r="C1916" t="inlineStr">
        <is>
          <t>27m, went to get tested after my fiancée (27f) tested positive. My results came back on her 2nd day of being positive.
We’re both trying to figure out how to quarantine while living together as we’ve both shown wildly different symptoms. She was initially vomiting and had steady diarrhea several days prior to getting tested with a low grade fever peaking at 99.6. Since then, all of those symptoms have died down and been replaced with coughing, mild congestion, and COMPLETE lack of taste. She says everything tastes like cardboard, even when she tried adding hot sauce.
I on the other hand have kept at 98.6 or lower consistently and only have mild and inconsistent chest pains, along with some congestion, coughing, and occasional sneezing.
Due to different symptoms and timelines, should we be quarantining separately? We have been so far but haven’t been able to get any concrete answers as to wether or not it’s going to really accomplish anything. TIA</t>
        </is>
      </c>
      <c r="D1916" t="n">
        <v>2</v>
      </c>
      <c r="E1916" t="n">
        <v>14</v>
      </c>
      <c r="F1916">
        <f>HYPERLINK("https://www.reddit.com/r/COVID19positive/comments/h90f7j/first_post_here_day_4_of_being_positive/")</f>
        <v/>
      </c>
      <c r="G1916" t="inlineStr">
        <is>
          <t>2020-06-14 12:50:56</t>
        </is>
      </c>
      <c r="H1916" t="inlineStr">
        <is>
          <t>Tested Positive - Me</t>
        </is>
      </c>
    </row>
    <row r="1917">
      <c r="A1917" t="inlineStr">
        <is>
          <t>h91rz6</t>
        </is>
      </c>
      <c r="B1917" t="inlineStr">
        <is>
          <t>Almost 4 months with this..im very scared..what is this?somebody else experiences this??</t>
        </is>
      </c>
      <c r="C1917" t="inlineStr">
        <is>
          <t>I have already read some of you guys experiencing different post viral syndromes..i had the virus early in february and ever since then i have been in this hell of a roller coaster.
Soon after the virus i developed chest pain (pericarditis)then joint pain, costochondritis(ribs pain) and leg soarness. If i do any activity as mild as standing up or walking my body hurts. I get waves of  very dark fatigues were i feel so sick i cant even talk. As somevody else pointed out in the chat this might be circulatory because i also experience pulsations/bubbly sensation in my body, but mainly legs, and some itching after walking.
 I was for 2 or 3 weeks getting better (mainly because i dont move from my bed)but i returned to my home country and that exertion made me go full flare today . My ribs, legs, wrists hurt a lot,my heart area is pinching in pain and i experience a horrible fatigue where i feel im going to die as someone is sucking the life out of me.
The pulsations or "bubbly feeling"never have ever been so active before..i feel it a lot in my legs everywhere and in different parts of the body like on my back or belly..i dont know if i should go to the ER bwcause of this..im already going to the inmunologist on thursday and i was planning to ask him for a referral to a vascular surgeon(or something like that)but i dont know if thats too much waiting..
Im so worried guys. I hate that i crashed again because i thought i was better but im scared is actually going worse..
Thanks for reading</t>
        </is>
      </c>
      <c r="D1917" t="n">
        <v>7</v>
      </c>
      <c r="E1917" t="n">
        <v>20</v>
      </c>
      <c r="F1917">
        <f>HYPERLINK("https://www.reddit.com/r/COVID19positive/comments/h91rz6/almost_4_months_with_thisim_very_scaredwhat_is/")</f>
        <v/>
      </c>
      <c r="G1917" t="inlineStr">
        <is>
          <t>2020-06-14 14:07:41</t>
        </is>
      </c>
      <c r="H1917" t="inlineStr">
        <is>
          <t>Tested Positive</t>
        </is>
      </c>
    </row>
    <row r="1918">
      <c r="A1918" t="inlineStr">
        <is>
          <t>h91wav</t>
        </is>
      </c>
      <c r="B1918" t="inlineStr">
        <is>
          <t>Details and advice from my long term experience with COVID-19</t>
        </is>
      </c>
      <c r="C1918" t="inlineStr">
        <is>
          <t>I got infected with the virus in early March, before it became a big problem in the UK. I have no idea how I got it. 
**My symptoms: a rather mild, dry cough**, which after around a week turned into a progressively worse wet cough. **The cough is still continuing**, though I found ways to manage it (see below). Around one month after I started coughing, I had a **very very bad headache and I threw up a few times**. When I woke up the next day, **I couldn't smell anything**. Anosmia lasted for over 2 weeks, and now, two months later, my smell is at 80% of its normal capacity. Throughout the past 3 months there were times when I felt a bit hot, but I never had a noticeable fever. Other than that, **I've had many cold spells**, maybe once every 10 days I would feel like **I've got a bad cold, with fatigue, lots of sneezing, a very runny nose and my face hurting**, but then it would largely go away the next day. These cold spells ended a few weeks ago.
The thing is, since the virus was not a huge problem here, and my cough wasn't very frequent, in the first few days I didn't take my symptoms seriously, although **I always made sure I coughed in my elbow or towards the ground, and I washed my hands multiple times per day**. In the end, none of the people with whom I live have shown any symptoms, but to be fair, we don't really get together, so they were never in close contact with me. I did my best to not cough in communal spaces, or cover my face completely when I couldn't help it. I also disinfected many surfaces. I hope they did get it and were lucky enough to be asymptomatic, but I think there is a real possibility they never got it, at least not from me.
The other people with whom I was in close contact in the first days of my symptoms also never developed any symptoms. Again, they were either asymptomatic, *or maybe coughing in your elbow or away from people does make a huge difference*.
Anyway, my advice to you if you develop symptoms:
* Treat it very seriously. Don't assume you don't have it. Even if your symptoms are not COVID-related, and you then also get the virus on top of your problems, then your situation could get very, very bad.
* Try not to leave your room. If you have to leave your room, try to make sure there is nobody else around. Do your best to clean the surfaces you touch or the ones close to you if you cough. If you have to walk past someone, try to hold your breath. I'm not joking.
* Being outside reduces my cough a lot. A well ventilated room also makes the cough better. But when I go outside, I cough maybe once or twice per hour. Inside, that number is probably 10-15.
* Hot tea and honey also seem to make my cough a bit better, but not significantly.
* I am perfectly capable of making physical effort. I went out today and did some pull ups and running. No issues at all. Combined with the fact that I was outside, the cough was not a problem.
* If you have a respiratory allergic reaction, it will not be fun. The worst times in this whole experience were when I developed an allergic cough on top of COVID cough. It becomes quite hard to breathe and the symptoms become very aggressive, but hopefully my allergy medication improves things within 30 minutes.</t>
        </is>
      </c>
      <c r="D1918" t="n">
        <v>5</v>
      </c>
      <c r="E1918" t="n">
        <v>3</v>
      </c>
      <c r="F1918">
        <f>HYPERLINK("https://www.reddit.com/r/COVID19positive/comments/h91wav/details_and_advice_from_my_long_term_experience/")</f>
        <v/>
      </c>
      <c r="G1918" t="inlineStr">
        <is>
          <t>2020-06-14 14:14:37</t>
        </is>
      </c>
      <c r="H1918" t="inlineStr">
        <is>
          <t>Tested Positive - Me</t>
        </is>
      </c>
    </row>
    <row r="1919">
      <c r="A1919" t="inlineStr">
        <is>
          <t>h92gd8</t>
        </is>
      </c>
      <c r="B1919" t="inlineStr">
        <is>
          <t>Symptoms Came Back ~month later</t>
        </is>
      </c>
      <c r="C1919" t="inlineStr">
        <is>
          <t>Hi everyone, I had COVID-19 at the beginning of May, along with the rest of my family. We were all symptom-free and released from isolation by our state by the end of May. Since then, I’ve been able to start working out again with no issues. However, yesterday I was moving my sister into her apartment and this morning I woke up with the same extreme fatigue and sore throat that I previously had. My mom also had extreme fatigue today too. I’m curious if I may have physically overexerted myself and caused my symptoms to come back. Has this happened to anyone else? If so, do you think I’m contagious again?</t>
        </is>
      </c>
      <c r="D1919" t="n">
        <v>3</v>
      </c>
      <c r="E1919" t="n">
        <v>22</v>
      </c>
      <c r="F1919">
        <f>HYPERLINK("https://www.reddit.com/r/COVID19positive/comments/h92gd8/symptoms_came_back_month_later/")</f>
        <v/>
      </c>
      <c r="G1919" t="inlineStr">
        <is>
          <t>2020-06-14 14:45:23</t>
        </is>
      </c>
      <c r="H1919" t="inlineStr">
        <is>
          <t>Tested Positive</t>
        </is>
      </c>
    </row>
    <row r="1920">
      <c r="A1920" t="inlineStr">
        <is>
          <t>h92oi2</t>
        </is>
      </c>
      <c r="B1920" t="inlineStr">
        <is>
          <t>"Recovered" from COVID, but INTENSELY fatigued...help?</t>
        </is>
      </c>
      <c r="C1920" t="inlineStr">
        <is>
          <t>Hi everyone,
I'm too exhausted to write a long post, but I'm immunocompromised/have a neurological autoimmune disease and tested positive for COVID-19 May 10. I had heart complications and have been recovering, still having breathing issues. My main problem though is...wow. I am more fatigued than I've ever been in my life. Day after day after day, all I can think about is sleep. It's been 4.5 weeks... Anyone have any clarity, herbal medicine protocol or other tips? I can hardly keep my eyes open. I'm supposed to start grad school in the fall, and could use any assistance or advice from those who have recovered!</t>
        </is>
      </c>
      <c r="D1920" t="n">
        <v>15</v>
      </c>
      <c r="E1920" t="n">
        <v>36</v>
      </c>
      <c r="F1920">
        <f>HYPERLINK("https://www.reddit.com/r/COVID19positive/comments/h92oi2/recovered_from_covid_but_intensely_fatiguedhelp/")</f>
        <v/>
      </c>
      <c r="G1920" t="inlineStr">
        <is>
          <t>2020-06-14 14:57:58</t>
        </is>
      </c>
      <c r="H1920" t="inlineStr">
        <is>
          <t>Tested Positive - Me</t>
        </is>
      </c>
    </row>
    <row r="1921">
      <c r="A1921" t="inlineStr">
        <is>
          <t>h93zzb</t>
        </is>
      </c>
      <c r="B1921" t="inlineStr">
        <is>
          <t>Anyone else having GI issues/GERD?</t>
        </is>
      </c>
      <c r="C1921" t="inlineStr">
        <is>
          <t>27 year old guy here.
First came down with symptoms (sore throat, low fever, congestion) on 3/9. Over the course of the next two weeks, racked up the full list of symptoms (intense SOB, diarrhea, nausea, vomiting, loss of taste/smell, chest pain). You name it, I had it. Was never able to get the PCR test (shortages in NYC), but received a positive antibody test on 4/6 from Mt. Sinai.
In April, I was diagnosed with bacterial pneumonia (likely a secondary infection) and was put on antibiotics.
While on the antibiotics, I started noticing GI problems returning (reflux, regurgitation, and diarrhea). I chalked it up to the antibiotics, but they continued and worsened over the next two weeks. It got to the point where I was unable to keep any food or water down without regurgitating it, and rapidly lost weight.
My PCP referred me to a gastroenterologist, who did an endoscopy and diagnosed me with GERD and esophagitis.
He put me on Nexium and famotidine to heal the erosion, which seemed to help for two weeks. I've been noticing that while the trouble swallowing has gone, I'm now left with a seeming inability to digest even the bland food in my diet, and I frequently regurgitate bits and pieces of whatever I eat. Around a week ago, I started having severe stomach cramps that began about 1-2 hours after eating, and it's gotten to the point where I'm not able to keep much down.
GI now wants to test for gastroparesis. I've been reading up on others' experiences here, and it seems like GI issues continue to be a problem, even months after supposed symptom resolution. Is anyone else dealing with this still? It's driving me nuts watching my recovered friends who are able to drink and eat whatever they want, and I'm sucking down Ensure and Pedialyte to keep myslef going.</t>
        </is>
      </c>
      <c r="D1921" t="n">
        <v>4</v>
      </c>
      <c r="E1921" t="n">
        <v>8</v>
      </c>
      <c r="F1921">
        <f>HYPERLINK("https://www.reddit.com/r/COVID19positive/comments/h93zzb/anyone_else_having_gi_issuesgerd/")</f>
        <v/>
      </c>
      <c r="G1921" t="inlineStr">
        <is>
          <t>2020-06-14 16:12:28</t>
        </is>
      </c>
      <c r="H1921" t="inlineStr">
        <is>
          <t>Tested Positive - Me</t>
        </is>
      </c>
    </row>
    <row r="1922">
      <c r="A1922" t="inlineStr">
        <is>
          <t>h94doc</t>
        </is>
      </c>
      <c r="B1922" t="inlineStr">
        <is>
          <t>Post-Viral, Went to the ER due to a 130 resting Heart Rate</t>
        </is>
      </c>
      <c r="C1922" t="inlineStr">
        <is>
          <t>Hello everyone,
It's been around 3 weeks since I tested positive and a week since my negative retest. I've been slowly recovering, however I've noticed this weird symptom. My resting heart rate was sitting at 100-130. I went to my doctor to get a checkup but they referred me to the ER because after walking a lap in the office, my heart rate was jumping up to 160. They were concerned that I had a blood clot. However, upon arriving, I was given a Chest X-ray and had some bloodwork done. They all came back normal, and I was discharged. The ER doctor told me I was possibly "dehydrated".
I was wondering if anyone else experienced something similar to that. I know it's not dehydration considering I drink 2L+ of gatorade each day. To this point, my resting heart rate hovers around 100-120, which is concerning. I honestly think part of it is due to anxiety, but there has to be something that links this to COVID.
Please let me know if anyone else has been experiencing this elevated heart rate.</t>
        </is>
      </c>
      <c r="D1922" t="n">
        <v>3</v>
      </c>
      <c r="E1922" t="n">
        <v>41</v>
      </c>
      <c r="F1922">
        <f>HYPERLINK("https://www.reddit.com/r/COVID19positive/comments/h94doc/postviral_went_to_the_er_due_to_a_130_resting/")</f>
        <v/>
      </c>
      <c r="G1922" t="inlineStr">
        <is>
          <t>2020-06-14 16:34:41</t>
        </is>
      </c>
      <c r="H1922" t="inlineStr">
        <is>
          <t>Tested Positive</t>
        </is>
      </c>
    </row>
    <row r="1923">
      <c r="A1923" t="inlineStr">
        <is>
          <t>h968ao</t>
        </is>
      </c>
      <c r="B1923" t="inlineStr">
        <is>
          <t>Dad tested positive (73 years old)</t>
        </is>
      </c>
      <c r="C1923" t="inlineStr">
        <is>
          <t>My dad tested positive 6 days ago and has been experiencing symptoms for about 10 days.  No fever or breathing issues, and oxygen has been consistently around 96 the last few days, but he's suffering from extreme fatigue, body aches, and has little to no appetite.  We were told he doesn't need to go to the hospital unless his oxygen is consistently below 93.  
I'm hoping he turns the corner soon.  It's very tough to see him so weak and in pain.  Anyone else dealt with a 70+ year old parent that tested positive, but hasn't been hospitalized?</t>
        </is>
      </c>
      <c r="D1923" t="n">
        <v>22</v>
      </c>
      <c r="E1923" t="n">
        <v>12</v>
      </c>
      <c r="F1923">
        <f>HYPERLINK("https://www.reddit.com/r/COVID19positive/comments/h968ao/dad_tested_positive_73_years_old/")</f>
        <v/>
      </c>
      <c r="G1923" t="inlineStr">
        <is>
          <t>2020-06-14 18:27:23</t>
        </is>
      </c>
      <c r="H1923" t="inlineStr">
        <is>
          <t>Tested Positive - Family</t>
        </is>
      </c>
    </row>
    <row r="1924">
      <c r="A1924" t="inlineStr">
        <is>
          <t>h96rvf</t>
        </is>
      </c>
      <c r="B1924" t="inlineStr">
        <is>
          <t>Heart damage</t>
        </is>
      </c>
      <c r="C1924" t="inlineStr">
        <is>
          <t>What should I be looking for for heart damage symptoms after having covid? Just anxious.</t>
        </is>
      </c>
      <c r="D1924" t="n">
        <v>2</v>
      </c>
      <c r="E1924" t="n">
        <v>7</v>
      </c>
      <c r="F1924">
        <f>HYPERLINK("https://www.reddit.com/r/COVID19positive/comments/h96rvf/heart_damage/")</f>
        <v/>
      </c>
      <c r="G1924" t="inlineStr">
        <is>
          <t>2020-06-14 19:01:35</t>
        </is>
      </c>
      <c r="H1924" t="inlineStr">
        <is>
          <t>Tested Positive - Me</t>
        </is>
      </c>
    </row>
    <row r="1925">
      <c r="A1925" t="inlineStr">
        <is>
          <t>h96tjx</t>
        </is>
      </c>
      <c r="B1925" t="inlineStr">
        <is>
          <t>Got my positive test result back today</t>
        </is>
      </c>
      <c r="C1925" t="inlineStr">
        <is>
          <t>So, had a fever and terrible headache on Friday morning when I woke up. Slight sinus congestion. Where I work there were two other people who had a fever so I went and got tested.  Got my results today and I am positive. I haven’t had a fever since Friday but have a few other symptoms. Some tightness in my chest and a bit of a cough and slight congestion. My hands and feet have been getting cold and tingling. Are these common issues? 
My dr. Is referring me to a clinical trial at the local University tomorrow. I’m a little freaked out but I feel like these are all mild symptoms so far.</t>
        </is>
      </c>
      <c r="D1925" t="n">
        <v>6</v>
      </c>
      <c r="E1925" t="n">
        <v>4</v>
      </c>
      <c r="F1925">
        <f>HYPERLINK("https://www.reddit.com/r/COVID19positive/comments/h96tjx/got_my_positive_test_result_back_today/")</f>
        <v/>
      </c>
      <c r="G1925" t="inlineStr">
        <is>
          <t>2020-06-14 19:04:37</t>
        </is>
      </c>
      <c r="H1925" t="inlineStr">
        <is>
          <t>Tested Positive</t>
        </is>
      </c>
    </row>
    <row r="1926">
      <c r="A1926" t="inlineStr">
        <is>
          <t>h97dcu</t>
        </is>
      </c>
      <c r="B1926" t="inlineStr">
        <is>
          <t>My dad is positive but doesn't want to go to the hospital. What can I do?</t>
        </is>
      </c>
      <c r="C1926" t="inlineStr">
        <is>
          <t>I just had a baby 4 days ago so my wife and I have been isolated from society. My dad waited for us to get back home to tell me my mom was having some symptoms and was taken to the hospital on Thursday. Now he called me to say he was having some shortness of breath and his temperature went down a bit. I told him to call 911 and go to the hospital, but he says he's feeling better and they wouldn't take him.
How can I convince him to call and go in?</t>
        </is>
      </c>
      <c r="D1926" t="n">
        <v>3</v>
      </c>
      <c r="E1926" t="n">
        <v>6</v>
      </c>
      <c r="F1926">
        <f>HYPERLINK("https://www.reddit.com/r/COVID19positive/comments/h97dcu/my_dad_is_positive_but_doesnt_want_to_go_to_the/")</f>
        <v/>
      </c>
      <c r="G1926" t="inlineStr">
        <is>
          <t>2020-06-14 19:38:52</t>
        </is>
      </c>
      <c r="H1926" t="inlineStr">
        <is>
          <t>Tested Positive - Family</t>
        </is>
      </c>
    </row>
    <row r="1927">
      <c r="A1927" t="inlineStr">
        <is>
          <t>h9ac7c</t>
        </is>
      </c>
      <c r="B1927" t="inlineStr">
        <is>
          <t>Post COVID recovery - depressed, fatigued (TW)</t>
        </is>
      </c>
      <c r="C1927" t="inlineStr">
        <is>
          <t>Hi, I got sick mid March and had multiple relapses, including pneumonia. I was not hospitalized but it took forever to recover. I didn't have three fever free days for months. Breathing issues and full body aches were my biggest complaints. It was really hard especially with the relapses. I kept getting almost sick enough to go to the hospital but (they were very crowded where I lived) never quite met the emergency criteria my doc had. At one point in mid April I felt so hopeless like I'd never recover, i'd die, I'd never see my friends or family again, that I attempted suicide, but I survived. Most of the people in my life don't know I attempted. My last test in May was finally negative but my scans showed lingering damage that I don't know how long will last. When I overexert (like trying to walk or ride a bike) at all, I have to use an inhaler (didn't have asthma pre-COVID) and I get chest tightness. I am dealing with a lot of fatigue, and depression, and loneliness, and agoraphobia. It's difficult to not be very independent, very functional, and to be very much alone. I live alone and barely even see my neighbors. I just wanted to share my experience because I don't know anyone else who had it as long as I did or had symptoms as bad as mine. And I was hoping some of y'all might understand.</t>
        </is>
      </c>
      <c r="D1927" t="n">
        <v>4</v>
      </c>
      <c r="E1927" t="n">
        <v>52</v>
      </c>
      <c r="F1927">
        <f>HYPERLINK("https://www.reddit.com/r/COVID19positive/comments/h9ac7c/post_covid_recovery_depressed_fatigued_tw/")</f>
        <v/>
      </c>
      <c r="G1927" t="inlineStr">
        <is>
          <t>2020-06-14 23:11:00</t>
        </is>
      </c>
      <c r="H1927" t="inlineStr">
        <is>
          <t>Tested Positive - Me</t>
        </is>
      </c>
    </row>
    <row r="1928">
      <c r="A1928" t="inlineStr">
        <is>
          <t>h9bs2a</t>
        </is>
      </c>
      <c r="B1928" t="inlineStr">
        <is>
          <t>Pneumonia with no symptoms?</t>
        </is>
      </c>
      <c r="C1928" t="inlineStr">
        <is>
          <t>My friend got covid-19 positive. He is 28 years old, no underlying diseases. He doesn’t have any symptoms at all. But yesterday doctors ran CT on his lungs and found a little bit of “ground glass” (or whatever it is called) on his lungs. My question is: is that possible? Why then he doesn’t feel that? Could doctors have made a mistake?</t>
        </is>
      </c>
      <c r="D1928" t="n">
        <v>1</v>
      </c>
      <c r="E1928" t="n">
        <v>10</v>
      </c>
      <c r="F1928">
        <f>HYPERLINK("https://www.reddit.com/r/COVID19positive/comments/h9bs2a/pneumonia_with_no_symptoms/")</f>
        <v/>
      </c>
      <c r="G1928" t="inlineStr">
        <is>
          <t>2020-06-15 01:02:36</t>
        </is>
      </c>
      <c r="H1928" t="inlineStr">
        <is>
          <t>Tested Positive - Friends</t>
        </is>
      </c>
    </row>
    <row r="1929">
      <c r="A1929" t="inlineStr">
        <is>
          <t>h9c7bx</t>
        </is>
      </c>
      <c r="B1929" t="inlineStr">
        <is>
          <t>Alcohol Post Recovery</t>
        </is>
      </c>
      <c r="C1929" t="inlineStr">
        <is>
          <t>Question for long termers- I am on day 20 of testing positive. My case was very mild and at the moment I do not have any long term symptoms. I am wondering however if returning back to normal life, like drinking alcohol on the weekends, could be a trigger of long term issues?? I’ve heard coffee can trigger it but I am curious if anyone has has any problems with alcohol (if you long term-ers could manage to even bring yourself to drink). Wish everyone a speedy recovery!</t>
        </is>
      </c>
      <c r="D1929" t="n">
        <v>1</v>
      </c>
      <c r="E1929" t="n">
        <v>11</v>
      </c>
      <c r="F1929">
        <f>HYPERLINK("https://www.reddit.com/r/COVID19positive/comments/h9c7bx/alcohol_post_recovery/")</f>
        <v/>
      </c>
      <c r="G1929" t="inlineStr">
        <is>
          <t>2020-06-15 01:36:10</t>
        </is>
      </c>
      <c r="H1929" t="inlineStr">
        <is>
          <t>Tested Positive - Me</t>
        </is>
      </c>
    </row>
    <row r="1930">
      <c r="A1930" t="inlineStr">
        <is>
          <t>h9cbdf</t>
        </is>
      </c>
      <c r="B1930" t="inlineStr">
        <is>
          <t>Week 13 new symptoms, I was 100% end of May.. very sad ..</t>
        </is>
      </c>
      <c r="C1930" t="inlineStr">
        <is>
          <t>Good morning fighters, today I really need some hope .. Starting my week 13, new symptoms last night... I have been trying so hard to stay positive upbeat for everyone around me. I hate when people feel sorry for me.. 
End of May I was ready to graduate from Covid, I was 100% , did long walks, energy was back, SOB disappeared, numb fingers resolved.. then 4th June, out of nowhere, I had bad inflammation on my cartilage/sternum, it gradually went away during the course of last week. 
Last evening my SOB (mild) came back, started to have muscle twitches (around left eye, thigh), and night sweat ( never in my life, nor during the 12 weeks of covid).. 
what more can I do to help symptoms and not get worse. are we going to have permanent nerve damage? 
sorry about this negative post, not in a happy place, slept 4 hours last night, 10hours conf call ahead , going to be a long day!</t>
        </is>
      </c>
      <c r="D1930" t="n">
        <v>1</v>
      </c>
      <c r="E1930" t="n">
        <v>23</v>
      </c>
      <c r="F1930">
        <f>HYPERLINK("https://www.reddit.com/r/COVID19positive/comments/h9cbdf/week_13_new_symptoms_i_was_100_end_of_may_very_sad/")</f>
        <v/>
      </c>
      <c r="G1930" t="inlineStr">
        <is>
          <t>2020-06-15 01:45:00</t>
        </is>
      </c>
      <c r="H1930" t="inlineStr">
        <is>
          <t>Presumed Positive - From Doctor</t>
        </is>
      </c>
    </row>
    <row r="1931">
      <c r="A1931" t="inlineStr">
        <is>
          <t>h9fgwq</t>
        </is>
      </c>
      <c r="B1931" t="inlineStr">
        <is>
          <t>Giving up mentally. Tested positive 6/11. Day 9.</t>
        </is>
      </c>
      <c r="C1931" t="inlineStr">
        <is>
          <t>This has taken a mental toll on me. Oxygen levels are fine fever still comes and goes. 
My wife and son have to leave so I could isolate. All I had was my dog and she passed away this morning.
The virus itself can wear and tear on your mind and now with my dog passing I just feel I’m done. .</t>
        </is>
      </c>
      <c r="D1931" t="n">
        <v>1</v>
      </c>
      <c r="E1931" t="n">
        <v>62</v>
      </c>
      <c r="F1931">
        <f>HYPERLINK("https://www.reddit.com/r/COVID19positive/comments/h9fgwq/giving_up_mentally_tested_positive_611_day_9/")</f>
        <v/>
      </c>
      <c r="G1931" t="inlineStr">
        <is>
          <t>2020-06-15 05:35:25</t>
        </is>
      </c>
      <c r="H1931" t="inlineStr">
        <is>
          <t>Tested Positive - Me</t>
        </is>
      </c>
    </row>
    <row r="1932">
      <c r="A1932" t="inlineStr">
        <is>
          <t>h9hxi6</t>
        </is>
      </c>
      <c r="B1932" t="inlineStr">
        <is>
          <t>How do you think this virus originated?</t>
        </is>
      </c>
      <c r="C1932" t="inlineStr">
        <is>
          <t>[removed]
[View Poll](https://www.reddit.com/poll/h9hxi6)</t>
        </is>
      </c>
      <c r="D1932" t="n">
        <v>0</v>
      </c>
      <c r="E1932" t="n">
        <v>2</v>
      </c>
      <c r="F1932">
        <f>HYPERLINK("https://www.reddit.com/r/COVID19positive/comments/h9hxi6/how_do_you_think_this_virus_originated/")</f>
        <v/>
      </c>
      <c r="G1932" t="inlineStr">
        <is>
          <t>2020-06-15 07:56:17</t>
        </is>
      </c>
      <c r="H1932" t="inlineStr">
        <is>
          <t>Presumed Positive - From Doctor</t>
        </is>
      </c>
    </row>
    <row r="1933">
      <c r="A1933" t="inlineStr">
        <is>
          <t>h9jb73</t>
        </is>
      </c>
      <c r="B1933" t="inlineStr">
        <is>
          <t>Reinfected after 3 months!</t>
        </is>
      </c>
      <c r="C1933" t="inlineStr">
        <is>
          <t>I, 41 m, first had symptoms March 7. I experienced a hangover headache with brain fog (I don’t drink alcohol) that lasted 5 days. My partner, 41 f, also got sick the same day. She has been sick ever since!!! After three months I finally kissed her and 36 hours later I woke up again with the same crazy headache and my cat couldn’t open her eyes she was so lethargic. She also vomited and had no appetite. My cat recovered the next morning. 
Reinfection is real</t>
        </is>
      </c>
      <c r="D1933" t="n">
        <v>0</v>
      </c>
      <c r="E1933" t="n">
        <v>19</v>
      </c>
      <c r="F1933">
        <f>HYPERLINK("https://www.reddit.com/r/COVID19positive/comments/h9jb73/reinfected_after_3_months/")</f>
        <v/>
      </c>
      <c r="G1933" t="inlineStr">
        <is>
          <t>2020-06-15 09:12:30</t>
        </is>
      </c>
      <c r="H1933" t="inlineStr">
        <is>
          <t>Presumed Positive - From Doctor</t>
        </is>
      </c>
    </row>
    <row r="1934">
      <c r="A1934" t="inlineStr">
        <is>
          <t>h9jf79</t>
        </is>
      </c>
      <c r="B1934" t="inlineStr">
        <is>
          <t>14 weeks in, still feeling rubbish</t>
        </is>
      </c>
      <c r="C1934" t="inlineStr">
        <is>
          <t>Hi,
I spoke with 111 in the U.K. mid march and was presumed positive (they weren’t really testing many people here then). I had a really rough ride and honestly thought it was going to kill me. Never had a temperature but had dry cough, SOB and my chest felt like someone was sitting on it all the time with barely any relief. A month or so past and I felt so much better, I was out for long walks and had energy and barely had any chest pain or shortness of breath but then suddenly it all just came back. This fatigue is like nothing i’ve ever known and i’ve had health problems in the past. I spoke with my doctor who did blood tests and found that my vitamin D levels were dangerously low, he put me on a 7 week course which I’m due to finish next week. It hasn’t helped at all. The fatigue, chest pain and SOB are still here and I am really at my wits end with it. This is my 14th week and I can’t get out of bed/off the sofa for longer than a few hours. I’ve read a lot of the posts on here of people with similar stories and it’s helping to know I’m not alone. I’m so tired of feeling like this. Do you think a trip to the doctor to have my chest checked again is wise? It’s a very isolating illness and I don’t want to worry my friends and family with my concerns.</t>
        </is>
      </c>
      <c r="D1934" t="n">
        <v>2</v>
      </c>
      <c r="E1934" t="n">
        <v>49</v>
      </c>
      <c r="F1934">
        <f>HYPERLINK("https://www.reddit.com/r/COVID19positive/comments/h9jf79/14_weeks_in_still_feeling_rubbish/")</f>
        <v/>
      </c>
      <c r="G1934" t="inlineStr">
        <is>
          <t>2020-06-15 09:18:28</t>
        </is>
      </c>
      <c r="H1934" t="inlineStr">
        <is>
          <t>Presumed Positive - From Doctor</t>
        </is>
      </c>
    </row>
    <row r="1935">
      <c r="A1935" t="inlineStr">
        <is>
          <t>h9jm96</t>
        </is>
      </c>
      <c r="B1935" t="inlineStr">
        <is>
          <t>Husband positive</t>
        </is>
      </c>
      <c r="C1935" t="inlineStr">
        <is>
          <t>It’s been 12 days since my husband took a test and came back positive. My test was negative. We have not been separated but neither of us are showing any symptoms. Do you think I definitely have it as this point? What are really the chances of both of us having it and been asymptomatic? I feel like my anxiety is making this worse than anything. Would I have shown symptoms by now? Was it a false negative? I took an antibody test but haven’t received results yet. Temperature taken this morning and no fever.</t>
        </is>
      </c>
      <c r="D1935" t="n">
        <v>1</v>
      </c>
      <c r="E1935" t="n">
        <v>15</v>
      </c>
      <c r="F1935">
        <f>HYPERLINK("https://www.reddit.com/r/COVID19positive/comments/h9jm96/husband_positive/")</f>
        <v/>
      </c>
      <c r="G1935" t="inlineStr">
        <is>
          <t>2020-06-15 09:28:58</t>
        </is>
      </c>
      <c r="H1935" t="inlineStr">
        <is>
          <t>Tested Positive - Family</t>
        </is>
      </c>
    </row>
    <row r="1936">
      <c r="A1936" t="inlineStr">
        <is>
          <t>h9llfi</t>
        </is>
      </c>
      <c r="B1936" t="inlineStr">
        <is>
          <t>Asymptomatic but still positive. Struggling.</t>
        </is>
      </c>
      <c r="C1936" t="inlineStr">
        <is>
          <t>I tested positive for a test taken on 5/29, found out on 6/2. I probably had symptoms for that first week but they went away pretty fast. I felt so great all last week, but needed to get retested in order to return to work. Went to a clinic on Friday and finally got results from it today, and I’m still positive! 
I thought I was stressed out before. I’m more stressed knowing that I’m asymptomatic at this point but am still testing positive. It’s very frustrating. I live with 3 other people and only one other tested positive. I don’t know what to do at this point. I probably have to start filing for unemployment. Not to mention it’s starting to take a toll on my mental health. I can’t do anything about this and that’s what scares me.</t>
        </is>
      </c>
      <c r="D1936" t="n">
        <v>1</v>
      </c>
      <c r="E1936" t="n">
        <v>4</v>
      </c>
      <c r="F1936">
        <f>HYPERLINK("https://www.reddit.com/r/COVID19positive/comments/h9llfi/asymptomatic_but_still_positive_struggling/")</f>
        <v/>
      </c>
      <c r="G1936" t="inlineStr">
        <is>
          <t>2020-06-15 11:13:06</t>
        </is>
      </c>
      <c r="H1936" t="inlineStr">
        <is>
          <t>Tested Positive - Me</t>
        </is>
      </c>
    </row>
    <row r="1937">
      <c r="A1937" t="inlineStr">
        <is>
          <t>h9mirl</t>
        </is>
      </c>
      <c r="B1937" t="inlineStr">
        <is>
          <t>How to keep ourselves safe? (Asking Serious Questions, Not Obvious)</t>
        </is>
      </c>
      <c r="C1937" t="inlineStr">
        <is>
          <t>Hello, I have recently lost my close-uncle to Coronavirus (with no underlying illness) which has made me question a lot of questions to expert and experienced people.
**QUESTION BEFORE TEST BUT DOUBTFUL OF BEING POSITIVE:**
A. Let's say, John is showing symptoms of Coronavirus already. He should be tested (for COVID-19) within how many days since suspected?
B. When we should consider having him admitted to the hospital?
**QUESTIONS AFTER TEST BEING POSITIVE:**
C. Now that John is tested positive with mild-symptoms, with no critical care is required. How do we make sure his health doesn't worsen?
D. How do we make sure when John needs to be hospitalized? (What are the signs)?
**QUESTIONS WHICH ARE NOT CATEGORIZED:**
E. I'm not trying to be doctor, but how do actually most of the coronavirus patients are getting saved/cured meanwhile, 2-5% of the patients are dying (which makes mostly those who were in critical care).
What actually decides that who's going to die and who's going to make it? (I am asking this question in a wrong way because of language barrier but I hope you understand what I'm trying to ask).
Because, my uncle and his family were all positive. But, only my uncle required the critical care meanwhile, his whole family is in home isolation (probably, going to be cured).
The question I'm asking is because, there is no cure right? There is no medicine? So how can almost 95% of the people are getting cured? What are the factors?
P.S.: I am sorry if I have asked any question which is wrong or not to ask, but I am right now bit grieving yet I have taken responsibility that no one else in my family dies because of it. Someone has to take the step to teach people at home about the right things and wrong things. People specially in many countries are lacking knowledge about it. (Specially South Asia) Also, my questions might make little off-sense because English is not my mother tongue.
Thanks.</t>
        </is>
      </c>
      <c r="D1937" t="n">
        <v>1</v>
      </c>
      <c r="E1937" t="n">
        <v>6</v>
      </c>
      <c r="F1937">
        <f>HYPERLINK("https://www.reddit.com/r/COVID19positive/comments/h9mirl/how_to_keep_ourselves_safe_asking_serious/")</f>
        <v/>
      </c>
      <c r="G1937" t="inlineStr">
        <is>
          <t>2020-06-15 12:01:28</t>
        </is>
      </c>
      <c r="H1937" t="inlineStr">
        <is>
          <t>Tested Positive - Family</t>
        </is>
      </c>
    </row>
    <row r="1938">
      <c r="A1938" t="inlineStr">
        <is>
          <t>h9new5</t>
        </is>
      </c>
      <c r="B1938" t="inlineStr">
        <is>
          <t>Burning throat? Wheezing?</t>
        </is>
      </c>
      <c r="C1938" t="inlineStr">
        <is>
          <t>This is probably my most annoying symptom. I had a sore throat but it’s been also burning. Just when I thought I was getting better I tried walking today but then was wheezing by the end. I’m usually fairly fit, but the burning throat and shortness of breath is at its worst today and it’s freaking me out. My friend said this is how her asthma feels. I’m at 98 on my pulse ox and emailed my doctor but am just curious if anyone else had this and how long it lasted? I’m usually not an anxious person with diseases since I work in a hospital but my anxiety is high with this one.</t>
        </is>
      </c>
      <c r="D1938" t="n">
        <v>1</v>
      </c>
      <c r="E1938" t="n">
        <v>8</v>
      </c>
      <c r="F1938">
        <f>HYPERLINK("https://www.reddit.com/r/COVID19positive/comments/h9new5/burning_throat_wheezing/")</f>
        <v/>
      </c>
      <c r="G1938" t="inlineStr">
        <is>
          <t>2020-06-15 12:47:44</t>
        </is>
      </c>
      <c r="H1938" t="inlineStr">
        <is>
          <t>Tested Positive - Me</t>
        </is>
      </c>
    </row>
    <row r="1939">
      <c r="A1939" t="inlineStr">
        <is>
          <t>h9pftk</t>
        </is>
      </c>
      <c r="B1939" t="inlineStr">
        <is>
          <t>My experience with this has been so odd</t>
        </is>
      </c>
      <c r="C1939" t="inlineStr">
        <is>
          <t>Days 1-3 of symptoms i was miserable. Fever/chills no appetite, extreme fatigue. Essentially just laid in bed and did nothing but be miserable for 3 days. Days 4-7 i’ve felt completely fine and fever free. However i did gain some very slight chest pains that are annoying at most and did lose my sense of taste and smell. I don’t know what to think of my experience with covid so far, has anyone else had an experience like this?</t>
        </is>
      </c>
      <c r="D1939" t="n">
        <v>1</v>
      </c>
      <c r="E1939" t="n">
        <v>29</v>
      </c>
      <c r="F1939">
        <f>HYPERLINK("https://www.reddit.com/r/COVID19positive/comments/h9pftk/my_experience_with_this_has_been_so_odd/")</f>
        <v/>
      </c>
      <c r="G1939" t="inlineStr">
        <is>
          <t>2020-06-15 14:35:42</t>
        </is>
      </c>
      <c r="H1939" t="inlineStr">
        <is>
          <t>Tested Positive - Me</t>
        </is>
      </c>
    </row>
    <row r="1940">
      <c r="A1940" t="inlineStr">
        <is>
          <t>h9q31o</t>
        </is>
      </c>
      <c r="B1940" t="inlineStr">
        <is>
          <t>Long termers need hope thread help!</t>
        </is>
      </c>
      <c r="C1940" t="inlineStr">
        <is>
          <t>37m va-usa no precond / So I have had this shit since mid March. My symptoms that remain are tachycardia, rash on palms and bottoms of feet, GI issues, insomnia, and random shit like head aches. Rona that c*nt.  Because improvements are so few and in between, I like many are losing hope. Where are the long termers that have made it out? Please give me some hope.. is there any new research that is positive? I can't read shit comparing this to aids. One step forward two steps back! I'm losing it and people are walking around like this shit ain't even real. Anyone have any good news come in guys I need something gotta keep that PMA.  Help!</t>
        </is>
      </c>
      <c r="D1940" t="n">
        <v>1</v>
      </c>
      <c r="E1940" t="n">
        <v>81</v>
      </c>
      <c r="F1940">
        <f>HYPERLINK("https://www.reddit.com/r/COVID19positive/comments/h9q31o/long_termers_need_hope_thread_help/")</f>
        <v/>
      </c>
      <c r="G1940" t="inlineStr">
        <is>
          <t>2020-06-15 15:11:34</t>
        </is>
      </c>
      <c r="H1940" t="inlineStr">
        <is>
          <t>Presumed Positive - From Doctor</t>
        </is>
      </c>
    </row>
    <row r="1941">
      <c r="A1941" t="inlineStr">
        <is>
          <t>h9qu61</t>
        </is>
      </c>
      <c r="B1941" t="inlineStr">
        <is>
          <t>What food still has flavor?</t>
        </is>
      </c>
      <c r="C1941" t="inlineStr">
        <is>
          <t>Hi all! Started to lose my sense of taste 5 days ago about 70% and every day I’m losing more. I have now pretty much entirely lost salty and savory but can still taste sweet and sour. I’m craving strongly flavored food (Indian, ginger, garlic) and was just casually snacking on cocktail onions lol anyone have tips on food that you can still taste? (Please say pizza 😭)</t>
        </is>
      </c>
      <c r="D1941" t="n">
        <v>1</v>
      </c>
      <c r="E1941" t="n">
        <v>7</v>
      </c>
      <c r="F1941">
        <f>HYPERLINK("https://www.reddit.com/r/COVID19positive/comments/h9qu61/what_food_still_has_flavor/")</f>
        <v/>
      </c>
      <c r="G1941" t="inlineStr">
        <is>
          <t>2020-06-15 15:52:08</t>
        </is>
      </c>
      <c r="H1941" t="inlineStr">
        <is>
          <t>Tested Positive - Me</t>
        </is>
      </c>
    </row>
    <row r="1942">
      <c r="A1942" t="inlineStr">
        <is>
          <t>h9secl</t>
        </is>
      </c>
      <c r="B1942" t="inlineStr">
        <is>
          <t>Am I overreacting?</t>
        </is>
      </c>
      <c r="C1942" t="inlineStr">
        <is>
          <t>21, male, sick for three weeks than delt with a whole bunch of pain and post viral stuff for now months. Had covid but then tested negative for antibodies. I'm concerned that when I go back to school in the fall ab reinfection bc I generated no antibodies and the Forbes articl e explains why a lot of long termers aren't generating antibodies. I'm at low risk because of my age but have other issues that makes my case more moderate than mild (male sex, mpb, immune system, high bp). Let's say I go back to school, get sick, than Im out for 2 months again? How would I catch up on school work. Do you think I'm overreacting if I decide to skip school and just work on other stuff at my house (I'm an artist)? I really don't want to get sick again and know I have to be more careful bc I have no antibodies</t>
        </is>
      </c>
      <c r="D1942" t="n">
        <v>1</v>
      </c>
      <c r="E1942" t="n">
        <v>10</v>
      </c>
      <c r="F1942">
        <f>HYPERLINK("https://www.reddit.com/r/COVID19positive/comments/h9secl/am_i_overreacting/")</f>
        <v/>
      </c>
      <c r="G1942" t="inlineStr">
        <is>
          <t>2020-06-15 17:17:50</t>
        </is>
      </c>
      <c r="H1942" t="inlineStr">
        <is>
          <t>Tested Positive - Me</t>
        </is>
      </c>
    </row>
    <row r="1943">
      <c r="A1943" t="inlineStr">
        <is>
          <t>h9sp1b</t>
        </is>
      </c>
      <c r="B1943" t="inlineStr">
        <is>
          <t>Relapsed again.. but some hope.</t>
        </is>
      </c>
      <c r="C1943" t="inlineStr">
        <is>
          <t>Hi all,
I posted last week about how I thought at the time I was almost fully recovered. I had gone on a walk 11 days in a row, was able to get pretty much all my work done during the day, and had moved on mentally.
Then this past Friday, entering week 13.. I crashed.. hard. I spent the majority of the weekend in bed, extremely frustrated about the whole thing. Honestly was probably the toughest few days of my life mentally.
But.. I started feeling better on Sunday night and today am basically back to where I was last week. Previous crashes had lasted a lot longer than this one. I also did a lot of thinking, and realized there were a few days last week where even though I thought I was fully recovered I really wasn't. For the past almost three months now I've been trying to brute force my way through this illness. It clearly is not working haha.
In my case, I wasn't honest with myself about how I truly felt, and I payed the price for it once again. I'm going to do things differently now, and will progress with activity reeeaaallllyyyyy slowly. I'm still confident I'll get through this.
I see a lot of posts on here where people talk about how they relapsed. Most if not all involve them getting better, or thinking they're getting better, and then jumping from doing nothing to going on long walks, runs, etc. in a matter of days.
For me, and seemingly for a lot of you all as well, our definition of 'success' is getting back to exercising. I'm trying to re-frame that to something more attainable at least for the next month or so.</t>
        </is>
      </c>
      <c r="D1943" t="n">
        <v>1</v>
      </c>
      <c r="E1943" t="n">
        <v>15</v>
      </c>
      <c r="F1943">
        <f>HYPERLINK("https://www.reddit.com/r/COVID19positive/comments/h9sp1b/relapsed_again_but_some_hope/")</f>
        <v/>
      </c>
      <c r="G1943" t="inlineStr">
        <is>
          <t>2020-06-15 17:34:36</t>
        </is>
      </c>
      <c r="H1943" t="inlineStr">
        <is>
          <t>Presumed Positive - From Doctor</t>
        </is>
      </c>
    </row>
    <row r="1944">
      <c r="A1944" t="inlineStr">
        <is>
          <t>h9tn1u</t>
        </is>
      </c>
      <c r="B1944" t="inlineStr">
        <is>
          <t>When is a perosn no longer contagious?</t>
        </is>
      </c>
      <c r="C1944" t="inlineStr">
        <is>
          <t>Is there any valid information on when a person is no longer contagious?</t>
        </is>
      </c>
      <c r="D1944" t="n">
        <v>1</v>
      </c>
      <c r="E1944" t="n">
        <v>7</v>
      </c>
      <c r="F1944">
        <f>HYPERLINK("https://www.reddit.com/r/COVID19positive/comments/h9tn1u/when_is_a_perosn_no_longer_contagious/")</f>
        <v/>
      </c>
      <c r="G1944" t="inlineStr">
        <is>
          <t>2020-06-15 18:29:36</t>
        </is>
      </c>
      <c r="H1944" t="inlineStr">
        <is>
          <t>Tested Positive - Family</t>
        </is>
      </c>
    </row>
    <row r="1945">
      <c r="A1945" t="inlineStr">
        <is>
          <t>h9ttvk</t>
        </is>
      </c>
      <c r="B1945" t="inlineStr">
        <is>
          <t>POLL: For all of the people with long-term symptoms, do any of you have antibodies?</t>
        </is>
      </c>
      <c r="C1945" t="inlineStr">
        <is>
          <t>It's been brought to my attention by others in this group that many long-termers in fact do not have antibodies, and may have never made them. I know the test is not 100 % accurate, but I am curious on peoples feedback here.</t>
        </is>
      </c>
      <c r="D1945" t="n">
        <v>1</v>
      </c>
      <c r="E1945" t="n">
        <v>158</v>
      </c>
      <c r="F1945">
        <f>HYPERLINK("https://www.reddit.com/r/COVID19positive/comments/h9ttvk/poll_for_all_of_the_people_with_longterm_symptoms/")</f>
        <v/>
      </c>
      <c r="G1945" t="inlineStr">
        <is>
          <t>2020-06-15 18:40:26</t>
        </is>
      </c>
      <c r="H1945" t="inlineStr">
        <is>
          <t>Tested Positive</t>
        </is>
      </c>
    </row>
    <row r="1946">
      <c r="A1946" t="inlineStr">
        <is>
          <t>h9u0s1</t>
        </is>
      </c>
      <c r="B1946" t="inlineStr">
        <is>
          <t>Exactly 1 week in. Asking for reassurance and hope for those who have recovered.</t>
        </is>
      </c>
      <c r="C1946" t="inlineStr">
        <is>
          <t>I am 23, 180 lbs and worked out 5-6 days before the lockdown and am for the most part pretty healthy. I got this virus when I went to a restaurant/bar 2 Saturday’s ago. First saw symptoms 3 days after on a Tuesday with a small cough. And now 7 days after my first symptoms I feel like it’s about to get worse. I feel a bad cough that’s about to start and kinda feel like my chest is getting heavy but can still breath and take deep breaths with no problem. To make things worse I infected my entire family. My parents and my brother all tested positive. So the guilt and shame of passing it and the anxiety is really starting to get to me which makes it feel like I can’t breath. 
So for those who have recovered and passed it to other family members, what would be the best advice going forward to make sure I can recover from this fully and make sure everything will be alright?</t>
        </is>
      </c>
      <c r="D1946" t="n">
        <v>1</v>
      </c>
      <c r="E1946" t="n">
        <v>7</v>
      </c>
      <c r="F1946">
        <f>HYPERLINK("https://www.reddit.com/r/COVID19positive/comments/h9u0s1/exactly_1_week_in_asking_for_reassurance_and_hope/")</f>
        <v/>
      </c>
      <c r="G1946" t="inlineStr">
        <is>
          <t>2020-06-15 18:51:24</t>
        </is>
      </c>
      <c r="H1946" t="inlineStr">
        <is>
          <t>Tested Positive - Me</t>
        </is>
      </c>
    </row>
    <row r="1947">
      <c r="A1947" t="inlineStr">
        <is>
          <t>h9vr7g</t>
        </is>
      </c>
      <c r="B1947" t="inlineStr">
        <is>
          <t>I tested positive today, here are some details</t>
        </is>
      </c>
      <c r="C1947" t="inlineStr">
        <is>
          <t>(Some key background info: I am a 20 year old male, with no underlying conditions and a very solid immune system, I rarely ever get sick, maybe once every year or so, and when I do, I'm 100% in about 2-3 days)
Hi all:
I tested positive for COVID-19 today and I was hoping to share some of my experiences thus-far and hopefully bring hope to some people that have either caught it already or are afraid they might.
I came into contact with someone who I didn't know had COVID at the time, which was on Sunday, 6/7, and I developed symptoms Wednesday, 6/10 at night, where I developed a fever. This was the first night and it was kind of rough, fever peaked around mid night at around 103.6, but oh well, I wasn't taking medication because I just wanted to get over it naturally. Next day, 6/11, woke up with a lessened fever and a headache but was luckily feeling better. 6/12, I woke up finally with no fever and just massive headache and minor stuffiness but was manageable, it was finally on this day that I decided to take some mucinex for the stuffiness and some ibuprofen for the headache. 6/13-6/14 were pretty much the same thing but no stuffiness now and a extremely faint headache that pulsed every 20 minutes or so. Again, mucinex and ibuprofen were key here and I was fine. Today, 6/15, is the first day that I wake up without any symptoms whatsoever, no more headache, extremely minor stuffiness, feels like more of a pollen allergy than an actual cold.
I did have my COVID-19 nasal test this morning however and it did come back positive, so I am infectious and am quarantining accordingly. I'm looking to get another test next Wednesday, 14 days since my initial infection and hopefully bring home a negative result. 
Just wanted to share this a bit and give some hope to others that have gotten it or are afraid to get it, that it is not always entirely life threatening or indicative that you're going to be admitted to the ER immediately. During my time with COVID so far, I haven't at all experienced coughing, sore throat, chest pains or shortness of breath.
Let me know if you have any questions I can answer. :-)</t>
        </is>
      </c>
      <c r="D1947" t="n">
        <v>1</v>
      </c>
      <c r="E1947" t="n">
        <v>45</v>
      </c>
      <c r="F1947">
        <f>HYPERLINK("https://www.reddit.com/r/COVID19positive/comments/h9vr7g/i_tested_positive_today_here_are_some_details/")</f>
        <v/>
      </c>
      <c r="G1947" t="inlineStr">
        <is>
          <t>2020-06-15 20:35:17</t>
        </is>
      </c>
      <c r="H1947" t="inlineStr">
        <is>
          <t>Tested Positive - Me</t>
        </is>
      </c>
    </row>
    <row r="1948">
      <c r="A1948" t="inlineStr">
        <is>
          <t>h9wov1</t>
        </is>
      </c>
      <c r="B1948" t="inlineStr">
        <is>
          <t>Still contagious?</t>
        </is>
      </c>
      <c r="C1948" t="inlineStr">
        <is>
          <t>I tested positive on 05/22, symptoms started on 05/23 this virus took a toll on me mentally, physically and emotionally. But I did it and I’m still here!! I’m not 100% like I was before I got sick, when I get up or do an activity my heart rate goes up and sometimes I feel lightheaded/dizzy. I want to say I’ve been symptom free since 06/08 or 06/09. Am I still considered contagious?</t>
        </is>
      </c>
      <c r="D1948" t="n">
        <v>1</v>
      </c>
      <c r="E1948" t="n">
        <v>2</v>
      </c>
      <c r="F1948">
        <f>HYPERLINK("https://www.reddit.com/r/COVID19positive/comments/h9wov1/still_contagious/")</f>
        <v/>
      </c>
      <c r="G1948" t="inlineStr">
        <is>
          <t>2020-06-15 21:36:22</t>
        </is>
      </c>
      <c r="H1948" t="inlineStr">
        <is>
          <t>Tested Positive</t>
        </is>
      </c>
    </row>
    <row r="1949">
      <c r="A1949" t="inlineStr">
        <is>
          <t>h9xz4i</t>
        </is>
      </c>
      <c r="B1949" t="inlineStr">
        <is>
          <t>Day 5 post-exposure - symptoms experienced thus far</t>
        </is>
      </c>
      <c r="C1949" t="inlineStr">
        <is>
          <t>24, M, Healthy but asthmatic with chronic bronchitis. 
I was exposed to a friend who had been around someone who was positive (he didn't know at the time, she hadn't mentioned she was tested). I figured I'd have it because I was in close proximity with him for 2 days moving and chatting. 
It's been 5 days since we found out she was positive and I got my results back - I also just started developing symptoms. So far it's just sore throat, mild malaise, and a dry cough that is occasionally productive. I think the protectivity is from post nasal drip from allergies and not associated with virus. 
No soreness, severe fatigue, or otherwise. O2 stats are 99%. HR between 58-80. 
Went for a long walk and cooked tonight with girlfriend, but am anxious for both of us. It's mildly unsettling knowing it could go sideways on me given my history of chronic bronchitis. She has high blood pressure (family history) but is otherwise very fit and eats well. She keeps me on track haha. I'm hoping it's at worst a brief kick in the shin and then we recover.
Anyone with similar experiences or some fightin' words against this crap appreciated. I'll update as I proceed. I'll also answer any questions you have about my experience so far.
Please stay safe people. The sore throat is actually quite uncomfortable.</t>
        </is>
      </c>
      <c r="D1949" t="n">
        <v>1</v>
      </c>
      <c r="E1949" t="n">
        <v>6</v>
      </c>
      <c r="F1949">
        <f>HYPERLINK("https://www.reddit.com/r/COVID19positive/comments/h9xz4i/day_5_postexposure_symptoms_experienced_thus_far/")</f>
        <v/>
      </c>
      <c r="G1949" t="inlineStr">
        <is>
          <t>2020-06-15 23:06:26</t>
        </is>
      </c>
      <c r="H1949" t="inlineStr">
        <is>
          <t>Tested Positive - Me</t>
        </is>
      </c>
    </row>
    <row r="1950">
      <c r="A1950" t="inlineStr">
        <is>
          <t>ha099d</t>
        </is>
      </c>
      <c r="B1950" t="inlineStr">
        <is>
          <t>Tested positive today</t>
        </is>
      </c>
      <c r="C1950" t="inlineStr">
        <is>
          <t>I was asymptomatic but got tested because the gf insisted. She was negative and I came back positive. I have no idea how long I have had it or where I got it. I’m feeling guilty because I have had a lot of recent gatherings with meetings, basketball, and family. I saw my 80 year old grandparents 4 days ago and I am starting to feel completely responsible for bringing this into my circle. How have others been able to deal with feelings of guilt?</t>
        </is>
      </c>
      <c r="D1950" t="n">
        <v>1</v>
      </c>
      <c r="E1950" t="n">
        <v>19</v>
      </c>
      <c r="F1950">
        <f>HYPERLINK("https://www.reddit.com/r/COVID19positive/comments/ha099d/tested_positive_today/")</f>
        <v/>
      </c>
      <c r="G1950" t="inlineStr">
        <is>
          <t>2020-06-16 01:57:26</t>
        </is>
      </c>
      <c r="H1950" t="inlineStr">
        <is>
          <t>Tested Positive - Me</t>
        </is>
      </c>
    </row>
    <row r="1951">
      <c r="A1951" t="inlineStr">
        <is>
          <t>ha0xb2</t>
        </is>
      </c>
      <c r="B1951" t="inlineStr">
        <is>
          <t>Sore eyes/throat/mouth, tested positive, am I still contagious?</t>
        </is>
      </c>
      <c r="C1951" t="inlineStr">
        <is>
          <t>In March I had a week where I lost my taste and smell, I presume this is when I had Covid-19. Other than those and a mild headache and slightly shallow breathing I had no symptoms.
I recently had an antibodies test which was positive. 
However occasionally including the last two weeks I have been waking up with a splitting headache, very dry mouth/throat and dry eyes, sometimes conjunctivitis.
I understand some people have 'long tail' symptoms, which could be what's going on. But if I have antibodies, does this mean the virus has left my body? If so why do I still have these symptoms? I have not visited my parents (in another part of the country) since March, I want to do so, but I am worried about spreading the virus to them if I am still displaying these symptoms.</t>
        </is>
      </c>
      <c r="D1951" t="n">
        <v>1</v>
      </c>
      <c r="E1951" t="n">
        <v>13</v>
      </c>
      <c r="F1951">
        <f>HYPERLINK("https://www.reddit.com/r/COVID19positive/comments/ha0xb2/sore_eyesthroatmouth_tested_positive_am_i_still/")</f>
        <v/>
      </c>
      <c r="G1951" t="inlineStr">
        <is>
          <t>2020-06-16 02:51:36</t>
        </is>
      </c>
      <c r="H1951" t="inlineStr">
        <is>
          <t>Tested Positive - Me</t>
        </is>
      </c>
    </row>
    <row r="1952">
      <c r="A1952" t="inlineStr">
        <is>
          <t>ha3bf3</t>
        </is>
      </c>
      <c r="B1952" t="inlineStr">
        <is>
          <t>People with lingering symptoms! I have a question.</t>
        </is>
      </c>
      <c r="C1952" t="inlineStr">
        <is>
          <t>I have horrible lingering symptoms and yesterday being 8-9 weeks into this horror I decided I had had enough and I got extremely drunk. 
Felt almost normal during it and honestly it was amazing I definitely still had the lingering symptoms but I didn’t give a shit. 
Woke up today a bit tender but honestly feel better for it if I’m honest. 
Have any of you done this and how did it go? 
Hope you are all doing well big love 🙌</t>
        </is>
      </c>
      <c r="D1952" t="n">
        <v>1</v>
      </c>
      <c r="E1952" t="n">
        <v>33</v>
      </c>
      <c r="F1952">
        <f>HYPERLINK("https://www.reddit.com/r/COVID19positive/comments/ha3bf3/people_with_lingering_symptoms_i_have_a_question/")</f>
        <v/>
      </c>
      <c r="G1952" t="inlineStr">
        <is>
          <t>2020-06-16 05:46:38</t>
        </is>
      </c>
      <c r="H1952" t="inlineStr">
        <is>
          <t>Presumed Positive - From Doctor</t>
        </is>
      </c>
    </row>
    <row r="1953">
      <c r="A1953" t="inlineStr">
        <is>
          <t>ha3bv5</t>
        </is>
      </c>
      <c r="B1953" t="inlineStr">
        <is>
          <t>Steam Shower for Lung Symptoms</t>
        </is>
      </c>
      <c r="C1953" t="inlineStr">
        <is>
          <t>Question to long termers who have breathing problems- has anyone tried a steam shower??? I happen to have a steam shower in my home and was wondering if anyone has tried to clear their lings out using this method. Just want to make sure it wouldn’t make things worse before I try it. Thanks!</t>
        </is>
      </c>
      <c r="D1953" t="n">
        <v>1</v>
      </c>
      <c r="E1953" t="n">
        <v>9</v>
      </c>
      <c r="F1953">
        <f>HYPERLINK("https://www.reddit.com/r/COVID19positive/comments/ha3bv5/steam_shower_for_lung_symptoms/")</f>
        <v/>
      </c>
      <c r="G1953" t="inlineStr">
        <is>
          <t>2020-06-16 05:47:27</t>
        </is>
      </c>
      <c r="H1953" t="inlineStr">
        <is>
          <t>Tested Positive - Me</t>
        </is>
      </c>
    </row>
    <row r="1954">
      <c r="A1954" t="inlineStr">
        <is>
          <t>ha5m1g</t>
        </is>
      </c>
      <c r="B1954" t="inlineStr">
        <is>
          <t>I tested positive two weeks ago, and now I'm supposed to go back to work.</t>
        </is>
      </c>
      <c r="C1954" t="inlineStr">
        <is>
          <t>My job isn't requiring a negative test for me to return, and I wasn't worried about it at first. Now I have an absessed tooth and really bad head and neck pain,and I have no clue if it is related. I've essentially been told that if I extend my leave it will be voluntary and I won't be getting paid. I have to pay my bills, but I also don't want to be the carrier pigeon bringing the gift of Corona to all of my coworkers. Some help or insights to make up my mind would mean the world right now.</t>
        </is>
      </c>
      <c r="D1954" t="n">
        <v>5</v>
      </c>
      <c r="E1954" t="n">
        <v>41</v>
      </c>
      <c r="F1954">
        <f>HYPERLINK("https://www.reddit.com/r/COVID19positive/comments/ha5m1g/i_tested_positive_two_weeks_ago_and_now_im/")</f>
        <v/>
      </c>
      <c r="G1954" t="inlineStr">
        <is>
          <t>2020-06-16 07:59:21</t>
        </is>
      </c>
      <c r="H1954" t="inlineStr">
        <is>
          <t>Tested Positive - Me</t>
        </is>
      </c>
    </row>
    <row r="1955">
      <c r="A1955" t="inlineStr">
        <is>
          <t>ha66uj</t>
        </is>
      </c>
      <c r="B1955" t="inlineStr">
        <is>
          <t>I tested positive a 2 weeks ago smell appears to be slowly but surely coming back</t>
        </is>
      </c>
      <c r="C1955" t="inlineStr">
        <is>
          <t>I’m a young male who tested positive for coronavirus two weeks ago. The only symptoms I ever had were slight body aches that went away after day two and the loss of smell. Ever since the third day of COVID I have felt perfectly fine and have even been running  regularly. My sense of smell seems to be coming back slowly but surely as I can smell certain things close up like candles and coffee so I am staying optimistic about that and believe within a month of two I should have fully recovered my sense of smell. What is surprising is that none of my friends who often share the same vape definitely while I was positive at the time and didn’t know it never tested positive for the virus. Everybody at my job got tested as well (20+) people and nobody tested positive with a few more people probably about 8-10 people in total definitely came into contact with my saliva either from a vape or a drink or something within days of me testing positive. So my thought process is if everybody I came into close close contact with like hit the same vape or something with saliva tested negative from coronavirus and the cdc says it is rare for asymptotic spread of the virus and they say it’s rare that it is transmitted through surfaces how did I get the virus when I haven’t gone anywhere other than my house, work, and to my friends house who have all since tested negative..something to think about</t>
        </is>
      </c>
      <c r="D1955" t="n">
        <v>3</v>
      </c>
      <c r="E1955" t="n">
        <v>4</v>
      </c>
      <c r="F1955">
        <f>HYPERLINK("https://www.reddit.com/r/COVID19positive/comments/ha66uj/i_tested_positive_a_2_weeks_ago_smell_appears_to/")</f>
        <v/>
      </c>
      <c r="G1955" t="inlineStr">
        <is>
          <t>2020-06-16 08:29:39</t>
        </is>
      </c>
      <c r="H1955" t="inlineStr">
        <is>
          <t>Tested Positive</t>
        </is>
      </c>
    </row>
    <row r="1956">
      <c r="A1956" t="inlineStr">
        <is>
          <t>ha69rg</t>
        </is>
      </c>
      <c r="B1956" t="inlineStr">
        <is>
          <t>Haven't been able to smell anything for 3 months since partner's diagnosis</t>
        </is>
      </c>
      <c r="C1956" t="inlineStr">
        <is>
          <t>My partner tested positive in early April-- recovered at home after about 5 days of fever and a few weeks of tiredness/lethargy. I showed no symptoms when he started getting sick (and have remained asymptomatic) and wasn't allowed a test because I didn't have a fever. 
My only thing is that I can't smell anything and haven't since his diagnosis. I thought it was allergies but I have no stuffiness/watery/itchy anything, so I think it's Covid related. 
I've read some articles and reports about how people are loosing their sense of smell and/or taste due to Covid, but they all say it returns within 2-3 weeks. It's been 3 months for me now, and there's no sign of it coming back. 
I register nothing for even the strongest odors-- vinegar, something burning in the oven, a garage with freshly varnished wood-- everything just smells like air. 
Are there some other people who have experienced this symptom because of Covid? Did your symptoms go away over a period of time?</t>
        </is>
      </c>
      <c r="D1956" t="n">
        <v>2</v>
      </c>
      <c r="E1956" t="n">
        <v>4</v>
      </c>
      <c r="F1956">
        <f>HYPERLINK("https://www.reddit.com/r/COVID19positive/comments/ha69rg/havent_been_able_to_smell_anything_for_3_months/")</f>
        <v/>
      </c>
      <c r="G1956" t="inlineStr">
        <is>
          <t>2020-06-16 08:33:53</t>
        </is>
      </c>
      <c r="H1956" t="inlineStr">
        <is>
          <t>Tested Positive - Family</t>
        </is>
      </c>
    </row>
    <row r="1957">
      <c r="A1957" t="inlineStr">
        <is>
          <t>ha6sla</t>
        </is>
      </c>
      <c r="B1957" t="inlineStr">
        <is>
          <t>Wave #2, day 70-something, losing sense of smell again?</t>
        </is>
      </c>
      <c r="C1957" t="inlineStr">
        <is>
          <t>I am having a resurgence of symptoms and woke up this morning with diminished sense of smell and taste much like I did at the beginning of my first wave.
Has anyone else experienced this?</t>
        </is>
      </c>
      <c r="D1957" t="n">
        <v>4</v>
      </c>
      <c r="E1957" t="n">
        <v>17</v>
      </c>
      <c r="F1957">
        <f>HYPERLINK("https://www.reddit.com/r/COVID19positive/comments/ha6sla/wave_2_day_70something_losing_sense_of_smell_again/")</f>
        <v/>
      </c>
      <c r="G1957" t="inlineStr">
        <is>
          <t>2020-06-16 09:01:58</t>
        </is>
      </c>
      <c r="H1957" t="inlineStr">
        <is>
          <t>Presumed Positive - From Doctor</t>
        </is>
      </c>
    </row>
    <row r="1958">
      <c r="A1958" t="inlineStr">
        <is>
          <t>ha8mmv</t>
        </is>
      </c>
      <c r="B1958" t="inlineStr">
        <is>
          <t>For nerve pain people</t>
        </is>
      </c>
      <c r="C1958" t="inlineStr">
        <is>
          <t>I don’t know who asked me about numbness but I’m just going to give a bit of backstory . Third week of being sick, my entire left side of my body went numb and had to go to the ER. Long story short: nurse believes I had nerve damage from covid but passed the reflex test so no major concern. Weeks passed and I’m slowly gaining the strength back . This week , I was able to move my left arm when I couldn’t before so I wouldn’t lose hope in recovery.
G.I is better now, no longer taking Pepcid (for those following my journey)&amp;amp; that’s saying something from someone who suffers from Ulcerative Colitis.</t>
        </is>
      </c>
      <c r="D1958" t="n">
        <v>4</v>
      </c>
      <c r="E1958" t="n">
        <v>20</v>
      </c>
      <c r="F1958">
        <f>HYPERLINK("https://www.reddit.com/r/COVID19positive/comments/ha8mmv/for_nerve_pain_people/")</f>
        <v/>
      </c>
      <c r="G1958" t="inlineStr">
        <is>
          <t>2020-06-16 10:35:44</t>
        </is>
      </c>
      <c r="H1958" t="inlineStr">
        <is>
          <t>Tested Positive - Me</t>
        </is>
      </c>
    </row>
    <row r="1959">
      <c r="A1959" t="inlineStr">
        <is>
          <t>ha8nmh</t>
        </is>
      </c>
      <c r="B1959" t="inlineStr">
        <is>
          <t>Question for those with eczema</t>
        </is>
      </c>
      <c r="C1959" t="inlineStr">
        <is>
          <t>So I recently tested positive, and I’ve only had minor symptoms so far. One thing that has struck me as odd is that I’m having the worst eczema flare up of my life. I’ve had eczema for years, but it’s always been manageable.
I haven’t heard of this happening with anyone else, so I’m wondering if it’s actually the stress causing it, and not the virus. For those that tested positive and also have eczema, what was your experience like? Did your eczema flare up along with your other symptoms?</t>
        </is>
      </c>
      <c r="D1959" t="n">
        <v>1</v>
      </c>
      <c r="E1959" t="n">
        <v>6</v>
      </c>
      <c r="F1959">
        <f>HYPERLINK("https://www.reddit.com/r/COVID19positive/comments/ha8nmh/question_for_those_with_eczema/")</f>
        <v/>
      </c>
      <c r="G1959" t="inlineStr">
        <is>
          <t>2020-06-16 10:37:13</t>
        </is>
      </c>
      <c r="H1959" t="inlineStr">
        <is>
          <t>Tested Positive - Me</t>
        </is>
      </c>
    </row>
    <row r="1960">
      <c r="A1960" t="inlineStr">
        <is>
          <t>haba3c</t>
        </is>
      </c>
      <c r="B1960" t="inlineStr">
        <is>
          <t>Any long termers with daily fevers ever stop having fevers?</t>
        </is>
      </c>
      <c r="C1960" t="inlineStr">
        <is>
          <t>Hi guys. I'm a longtermer, entering my 4th month now. Been sick since March 12th. Presumed positive and not allowed to test at the time. Tested negative at 6 weeks and had 2 negative antibody tests on week 7 &amp;amp; 8 and tested negative for everything my ID doctor tested me for. I've had elevated temps (99.5-100.3) since March. The temps have come down a bit for a few days only to spike back up again. This cycle has happened at least 5 times. Since late May my temps have been down (low 99s) and now they are back up to 99.8 daily for the last 5 days. Have any of you who had consistently elevated temps for months finally broken the fevers? I need to hear from those who have not had temps for at least a straight month. I'm starting to loose hope.</t>
        </is>
      </c>
      <c r="D1960" t="n">
        <v>4</v>
      </c>
      <c r="E1960" t="n">
        <v>23</v>
      </c>
      <c r="F1960">
        <f>HYPERLINK("https://www.reddit.com/r/COVID19positive/comments/haba3c/any_long_termers_with_daily_fevers_ever_stop/")</f>
        <v/>
      </c>
      <c r="G1960" t="inlineStr">
        <is>
          <t>2020-06-16 12:50:09</t>
        </is>
      </c>
      <c r="H1960" t="inlineStr">
        <is>
          <t>Presumed Positive - From Doctor</t>
        </is>
      </c>
    </row>
    <row r="1961">
      <c r="A1961" t="inlineStr">
        <is>
          <t>habozn</t>
        </is>
      </c>
      <c r="B1961" t="inlineStr">
        <is>
          <t>Length Until Test Negative</t>
        </is>
      </c>
      <c r="C1961" t="inlineStr">
        <is>
          <t>I began showing symptoms for COVID on 6/10. I tested positive on 6/12. My symptoms were mild- I had a sore throat starting 6/10 then a fever that was gone by 6/12. Yesterday (day 6 of symptoms) I lost my  sense of taste. I had virtually no symptoms from day 3-6. A bit of tiredness, maybe. I am wondering how long until a retest will show up as negative for Covid? My doctor said I only need to quarantine for 10 days meaning I would be fine to stop quarantining this Saturday, but I wanted to get retested as well. Although, I am now reading, I may show positive for covid for a long time after I stop being contagious. I was wondering how long it has taken others to receive a negative test?</t>
        </is>
      </c>
      <c r="D1961" t="n">
        <v>1</v>
      </c>
      <c r="E1961" t="n">
        <v>4</v>
      </c>
      <c r="F1961">
        <f>HYPERLINK("https://www.reddit.com/r/COVID19positive/comments/habozn/length_until_test_negative/")</f>
        <v/>
      </c>
      <c r="G1961" t="inlineStr">
        <is>
          <t>2020-06-16 13:10:46</t>
        </is>
      </c>
      <c r="H1961" t="inlineStr">
        <is>
          <t>Tested Positive - Me</t>
        </is>
      </c>
    </row>
    <row r="1962">
      <c r="A1962" t="inlineStr">
        <is>
          <t>habrkj</t>
        </is>
      </c>
      <c r="B1962" t="inlineStr">
        <is>
          <t>23M w/heart condition</t>
        </is>
      </c>
      <c r="C1962" t="inlineStr">
        <is>
          <t>So I tested positive a couple days ago and have been in quarantine since. My only symptom is loss of smell and taste and a slight cough. Is there a timeline on when new symptoms will show up? Is it strange that I only have these symptoms? I hear horror stories about people with Covid 19 so I'm afraid to get my hopes up and think this is all I'll get.</t>
        </is>
      </c>
      <c r="D1962" t="n">
        <v>1</v>
      </c>
      <c r="E1962" t="n">
        <v>3</v>
      </c>
      <c r="F1962">
        <f>HYPERLINK("https://www.reddit.com/r/COVID19positive/comments/habrkj/23m_wheart_condition/")</f>
        <v/>
      </c>
      <c r="G1962" t="inlineStr">
        <is>
          <t>2020-06-16 13:14:30</t>
        </is>
      </c>
      <c r="H1962" t="inlineStr">
        <is>
          <t>Tested Positive - Me</t>
        </is>
      </c>
    </row>
    <row r="1963">
      <c r="A1963" t="inlineStr">
        <is>
          <t>habwyt</t>
        </is>
      </c>
      <c r="B1963" t="inlineStr">
        <is>
          <t>Do any longterm sufferers notice their symptoms get worse with bad weather?</t>
        </is>
      </c>
      <c r="C1963" t="inlineStr">
        <is>
          <t>I thought things were getting better and then had a terrible 3 days where I had awful heart and breathing problems. It was raining hard the entire 3 days. And now the last two days have been sunny and I feel a lot better.</t>
        </is>
      </c>
      <c r="D1963" t="n">
        <v>1</v>
      </c>
      <c r="E1963" t="n">
        <v>15</v>
      </c>
      <c r="F1963">
        <f>HYPERLINK("https://www.reddit.com/r/COVID19positive/comments/habwyt/do_any_longterm_sufferers_notice_their_symptoms/")</f>
        <v/>
      </c>
      <c r="G1963" t="inlineStr">
        <is>
          <t>2020-06-16 13:22:23</t>
        </is>
      </c>
      <c r="H1963" t="inlineStr">
        <is>
          <t>Tested Positive</t>
        </is>
      </c>
    </row>
    <row r="1964">
      <c r="A1964" t="inlineStr">
        <is>
          <t>hac6me</t>
        </is>
      </c>
      <c r="B1964" t="inlineStr">
        <is>
          <t>Help me convince my Dad</t>
        </is>
      </c>
      <c r="C1964" t="inlineStr">
        <is>
          <t>I tested positive in March and got pneumonia, hospital etc and my Dad was terrified. Now it is a couple months later and he is debating going to casinos with a mask. If there is anyone who had a relative in their late 70’s with major heart history-that got this, I sure would like to share that with him.</t>
        </is>
      </c>
      <c r="D1964" t="n">
        <v>2</v>
      </c>
      <c r="E1964" t="n">
        <v>12</v>
      </c>
      <c r="F1964">
        <f>HYPERLINK("https://www.reddit.com/r/COVID19positive/comments/hac6me/help_me_convince_my_dad/")</f>
        <v/>
      </c>
      <c r="G1964" t="inlineStr">
        <is>
          <t>2020-06-16 13:36:36</t>
        </is>
      </c>
      <c r="H1964" t="inlineStr">
        <is>
          <t>Tested Positive - Me</t>
        </is>
      </c>
    </row>
    <row r="1965">
      <c r="A1965" t="inlineStr">
        <is>
          <t>hacxn6</t>
        </is>
      </c>
      <c r="B1965" t="inlineStr">
        <is>
          <t>Neuromuscular/Guillain-Barre and Covid?</t>
        </is>
      </c>
      <c r="C1965" t="inlineStr">
        <is>
          <t>34F, presumptive positive for a couple months now. My main issue is the shortness of breath, but there are many other weird symptoms going on. My doctor referred me to have a pulmonary function test last week, which I did and my results came back as:
Lung volume shows increased RV and low ERV - this is concerning for underlying NEUROMUSCULAR disease. Please correlate clinically.
Neuromuscular disease?! I'm seeing articles where Guillain-Barre is popping up in Covid patients and the symptoms of this closely resemble a lot of my weird symptoms (tired legs, frequent urination, spasms, bubble/tadpole feelings in legs, sob but lungs are clear, fast heart rate, fatigue). Has anyone else received this feedback from a doctor or had the same symptoms?</t>
        </is>
      </c>
      <c r="D1965" t="n">
        <v>1</v>
      </c>
      <c r="E1965" t="n">
        <v>32</v>
      </c>
      <c r="F1965">
        <f>HYPERLINK("https://www.reddit.com/r/COVID19positive/comments/hacxn6/neuromuscularguillainbarre_and_covid/")</f>
        <v/>
      </c>
      <c r="G1965" t="inlineStr">
        <is>
          <t>2020-06-16 14:14:55</t>
        </is>
      </c>
      <c r="H1965" t="inlineStr">
        <is>
          <t>Presumed Positive - From Doctor</t>
        </is>
      </c>
    </row>
    <row r="1966">
      <c r="A1966" t="inlineStr">
        <is>
          <t>hae5ex</t>
        </is>
      </c>
      <c r="B1966" t="inlineStr">
        <is>
          <t>8 weeks post COVID19 recovery and am now experiencing sudden and aggressive hairloss</t>
        </is>
      </c>
      <c r="C1966" t="inlineStr">
        <is>
          <t>I am a male in my early 30's. I got COVID 19 mid March, and had all the usual symptoms including multiple days of severe fevers (39.6 °C)  and weeks of breathing pain, until mid April. It's been about 8 weeks since I've felt better. However I've noticed over the last 4 weeks my whole scalp seems to be shedding hairs. I feel like it's getting worse everyday, and overall feels very sudden and aggressive. I had a full head of hair, and now I can see the skin on my scalp when dry, something I was never able to do before, and it is of course lot more obvious when wet. At a guess I am losing at least 200 maybe even 300 or more hairs a day. Simply running my hand though my hair will cause at least 4 strands to come out. Eating a meal I'll have at least a few hairs literally fall from my head, get stuck in my eyelashes and then hit my plate. I initially thought male pattern baldness had very aggressively set in, however bald men typically retain hair on the sides and back. However I'm losing hair evenly all over my scalp, including areas that bald men retain. For example my hair on top is longer than the sides, and I'm seeing hair fall matching both lengths. My crown is the worst affected though. The hair loss has come out of nowhere and I'm really worried. The only thing that happened recently was the fact I had Covid so considering if it's somehow linked. Wondering if anyone else is going through this. Does Covid accelerate balding? Never experienced hair loss in my life and am now on the verge of buying Propecia to save what I have left and whether I'll get any of my hair back.</t>
        </is>
      </c>
      <c r="D1966" t="n">
        <v>3</v>
      </c>
      <c r="E1966" t="n">
        <v>27</v>
      </c>
      <c r="F1966">
        <f>HYPERLINK("https://www.reddit.com/r/COVID19positive/comments/hae5ex/8_weeks_post_covid19_recovery_and_am_now/")</f>
        <v/>
      </c>
      <c r="G1966" t="inlineStr">
        <is>
          <t>2020-06-16 15:17:16</t>
        </is>
      </c>
      <c r="H1966" t="inlineStr">
        <is>
          <t>Tested Positive - Me</t>
        </is>
      </c>
    </row>
    <row r="1967">
      <c r="A1967" t="inlineStr">
        <is>
          <t>hae9eh</t>
        </is>
      </c>
      <c r="B1967" t="inlineStr">
        <is>
          <t>Quick question—anybody noticed a strong heartbeat in their stomach/abdomen region?</t>
        </is>
      </c>
      <c r="C1967" t="inlineStr">
        <is>
          <t>Just wondering</t>
        </is>
      </c>
      <c r="D1967" t="n">
        <v>1</v>
      </c>
      <c r="E1967" t="n">
        <v>5</v>
      </c>
      <c r="F1967">
        <f>HYPERLINK("https://www.reddit.com/r/COVID19positive/comments/hae9eh/quick_questionanybody_noticed_a_strong_heartbeat/")</f>
        <v/>
      </c>
      <c r="G1967" t="inlineStr">
        <is>
          <t>2020-06-16 15:23:01</t>
        </is>
      </c>
      <c r="H1967" t="inlineStr">
        <is>
          <t>Presumed Positive - From Doctor</t>
        </is>
      </c>
    </row>
    <row r="1968">
      <c r="A1968" t="inlineStr">
        <is>
          <t>hafucf</t>
        </is>
      </c>
      <c r="B1968" t="inlineStr">
        <is>
          <t>Long term??</t>
        </is>
      </c>
      <c r="C1968" t="inlineStr">
        <is>
          <t>I had a mild case and have two negatives now. My thing I can’t get over is how do I know something isn’t going to happen bad to me long term? It’s so new and no doctors know anything. This is what makes my anxiety so bad. Is there any studies from China or whoever had it first saying if it affects people later on in their lives? Or is it just severe cases?</t>
        </is>
      </c>
      <c r="D1968" t="n">
        <v>1</v>
      </c>
      <c r="E1968" t="n">
        <v>11</v>
      </c>
      <c r="F1968">
        <f>HYPERLINK("https://www.reddit.com/r/COVID19positive/comments/hafucf/long_term/")</f>
        <v/>
      </c>
      <c r="G1968" t="inlineStr">
        <is>
          <t>2020-06-16 16:55:22</t>
        </is>
      </c>
      <c r="H1968" t="inlineStr">
        <is>
          <t>Tested Positive - Me</t>
        </is>
      </c>
    </row>
    <row r="1969">
      <c r="A1969" t="inlineStr">
        <is>
          <t>hag1cf</t>
        </is>
      </c>
      <c r="B1969" t="inlineStr">
        <is>
          <t>Tested positive yesterday and I'm scared</t>
        </is>
      </c>
      <c r="C1969" t="inlineStr">
        <is>
          <t>I'm a 30yo guy, with no health issues. But I'm a hypochondriac, always have been. 
My doctor told me I'm positive a hour ago, so I'm pretty messed up at the moment. 
My first symptoms showed up a week ago. Mild fever for two days, no cough, nasty body aches, massive fatigue, elevated heart rate. Then, on day 5, I lost my smell.
I've been feeling almost normal for the last couple of days, like 80-90% normal. I'd say this is far from being the worst flu I ever had so far. But now, having the confirmation I'm positive, I'm afraid things will get ugly - pneumonia, heart issues, kidney problems. 
Nobody knows this disease. Maybe I'll wake up tomorrow unable to breathe. I'm afraid I will be scarred for life and limited by this. Seeing so many of you struggling makes me really anxious, but also I'm happy that I'm not alone in this.</t>
        </is>
      </c>
      <c r="D1969" t="n">
        <v>1</v>
      </c>
      <c r="E1969" t="n">
        <v>93</v>
      </c>
      <c r="F1969">
        <f>HYPERLINK("https://www.reddit.com/r/COVID19positive/comments/hag1cf/tested_positive_yesterday_and_im_scared/")</f>
        <v/>
      </c>
      <c r="G1969" t="inlineStr">
        <is>
          <t>2020-06-16 17:07:13</t>
        </is>
      </c>
      <c r="H1969" t="inlineStr">
        <is>
          <t>Tested Positive - Me</t>
        </is>
      </c>
    </row>
    <row r="1970">
      <c r="A1970" t="inlineStr">
        <is>
          <t>hagx6k</t>
        </is>
      </c>
      <c r="B1970" t="inlineStr">
        <is>
          <t>GI Issues + extremely rapid heart rate</t>
        </is>
      </c>
      <c r="C1970" t="inlineStr">
        <is>
          <t>Hi guys! 26/F, first post. 
Got my test today- i’ll know if I’m positive by Friday, but the doctor is almost 100% that I have it. 
I seem to have the gastrointestinal strain of the virus, many symptoms- but the nausea and vomiting are plague me. I haven’t kept anything down in 24 hours. 
What’s weird is this average resting BPM. I usually have low blood pressure, am in great shape, and have an average resting heart rate of 65-70. Onset of symptoms were Sunday night, during which I averaged 100-110 average BPM. Yesterday it increased, 110-120, and today I’m averaging 120-130. 
I’ve had terrible respiratory illnesses in my past, so I know what 87% oxygen level feels like. I’m not there yet. I’m just wondering if 125-140 warrants a trip to the ER or not.... I’m feeling strain near my heart and on the left side of my chest, but not it’s not terrible.</t>
        </is>
      </c>
      <c r="D1970" t="n">
        <v>1</v>
      </c>
      <c r="E1970" t="n">
        <v>11</v>
      </c>
      <c r="F1970">
        <f>HYPERLINK("https://www.reddit.com/r/COVID19positive/comments/hagx6k/gi_issues_extremely_rapid_heart_rate/")</f>
        <v/>
      </c>
      <c r="G1970" t="inlineStr">
        <is>
          <t>2020-06-16 18:02:56</t>
        </is>
      </c>
      <c r="H1970" t="inlineStr">
        <is>
          <t>Presumed Positive - From Doctor</t>
        </is>
      </c>
    </row>
    <row r="1971">
      <c r="A1971" t="inlineStr">
        <is>
          <t>hah95m</t>
        </is>
      </c>
      <c r="B1971" t="inlineStr">
        <is>
          <t>Symptoms very mild so far</t>
        </is>
      </c>
      <c r="C1971" t="inlineStr">
        <is>
          <t>Hey guys, tested positive 2 days ago and have been sick for 5. My only symptoms are being extremely tired and a cough. Should I expect my symptoms to get worse or is it possible that this is the extent of my coronavirus experience?</t>
        </is>
      </c>
      <c r="D1971" t="n">
        <v>1</v>
      </c>
      <c r="E1971" t="n">
        <v>11</v>
      </c>
      <c r="F1971">
        <f>HYPERLINK("https://www.reddit.com/r/COVID19positive/comments/hah95m/symptoms_very_mild_so_far/")</f>
        <v/>
      </c>
      <c r="G1971" t="inlineStr">
        <is>
          <t>2020-06-16 18:24:59</t>
        </is>
      </c>
      <c r="H1971" t="inlineStr">
        <is>
          <t>Tested Positive - Me</t>
        </is>
      </c>
    </row>
    <row r="1972">
      <c r="A1972" t="inlineStr">
        <is>
          <t>hahed2</t>
        </is>
      </c>
      <c r="B1972" t="inlineStr">
        <is>
          <t>Tested Positive w Antibodies recently, symptoms had ended 2 months ago, smell is back but now weird?</t>
        </is>
      </c>
      <c r="C1972" t="inlineStr">
        <is>
          <t>So I assume I contracted SARS-CoV2 around late mid-late March. I was laid off mid-March. I'm the type to work out a lot and almost every day. I kept working out and had good sleep...because you know, no job. But there was a point that where I felt fatigued. March 28th, I took off from working out. I continued the next day and 2 days later I felt fatigued again. I then thought I had allergies from all the sneezing. The following day I had migraines. I slept that day and took Excedrin. The next day I tried to work out again. But eventually I was super fatigued. I actually did a smell test for myself and put Vicks near my nose... and I couldn't really smell it.
Eventually I had a fever around 101 that lasted about a week. On top of that I had a cytokine storm that lasted about a week as well. It was strange. I work out for hours. This felt like I ran a marathon, did heavy squats and then a bunch of burpees and boxed 12 rounds. 
I also realized I couldn't smell/taste anything for about a month.
Now 2 months later I'm better. Been working out. I took both the antibody test &amp;amp; PCR at CityMD. I tested positive for antibodies (AB IgG)
but now I am sure there's something funky about my sense of smell. I can still smell or taste but the last few days... I'm smelling "something" burnt? Not sure... I even cleaned the crap out of my apt. incase.
Anyone else with this experience?</t>
        </is>
      </c>
      <c r="D1972" t="n">
        <v>1</v>
      </c>
      <c r="E1972" t="n">
        <v>16</v>
      </c>
      <c r="F1972">
        <f>HYPERLINK("https://www.reddit.com/r/COVID19positive/comments/hahed2/tested_positive_w_antibodies_recently_symptoms/")</f>
        <v/>
      </c>
      <c r="G1972" t="inlineStr">
        <is>
          <t>2020-06-16 18:34:21</t>
        </is>
      </c>
      <c r="H1972" t="inlineStr">
        <is>
          <t>Tested Positive - Me</t>
        </is>
      </c>
    </row>
    <row r="1973">
      <c r="A1973" t="inlineStr">
        <is>
          <t>hai1t7</t>
        </is>
      </c>
      <c r="B1973" t="inlineStr">
        <is>
          <t>How to keep my household safe</t>
        </is>
      </c>
      <c r="C1973" t="inlineStr">
        <is>
          <t>I live with a roommate and my girlfriend. I'm disinfecting pretty much everything I come in contact with, staying 6+ feet apart, and wearing my mask. I'm sleeping in the pull out mattress now. I'm so scared of getting my girlfriend sick because she has sjogrens. My roommate is in a hotel for a week and I think that's safe for her because she has asthma. My girlfriend is such a wonderful person, she's caring for me, but I almost want to get her a hotel room too. 
Any advice is helpful</t>
        </is>
      </c>
      <c r="D1973" t="n">
        <v>1</v>
      </c>
      <c r="E1973" t="n">
        <v>8</v>
      </c>
      <c r="F1973">
        <f>HYPERLINK("https://www.reddit.com/r/COVID19positive/comments/hai1t7/how_to_keep_my_household_safe/")</f>
        <v/>
      </c>
      <c r="G1973" t="inlineStr">
        <is>
          <t>2020-06-16 19:16:44</t>
        </is>
      </c>
      <c r="H1973" t="inlineStr">
        <is>
          <t>Tested Positive - Family</t>
        </is>
      </c>
    </row>
    <row r="1974">
      <c r="A1974" t="inlineStr">
        <is>
          <t>haj56u</t>
        </is>
      </c>
      <c r="B1974" t="inlineStr">
        <is>
          <t>I’m scared</t>
        </is>
      </c>
      <c r="C1974" t="inlineStr">
        <is>
          <t>Getting my test tomorrow. I’m 19 years old, have bad asthma. My breathing is bad right now, headaches are bad. I don’t want to end up critical. Does anyone have any experience with asthma.</t>
        </is>
      </c>
      <c r="D1974" t="n">
        <v>1</v>
      </c>
      <c r="E1974" t="n">
        <v>9</v>
      </c>
      <c r="F1974">
        <f>HYPERLINK("https://www.reddit.com/r/COVID19positive/comments/haj56u/im_scared/")</f>
        <v/>
      </c>
      <c r="G1974" t="inlineStr">
        <is>
          <t>2020-06-16 20:29:24</t>
        </is>
      </c>
      <c r="H1974" t="inlineStr">
        <is>
          <t>Presumed Positive - From Doctor</t>
        </is>
      </c>
    </row>
    <row r="1975">
      <c r="A1975" t="inlineStr">
        <is>
          <t>haja04</t>
        </is>
      </c>
      <c r="B1975" t="inlineStr">
        <is>
          <t>No problems with exercise after recovery</t>
        </is>
      </c>
      <c r="C1975" t="inlineStr">
        <is>
          <t>After 8 weeks of hell, I've had no symptoms for about two weeks, tested positive for IgG antibodies last week. (if you want the full rundown of my symptoms I posted it here pretty recently) 
Almost everyone else on this sub has had problems returning to exercise but I've actually had almost no problem doing so. Before being infected, I was running 30-40 miles a week. I returned to running a week ago and managed to run 16.5 miles total in the past week. I had a bit of headache after the first two runs, but other than that I haven't had any returning symptoms or anything. I've lost more fitness than you'd think in two months, but that's to be expected i guess.
Just wanted to post this since so many others have had bad experiences exercising after recovery and I luckily didn't experience that.</t>
        </is>
      </c>
      <c r="D1975" t="n">
        <v>1</v>
      </c>
      <c r="E1975" t="n">
        <v>21</v>
      </c>
      <c r="F1975">
        <f>HYPERLINK("https://www.reddit.com/r/COVID19positive/comments/haja04/no_problems_with_exercise_after_recovery/")</f>
        <v/>
      </c>
      <c r="G1975" t="inlineStr">
        <is>
          <t>2020-06-16 20:38:28</t>
        </is>
      </c>
      <c r="H1975" t="inlineStr">
        <is>
          <t>Tested Positive</t>
        </is>
      </c>
    </row>
    <row r="1976">
      <c r="A1976" t="inlineStr">
        <is>
          <t>hakhm3</t>
        </is>
      </c>
      <c r="B1976" t="inlineStr">
        <is>
          <t>I can't smell anymore</t>
        </is>
      </c>
      <c r="C1976" t="inlineStr">
        <is>
          <t>I can't go outside and smell the trees anymore. I didn't think I'd be so affected by this. This morning I woke up and tried to smell again and just started sobbing. It feels like when you get your teeth numbed and you can feel them poking it but theres no pain. I know I'm inhaling but smell is just completely absent. I feel like I'm grieving, is this normal??
** DISCLAIMER, so TECHNICALLY I didn't get tested but I'm in a weird spot in my life where I can't leave the house, I have no insurance, wasn't 18 at the time of being sick, moved out of parents house, etc etc etc. I know I had coronavirus because the aunt I'm living with had to stay in the hospital for a week and a half due to the severity (she tested positive). Sorry if for some of you that doesn't count but I literally couldn't go to the hospital for personal reasons **</t>
        </is>
      </c>
      <c r="D1976" t="n">
        <v>1</v>
      </c>
      <c r="E1976" t="n">
        <v>26</v>
      </c>
      <c r="F1976">
        <f>HYPERLINK("https://www.reddit.com/r/COVID19positive/comments/hakhm3/i_cant_smell_anymore/")</f>
        <v/>
      </c>
      <c r="G1976" t="inlineStr">
        <is>
          <t>2020-06-16 22:00:19</t>
        </is>
      </c>
      <c r="H1976" t="inlineStr">
        <is>
          <t>Tested Positive - Me</t>
        </is>
      </c>
    </row>
    <row r="1977">
      <c r="A1977" t="inlineStr">
        <is>
          <t>hal0lj</t>
        </is>
      </c>
      <c r="B1977" t="inlineStr">
        <is>
          <t>Persistent symptoms?</t>
        </is>
      </c>
      <c r="C1977" t="inlineStr">
        <is>
          <t>As our bodies go through the post infection recovery phase and symptoms continue to cycle and reappear and disappear, are there any persistent or particularly annoying symptoms people are dealing with? For me it’s the fatigue and nostril burning/sinus headaches. This comes with an odd stifling feeling of not being able to breathe enough oxygen in through my nose. That’s existed since the early stages of the illness. Oddly enough using an air conditioner seems to help relieve these symptoms even though you’d think the cold air would facilitate nasal congestion. What is everyone else dealing with? How are you treating your symptoms?</t>
        </is>
      </c>
      <c r="D1977" t="n">
        <v>1</v>
      </c>
      <c r="E1977" t="n">
        <v>12</v>
      </c>
      <c r="F1977">
        <f>HYPERLINK("https://www.reddit.com/r/COVID19positive/comments/hal0lj/persistent_symptoms/")</f>
        <v/>
      </c>
      <c r="G1977" t="inlineStr">
        <is>
          <t>2020-06-16 22:34:34</t>
        </is>
      </c>
      <c r="H1977" t="inlineStr">
        <is>
          <t>Tested Positive - Me</t>
        </is>
      </c>
    </row>
    <row r="1978">
      <c r="A1978" t="inlineStr">
        <is>
          <t>hal30p</t>
        </is>
      </c>
      <c r="B1978" t="inlineStr">
        <is>
          <t>Scared and Sad.</t>
        </is>
      </c>
      <c r="C1978" t="inlineStr">
        <is>
          <t>Hey. 
I lost my grandma to covid19 on April 21st.  I recovered, as of a couple of weeks ago I’m negative and got a job at Walmart due to medical cost for my grandma (fuck this fucking system I’m so pissed).  And my mom is having a baby in September and I wanna help with that In any way I can financially.  I’m so sad.  I miss her
She was apart of my life everyday.  She made us dinner, breakfast, lunch.  And she’s gone. I could never repay her for everything she did.  I’m so hurt.  I don’t know.  I’m only 17, just graduated and going to a community college in august.  I can’t sleep without a distraction or I get like this.  I don’t know how much I can take.  My best friend move away 2 years ago, and I still talk to them now and I just can’t get the money saved up to visit them.  They’re in Mexico.  I’m so tired.  So so tired. I just feel like I’m drowning.  
We’re looking for a car to buy because we don’t have enough cars to get where we need to be and it’s hard with only a $3000 budget.  It’s getting to be too much. 
I don’t know.  I’m gonna try and sleep.</t>
        </is>
      </c>
      <c r="D1978" t="n">
        <v>1</v>
      </c>
      <c r="E1978" t="n">
        <v>13</v>
      </c>
      <c r="F1978">
        <f>HYPERLINK("https://www.reddit.com/r/COVID19positive/comments/hal30p/scared_and_sad/")</f>
        <v/>
      </c>
      <c r="G1978" t="inlineStr">
        <is>
          <t>2020-06-16 22:39:09</t>
        </is>
      </c>
      <c r="H1978" t="inlineStr">
        <is>
          <t>Tested Positive - Me</t>
        </is>
      </c>
    </row>
    <row r="1979">
      <c r="A1979" t="inlineStr">
        <is>
          <t>hamp2d</t>
        </is>
      </c>
      <c r="B1979" t="inlineStr">
        <is>
          <t>Flu-like symptoms in March- Covid or not?</t>
        </is>
      </c>
      <c r="C1979" t="inlineStr">
        <is>
          <t>Hello, So I basically think COVID19 came and went in Feb/March at our home but difficult to ascertain. In Feb, India was only testing people who have traveled abroad which I hadnt. Hence they wouldnt test me. AntiBody testing is not started in India so cant ascertain.
\- My 3yr old son. Blood Group: A+ Symptoms: Fever, Cough, enlarged lymph nodes. 
He was the first one to fall sick and probably went the worse from us all. He came home from kindergarten school in the afternoon and started coughing. He has a history of febrile convulsions and that same night we found him getting a convulsion in his sleep with a high fever of 101 F. We immediately look him to the ER and kept him on paracetomol and flu medications. Since he had a history of febrile, he was released in an hour with medications and anti-biotics.
Cough and cold continued for the better part of the month with some extremely high fever at 104/105 Deg F where we literally put him in the bathtub to bring the temperature down.  After a good 7 days of fever fighting, it went away only for a 101F Fever to come back after in a week time with inflamed lymph nodes. This too subsided in a week time. 
Post which after he had a few coughing fits which died down by March. Since March 2020, no symptoms. 
\- Me, 37yr old Male with BMI on the higher side but not overweight. Not good fitness level. Blood Group: A+ Symptoms: Runny Nose, Stuffy Nose, SOB, Loss of Taste, Fatigue, Body Ache
I felt sick probably within 2 to 3 days after my son. I distinctly remember this flu for my inability to get up at all. I kept on sleeping for the full day and didn't go to work for 3 days. I had a strange metallic taste in my mouth for the longest amount of time. I dont remember a loss of smell but I do remember this metallic taste. 
My primarily symptom was runny nose with phlegm that just wouldn't stop. The runny nose, sneezing, cough didn't stop for a good 10 days.  I didn't have fever except for one day (3rd day) when it was mild like 99 deg F. On the 4th day of symptoms onset, I went to our doctor and even joked if this was coronavirus. She said due to absence of fever and lack of any testing facilities in India, it is impossible to tell but just told me to take some paracetmol and lay low.  On the 10th day from my symptoms onset I had a bad case of again body ache and fatigue. I had to take a day off from work on this day too. But this went away soon, and I was back at work the next day itself.
I was kinda fine by March 4th with my initial symptoms onset approx around Feb 18th. Since then obviously the COVID19 situation has exploded in India and the world. As on June 2020 (so after 3 months of this), I still have shallow breathing, tightness of chest, my pulse monitor is kinda in the 100 range (which I am blaming on anxiety), and get tired fast. I have a pulse oximeter at home which I bought in April 2020 (after all my symptoms), and it is  in a range 98% to 99% but yet I feel I am unable to take breaths. I have had a stuffy nose since March 2020. 
\-Father, 67 yr old Male. He is a lot fitter than me in terms of BMI. Does a lot of Yoga and breathing exercises. Blood Group: A-
He felt sick after a few days since my symptoms onset. He was in bed for 2 days with fatigue. He was also up probably around the same time as I was and probably had a much milder version than mine. Doesn't remember even falling sick much and is unable to explain any symptoms besides having a slight fever, cold and lots of fatigue. 
\- Wife, 35 yr old female. Blood Group :O- Doesn't remember falling sick or having any major symptoms in March 2020. Does remember feeling tired but nothing out of the ordinary.
\-Mother, 65yr old female. Blood Group: A+ No symptoms. Has a comorbidity: recovered from Breast cancer without chemo 4yrs back. 
I got my hands on some rapid antibody testing kits which uses blood from a finger. These are certified by the local Indian equivalent of FDA called ICMR. We tested ourselves in May 20th 2020 (a good 3-1/-2 months after) and my father came 1gM and 1gG positive. We tested it twice to be sure and both times it was the same result.
However it came negative for me. I have tested myself 4 to 5 times at different days and all times it has come negative for any antibody. Hence this confusion. Also, I find it extremely difficult to believe my father got it, and we didnt since we have been in lockdown together since March 2020 and lockdown is still ongoing. 
The safest option is practice social distancing, sanitize everything and avoid going out but just unsure and the anxiety isnt helping.</t>
        </is>
      </c>
      <c r="D1979" t="n">
        <v>1</v>
      </c>
      <c r="E1979" t="n">
        <v>3</v>
      </c>
      <c r="F1979">
        <f>HYPERLINK("https://www.reddit.com/r/COVID19positive/comments/hamp2d/flulike_symptoms_in_march_covid_or_not/")</f>
        <v/>
      </c>
      <c r="G1979" t="inlineStr">
        <is>
          <t>2020-06-17 00:40:57</t>
        </is>
      </c>
      <c r="H1979" t="inlineStr">
        <is>
          <t>Presumed Positive - From Test</t>
        </is>
      </c>
    </row>
    <row r="1980">
      <c r="A1980" t="inlineStr">
        <is>
          <t>hamzm6</t>
        </is>
      </c>
      <c r="B1980" t="inlineStr">
        <is>
          <t>Chronic sore throat?</t>
        </is>
      </c>
      <c r="C1980" t="inlineStr">
        <is>
          <t>21y female. 
My mother, sister and i got sick in february after a trip to Rome. We couldn’t get tested at the time due to low testing capacity and we’re told not to worry (politicians in my country are a joke). On march first i even went to the hospital with high fever (104F) and heart palpitations but got send back home without a test. In April, i still suffered from pain in my chest. My lips and feet got blue, my heart raced, i was sweating and i fainted. The cardiologist said there was no doubt i catched covid and it got to my heart. 
So now after 5 months, i’m still healing. I’m still tired everyday. Walking 15 minutes is hard. I never got tested, also not for antibodies. But everytime i talk to someone, go to the store,... my throat hurts the day after and it lasts for a couple of days. Everytime i’m scared i got infected again, but i never get more symptoms. Anyone experience this too? I stopped smoking in february, i don’t talk that much because i’m studying at the moment, i drink tea with honey all the time so i can’t find any other explanation.</t>
        </is>
      </c>
      <c r="D1980" t="n">
        <v>1</v>
      </c>
      <c r="E1980" t="n">
        <v>12</v>
      </c>
      <c r="F1980">
        <f>HYPERLINK("https://www.reddit.com/r/COVID19positive/comments/hamzm6/chronic_sore_throat/")</f>
        <v/>
      </c>
      <c r="G1980" t="inlineStr">
        <is>
          <t>2020-06-17 01:06:37</t>
        </is>
      </c>
      <c r="H1980" t="inlineStr">
        <is>
          <t>Presumed Positive - From Doctor</t>
        </is>
      </c>
    </row>
    <row r="1981">
      <c r="A1981" t="inlineStr">
        <is>
          <t>han93u</t>
        </is>
      </c>
      <c r="B1981" t="inlineStr">
        <is>
          <t>Anyone with kids that have tested positive? 3+</t>
        </is>
      </c>
      <c r="C1981" t="inlineStr">
        <is>
          <t>I’m concerned my kids my have it after I tested positive. What are your experiences?</t>
        </is>
      </c>
      <c r="D1981" t="n">
        <v>1</v>
      </c>
      <c r="E1981" t="n">
        <v>5</v>
      </c>
      <c r="F1981">
        <f>HYPERLINK("https://www.reddit.com/r/COVID19positive/comments/han93u/anyone_with_kids_that_have_tested_positive_3/")</f>
        <v/>
      </c>
      <c r="G1981" t="inlineStr">
        <is>
          <t>2020-06-17 01:29:23</t>
        </is>
      </c>
      <c r="H1981" t="inlineStr">
        <is>
          <t>Tested Positive</t>
        </is>
      </c>
    </row>
    <row r="1982">
      <c r="A1982" t="inlineStr">
        <is>
          <t>hanoos</t>
        </is>
      </c>
      <c r="B1982" t="inlineStr">
        <is>
          <t>20M - 3 months in and had 2 big ‘crashes”</t>
        </is>
      </c>
      <c r="C1982" t="inlineStr">
        <is>
          <t>Hello all. I’m 20 years old and have pretty much been having the worst time of my life these past few months. 
I got sick way back in mid March before lockdown. Initial symptoms came on dramatically and included fever, chest pain, chills, headaches, change to taste/smell and just generally feeling awful.
I got gradually better over the next 3-4 weeks but still knew I wasnt right. I had regular headaches, morning nausea/fatigue and heart palpitations. 
Anyway I have had two big crashes in week 6 and week 13 where it just feels like my immune system goes nuts. Symptoms include fever, nausea, chest pain, headaches, rapid pulse,l and weakness in limbs.
Reached a point where I don’t know how I’m going to get out of this cycle and am really worried about the damage being done.</t>
        </is>
      </c>
      <c r="D1982" t="n">
        <v>1</v>
      </c>
      <c r="E1982" t="n">
        <v>27</v>
      </c>
      <c r="F1982">
        <f>HYPERLINK("https://www.reddit.com/r/COVID19positive/comments/hanoos/20m_3_months_in_and_had_2_big_crashes/")</f>
        <v/>
      </c>
      <c r="G1982" t="inlineStr">
        <is>
          <t>2020-06-17 02:07:45</t>
        </is>
      </c>
      <c r="H1982" t="inlineStr">
        <is>
          <t>Presumed Positive - From Doctor</t>
        </is>
      </c>
    </row>
    <row r="1983">
      <c r="A1983" t="inlineStr">
        <is>
          <t>hao6ld</t>
        </is>
      </c>
      <c r="B1983" t="inlineStr">
        <is>
          <t>Too many people forgot about covid, but I'm not</t>
        </is>
      </c>
      <c r="C1983" t="inlineStr">
        <is>
          <t>Can you tell me the difference between KF95 and KF94 masks?</t>
        </is>
      </c>
      <c r="D1983" t="n">
        <v>1</v>
      </c>
      <c r="E1983" t="n">
        <v>10</v>
      </c>
      <c r="F1983">
        <f>HYPERLINK("https://www.reddit.com/r/COVID19positive/comments/hao6ld/too_many_people_forgot_about_covid_but_im_not/")</f>
        <v/>
      </c>
      <c r="G1983" t="inlineStr">
        <is>
          <t>2020-06-17 02:51:03</t>
        </is>
      </c>
      <c r="H1983" t="inlineStr">
        <is>
          <t>Tested Positive - Family</t>
        </is>
      </c>
    </row>
    <row r="1984">
      <c r="A1984" t="inlineStr">
        <is>
          <t>haqimw</t>
        </is>
      </c>
      <c r="B1984" t="inlineStr">
        <is>
          <t>I got told I’m Covid-19 positive yesterday</t>
        </is>
      </c>
      <c r="C1984" t="inlineStr">
        <is>
          <t>I did a voluntary Covid-19 two days ago and found out yesterday that I’m positive. They didn’t tell me the details of what type of test I got, I just know that I’m positive.
I haven’t had any symptoms so far but my throat is starting to hurt a little bit, it’s just hard to swallow. Did anyone else have a similar experience?</t>
        </is>
      </c>
      <c r="D1984" t="n">
        <v>1</v>
      </c>
      <c r="E1984" t="n">
        <v>5</v>
      </c>
      <c r="F1984">
        <f>HYPERLINK("https://www.reddit.com/r/COVID19positive/comments/haqimw/i_got_told_im_covid19_positive_yesterday/")</f>
        <v/>
      </c>
      <c r="G1984" t="inlineStr">
        <is>
          <t>2020-06-17 05:52:33</t>
        </is>
      </c>
      <c r="H1984" t="inlineStr">
        <is>
          <t>Tested Positive - Me</t>
        </is>
      </c>
    </row>
    <row r="1985">
      <c r="A1985" t="inlineStr">
        <is>
          <t>hawmai</t>
        </is>
      </c>
      <c r="B1985" t="inlineStr">
        <is>
          <t>Chest breathing after a month</t>
        </is>
      </c>
      <c r="C1985" t="inlineStr">
        <is>
          <t>So it’s been a month since I first felt the breathing symptoms from covid. For 2 weeks, breathing was really hard from the diaphragm and I had to chest breath a lot. Now I feel like I may have taught myself to chest breath rather than getting full and satisfying breaths from my diaphragm. Has anyone else experienced this issue? Or am I still recovering from covid in general? I can tell my lungs definitely can’t take in as much air from my diaphragm as they could before I got sick.</t>
        </is>
      </c>
      <c r="D1985" t="n">
        <v>1</v>
      </c>
      <c r="E1985" t="n">
        <v>9</v>
      </c>
      <c r="F1985">
        <f>HYPERLINK("https://www.reddit.com/r/COVID19positive/comments/hawmai/chest_breathing_after_a_month/")</f>
        <v/>
      </c>
      <c r="G1985" t="inlineStr">
        <is>
          <t>2020-06-17 11:06:25</t>
        </is>
      </c>
      <c r="H1985" t="inlineStr">
        <is>
          <t>Presumed Positive - From Doctor</t>
        </is>
      </c>
    </row>
    <row r="1986">
      <c r="A1986" t="inlineStr">
        <is>
          <t>hawvsy</t>
        </is>
      </c>
      <c r="B1986" t="inlineStr">
        <is>
          <t>When will this end?</t>
        </is>
      </c>
      <c r="C1986" t="inlineStr">
        <is>
          <t>I thought a couple weeks ago I had fully recovered, and I may be. But my joints will not stop hurting. Also, I know this seems weird but certain parts if my skin is extremely sensitive(painful to touch) now.  Has anyone else having these types of issues?
And of course I woke up Monday feeling like I'm getting sick again. It worries me because 1. I never got a positive test (did the rapid test about 3-4weeks into the initial onset). 2. I worry that if I wasn't really severe could I get it again? 
Edit: At the first part of March I had low grade fever, slight cough, headaches, chest pain and tightness and GI issues for about 8+ weeks. I think from what I have read I should be over all of it?</t>
        </is>
      </c>
      <c r="D1986" t="n">
        <v>5</v>
      </c>
      <c r="E1986" t="n">
        <v>8</v>
      </c>
      <c r="F1986">
        <f>HYPERLINK("https://www.reddit.com/r/COVID19positive/comments/hawvsy/when_will_this_end/")</f>
        <v/>
      </c>
      <c r="G1986" t="inlineStr">
        <is>
          <t>2020-06-17 11:19:19</t>
        </is>
      </c>
      <c r="H1986" t="inlineStr">
        <is>
          <t>Presumed Positive - From Doctor</t>
        </is>
      </c>
    </row>
    <row r="1987">
      <c r="A1987" t="inlineStr">
        <is>
          <t>hax7om</t>
        </is>
      </c>
      <c r="B1987" t="inlineStr">
        <is>
          <t>(25-32M, otherwise healthy) Tested positive 6/3 - here is my experience</t>
        </is>
      </c>
      <c r="C1987" t="inlineStr">
        <is>
          <t>Was in contact with my sister weekend of 5/28-6/1 who came from New York (bad idea, but her lease ended and needed somewhere to go). 
By contact+5days I noticed symptoms. I thought it was just stress form work and moving the past couple of weeks. By contact+6days I was sick as I have ever been and got tested, results came back positive by contact+8days.
My first symptoms were 4 days after contact, just fatigue. 5 days after contact, I was in full sickness mode;
&amp;gt;Extreme headache
&amp;gt;eye aches
&amp;gt;muscle aches
&amp;gt;chills
&amp;gt;light fever that would come and go
&amp;gt;nausea
&amp;gt;some digestive upset but not horrible
&amp;gt;lack of appetite
&amp;gt;Old injuries flared up dramatically- broken jaw from 5 years ago, broken elbow/torn UCL inflammed again from last year, broken ankle from 7 years ago was painful, my bad knee from high school wrestling started giving out again. basically an old man.
The headaches were the worst. I had tylenol 3 from a previous surgery, as well as anti nausea medicine ondansetron. I was able to take these every 8 hours which helped dramatically but was still couch-bound.
Symptoms (mentioned above) were VERY BAD starting on day 6 post contact with my sister. By day 11 I was able to work for half the day on my computer, but still had moderate symptoms. By day 13 I thought I had gotten through it. Then by day 17 symptoms came back, but different. No headache, just extreme fatigue and loss of appetite, congestion, and partial loss of taste. Also really itchy eyes and skin rashes I've never had.
Now I am on day 20 and still feel under the weather, but I am able to have one tea in the morning and work 75% of the day for the most part. It scared me that I was "back to 100%" for a couple of days and then slipped back into mild to moderate illness. The more I read, the more I feel like this is going to be a couple of months until I can get all of the dead virus out of my system and reduce the immune response.
Hope this helps anyone else out there! Feel free to let me know how your experiences compare, and ask any questions I might be able to help with.
Stay safe!</t>
        </is>
      </c>
      <c r="D1987" t="n">
        <v>43</v>
      </c>
      <c r="E1987" t="n">
        <v>134</v>
      </c>
      <c r="F1987">
        <f>HYPERLINK("https://www.reddit.com/r/COVID19positive/comments/hax7om/2532m_otherwise_healthy_tested_positive_63_here/")</f>
        <v/>
      </c>
      <c r="G1987" t="inlineStr">
        <is>
          <t>2020-06-17 11:35:18</t>
        </is>
      </c>
      <c r="H1987" t="inlineStr">
        <is>
          <t>Tested Positive - Me</t>
        </is>
      </c>
    </row>
    <row r="1988">
      <c r="A1988" t="inlineStr">
        <is>
          <t>hazc1c</t>
        </is>
      </c>
      <c r="B1988" t="inlineStr">
        <is>
          <t>20F healthy just tested positive with no fever.. here are my symptoms this far</t>
        </is>
      </c>
      <c r="C1988" t="inlineStr">
        <is>
          <t>Just some background I am very healthy, and never usually get sick. I am a bartender &amp;amp; assume I got it from a customer. Here’s what I have experienced this far &amp;amp; would love to hear feedback on where you THINK this may go if it escalates, or if anyone has had a similar experience. I have horrible anxiety and well this hasn’t helped. 
June 14 (day 1) VERY fatigued, no fever
June 15 (day 2) itchy throat, dry cough, tired, back aches, no fever
June 16 (day 3) back ache, tired, no fever
June 17 (day 4) back aches, tired, no fever, lost appetite</t>
        </is>
      </c>
      <c r="D1988" t="n">
        <v>3</v>
      </c>
      <c r="E1988" t="n">
        <v>7</v>
      </c>
      <c r="F1988">
        <f>HYPERLINK("https://www.reddit.com/r/COVID19positive/comments/hazc1c/20f_healthy_just_tested_positive_with_no_fever/")</f>
        <v/>
      </c>
      <c r="G1988" t="inlineStr">
        <is>
          <t>2020-06-17 13:23:01</t>
        </is>
      </c>
      <c r="H1988" t="inlineStr">
        <is>
          <t>Tested Positive - Me</t>
        </is>
      </c>
    </row>
    <row r="1989">
      <c r="A1989" t="inlineStr">
        <is>
          <t>hazrvw</t>
        </is>
      </c>
      <c r="B1989" t="inlineStr">
        <is>
          <t>Question for those who have had it twice now</t>
        </is>
      </c>
      <c r="C1989" t="inlineStr">
        <is>
          <t xml:space="preserve"> Was the second time around worse, about the same, or not as bad than the first time you had it? 
 I tested positive in March, it was a long three weeks of crappy feeling. It left me with blood clotting issues, heart issues, and lung damage. 
 I’m awaiting my test results now but I’m pretty sure i have it again. Just wanting to know what I’m in for.</t>
        </is>
      </c>
      <c r="D1989" t="n">
        <v>1</v>
      </c>
      <c r="E1989" t="n">
        <v>12</v>
      </c>
      <c r="F1989">
        <f>HYPERLINK("https://www.reddit.com/r/COVID19positive/comments/hazrvw/question_for_those_who_have_had_it_twice_now/")</f>
        <v/>
      </c>
      <c r="G1989" t="inlineStr">
        <is>
          <t>2020-06-17 13:46:14</t>
        </is>
      </c>
      <c r="H1989" t="inlineStr">
        <is>
          <t>Tested Positive - Me</t>
        </is>
      </c>
    </row>
    <row r="1990">
      <c r="A1990" t="inlineStr">
        <is>
          <t>hazyw2</t>
        </is>
      </c>
      <c r="B1990" t="inlineStr">
        <is>
          <t>Post covid-Experience</t>
        </is>
      </c>
      <c r="C1990" t="inlineStr">
        <is>
          <t>Hello, I’ve had the covid-19 rollercoaster since end of February. It’s gotten to the point where I pretty much feel back to normal but my left lower rib is a big ache that spreads to my sternum and right rib, gi issues like stomach sensitivity, burning sensation near my chest near my neck and general fatigue not to mention a general hot feeling. I know 16 weeks in I’ve come farther than most but I’m beginning to wonder if there’s a light at the end of this tunnel. Any else still ha big delays kicking this thing or any similar lingering symptoms?</t>
        </is>
      </c>
      <c r="D1990" t="n">
        <v>1</v>
      </c>
      <c r="E1990" t="n">
        <v>10</v>
      </c>
      <c r="F1990">
        <f>HYPERLINK("https://www.reddit.com/r/COVID19positive/comments/hazyw2/post_covidexperience/")</f>
        <v/>
      </c>
      <c r="G1990" t="inlineStr">
        <is>
          <t>2020-06-17 13:56:46</t>
        </is>
      </c>
      <c r="H1990" t="inlineStr">
        <is>
          <t>Presumed Positive - From Doctor</t>
        </is>
      </c>
    </row>
    <row r="1991">
      <c r="A1991" t="inlineStr">
        <is>
          <t>hb01iw</t>
        </is>
      </c>
      <c r="B1991" t="inlineStr">
        <is>
          <t>A possible explanation for long term symptoms</t>
        </is>
      </c>
      <c r="C1991" t="inlineStr">
        <is>
          <t>I have been looking into information about tissue recovery within our bodies in hopes to try and understand what exactly is happening.
I think I may have found an explanation about why a lot of us are experiencing long term lung and neurological issues and constant relapses due to increased activity.
When a body is attacked by a virus it technically sustains an acute injury. 
In order to repair the injury the body starts a 3-step process:
1. Inflammation. The purpose of this step is to clean up the injured area and provide needed nutrients to initiate repair. During inflammation we may experience: swelling, heat, loss of function (SOB in lungs and tingling/numbing etc with neuro issues), redness, and pain. 
2. Repair phase. In this phase signs and symptoms of inflammation subside and we start to feel better. The body builds granulation tissue that keeps the area intact and prepares our body for final cell regeneration. 
BUT!!! granulation tissue is very fragile and can’t sustain increased activity levels. If we increase activity  the tissue breaks down taking us back to the inflammation process (technically we relapse).
3. Remodelling phase. This is when body rebuilds permanent tissue. After the process is done, we feel fully recovered. But the new tissue is usually very stiff and it is important to initiate gradual return to normal activities to regain previous function. 
It is important to note that nerve and lung tissue have the slowest regeneration speeds - it literally takes months to complete the 3 step process above. 
I think a lot of us are stuck between the first two phases. 
What do you guys think about this?
Edit: wanted to add how to distinguish between the phases based upon how you feel:
1. Inflammation - The pain sensation produced during the inflammatory response is global (felt in a large area) because it is chemically induced and affects both damaged and surrounding tissues. People typically describe constant pain over a broad region that significantly limits function. They may have difficulty isolating the injury location during this initial phase and difficulty resting or sleeping is common. 
2. Repair phase - people often report more specific areas of pain as the chemicals of inflammation dissipate and healing processes centralize in areas of damage. People are tempted to test the injured area as inflammation and pain localize, symptoms become more intermittent, and function improves.
3. Regeneration phase - full recovery.</t>
        </is>
      </c>
      <c r="D1991" t="n">
        <v>2</v>
      </c>
      <c r="E1991" t="n">
        <v>63</v>
      </c>
      <c r="F1991">
        <f>HYPERLINK("https://www.reddit.com/r/COVID19positive/comments/hb01iw/a_possible_explanation_for_long_term_symptoms/")</f>
        <v/>
      </c>
      <c r="G1991" t="inlineStr">
        <is>
          <t>2020-06-17 14:00:38</t>
        </is>
      </c>
      <c r="H1991" t="inlineStr">
        <is>
          <t>Presumed Positive - From Doctor</t>
        </is>
      </c>
    </row>
    <row r="1992">
      <c r="A1992" t="inlineStr">
        <is>
          <t>hb0rdw</t>
        </is>
      </c>
      <c r="B1992" t="inlineStr">
        <is>
          <t>Sharing Supplement Info for COVID-19 Treatment</t>
        </is>
      </c>
      <c r="C1992" t="inlineStr">
        <is>
          <t>When I tested positive my doctor told me that another doctor had been doing a lot of research on certain supplements and their affect on COVID.
She gave me a sheet of his findings and how much to take.
I’m just sharing this to y’all. I am not a doctor, this was given to me by one:
For PREVENTION:
(Vitamin C - 500mg twice daily)
(Quercetin 250-500mg twice daily)
(Zinc 75-100mg daily)
(Melatonin) 
(Vitamin D3 1000 IU-4000 IU daily)
(Take all except melatonin with food)
For Symptomatic Treatment:
(Vitamin C - 1000mg twice daily)
(Quercetin - 250mg-500mg twice daily)
(Zinc -  75-100mg daily)
(Melatonin)
(Vitamin D3 - 2000 IU to 4000 IU daily)
(Green Tea Extract - up to 800mg daily)
I take these and I kicked all symptoms other than congestion, loss of taste and smell in 5 days after first symptoms showed up.
Hope this helps!</t>
        </is>
      </c>
      <c r="D1992" t="n">
        <v>5</v>
      </c>
      <c r="E1992" t="n">
        <v>31</v>
      </c>
      <c r="F1992">
        <f>HYPERLINK("https://www.reddit.com/r/COVID19positive/comments/hb0rdw/sharing_supplement_info_for_covid19_treatment/")</f>
        <v/>
      </c>
      <c r="G1992" t="inlineStr">
        <is>
          <t>2020-06-17 14:38:48</t>
        </is>
      </c>
      <c r="H1992" t="inlineStr">
        <is>
          <t>Tested Positive - Me</t>
        </is>
      </c>
    </row>
    <row r="1993">
      <c r="A1993" t="inlineStr">
        <is>
          <t>hb0w99</t>
        </is>
      </c>
      <c r="B1993" t="inlineStr">
        <is>
          <t>Nausea and Vomitting, Anyone Else?</t>
        </is>
      </c>
      <c r="C1993" t="inlineStr">
        <is>
          <t>Sorry this is a bit longer than anticipated. Last section has most of the important details if you want to skip ahead. 
Husband and I both tested positive on June 5th. We got lucky and have had mostly mild symptoms. He's not experienced any GI issues, but I've been experiencing them off and on since test day. Now here's the fun part, I'm 19 weeks pregnant, my entire first trimester I was pretty sick, nausea, vomitting, diarrhea, etc. After about 12/13 weeks it eased up dramatically to the point where I had been enjoying normal foods again etc. 
Fast forward to June 5th, husband has felt weird for a couple days and I'm just blaming allergies, but he woke up that morning with no taste and smell. I woke up June 5th and had some allergy symptoms but didn't think anything of it (before I knew he lost taste and smell, cuz I was supposed to work early that day and he didn't work until later so slept in), I ended up getting sick at work and threw up for the first time in a few weeks. I still wasn't phased, then husband texted when he woke up that he lost taste and smell, I left work and we both went to get tested that morning. 
It's been two weeks and he's recovered completely, I have a few symptoms still hanging in there, and now every day I feel sick again and have been throwing up like I'm back in the first trimester. I can't figure out if I'm just throwing up because I'm pregnant or because of COVID so I'm hoping someone else can provide some insight.</t>
        </is>
      </c>
      <c r="D1993" t="n">
        <v>1</v>
      </c>
      <c r="E1993" t="n">
        <v>5</v>
      </c>
      <c r="F1993">
        <f>HYPERLINK("https://www.reddit.com/r/COVID19positive/comments/hb0w99/nausea_and_vomitting_anyone_else/")</f>
        <v/>
      </c>
      <c r="G1993" t="inlineStr">
        <is>
          <t>2020-06-17 14:45:55</t>
        </is>
      </c>
      <c r="H1993" t="inlineStr">
        <is>
          <t>Tested Positive - Me</t>
        </is>
      </c>
    </row>
    <row r="1994">
      <c r="A1994" t="inlineStr">
        <is>
          <t>hb18h2</t>
        </is>
      </c>
      <c r="B1994" t="inlineStr">
        <is>
          <t>Alternative Medicine?</t>
        </is>
      </c>
      <c r="C1994" t="inlineStr">
        <is>
          <t>Curious if anyone here has pursued any sort of alternative medicine for their covid symptoms and/or ongoing post-viral symptoms. Acupuncture, vitamin IV therpay, chiropractor, ayurveda, naturopathy and the like. If so, what was your experience?</t>
        </is>
      </c>
      <c r="D1994" t="n">
        <v>1</v>
      </c>
      <c r="E1994" t="n">
        <v>22</v>
      </c>
      <c r="F1994">
        <f>HYPERLINK("https://www.reddit.com/r/COVID19positive/comments/hb18h2/alternative_medicine/")</f>
        <v/>
      </c>
      <c r="G1994" t="inlineStr">
        <is>
          <t>2020-06-17 15:03:15</t>
        </is>
      </c>
      <c r="H1994" t="inlineStr">
        <is>
          <t>Tested Positive</t>
        </is>
      </c>
    </row>
    <row r="1995">
      <c r="A1995" t="inlineStr">
        <is>
          <t>hb1cxn</t>
        </is>
      </c>
      <c r="B1995" t="inlineStr">
        <is>
          <t>Help me understand my vitals and symptoms, please.</t>
        </is>
      </c>
      <c r="C1995" t="inlineStr">
        <is>
          <t>(26M) Hey guys. I tested positive on May 30th and I’ve been in a constant decline since. The first week wasn’t too bad but now I hurt pretty bad. My symptoms include: Chest and what I’m assuming is heart pain (front and back), a serious cough, headaches, fatigue, occasional nausea and throwing up, the lack of taste and smell (although it’s partially come back), body aches and shortness of breath. I get my vitals taken every day by medics and all of my vitals are normal. Normal temp, normal HR, normal 02, but holy shit I’m hurting bad. Has anyone experienced this? It’s really worrying me.</t>
        </is>
      </c>
      <c r="D1995" t="n">
        <v>1</v>
      </c>
      <c r="E1995" t="n">
        <v>8</v>
      </c>
      <c r="F1995">
        <f>HYPERLINK("https://www.reddit.com/r/COVID19positive/comments/hb1cxn/help_me_understand_my_vitals_and_symptoms_please/")</f>
        <v/>
      </c>
      <c r="G1995" t="inlineStr">
        <is>
          <t>2020-06-17 15:09:44</t>
        </is>
      </c>
      <c r="H1995" t="inlineStr">
        <is>
          <t>Tested Positive - Me</t>
        </is>
      </c>
    </row>
    <row r="1996">
      <c r="A1996" t="inlineStr">
        <is>
          <t>hb1l5g</t>
        </is>
      </c>
      <c r="B1996" t="inlineStr">
        <is>
          <t>2 weeks in, still have a fever but tested negative!</t>
        </is>
      </c>
      <c r="C1996" t="inlineStr">
        <is>
          <t>Probably picked up this “unknown viral infection” from protests. I took the risk knowing I can isolate myself and not infect others, and I’m 28 and healthy. 
Symptoms started w/ GI issues, then got a low grade fever and tested the first or second day I had a fever. 
My test came back neg, but 2 weeks later I still have a low grade fever, now with a sore throat, mild cough, &amp;amp; awful fatigue. My fever has gradually gotten worse as well and I still have the GI symptoms. 
I went to the doctor this morning (before I just did teledoc) and my lungs looked okay, thankfully! I also got tested again. This time it was the short swab and not that awful torture device. Results pending. 
I don’t feel TERRIBLE but it’s sooo exhausting. I wish I had a short bad flu instead of this lingering bullshit. 
Curious if anyone had any experiences with false negatives, or any other similar stories. 
Also - any advice on how to deal with persistent fevers?</t>
        </is>
      </c>
      <c r="D1996" t="n">
        <v>1</v>
      </c>
      <c r="E1996" t="n">
        <v>9</v>
      </c>
      <c r="F1996">
        <f>HYPERLINK("https://www.reddit.com/r/COVID19positive/comments/hb1l5g/2_weeks_in_still_have_a_fever_but_tested_negative/")</f>
        <v/>
      </c>
      <c r="G1996" t="inlineStr">
        <is>
          <t>2020-06-17 15:22:03</t>
        </is>
      </c>
      <c r="H1996" t="inlineStr">
        <is>
          <t>Presumed Positive - From Doctor</t>
        </is>
      </c>
    </row>
    <row r="1997">
      <c r="A1997" t="inlineStr">
        <is>
          <t>hb1u2l</t>
        </is>
      </c>
      <c r="B1997" t="inlineStr">
        <is>
          <t>Strange temp and pulse fluctuations</t>
        </is>
      </c>
      <c r="C1997" t="inlineStr">
        <is>
          <t>Hi everyone,
So I’ve been dealing with COVID symptoms for about the last 7 weeks.  Last couple weeks have been hardest for SOB and rib soreness.  Today I felt kind of strange before taking a nap, kind of like a real bad case of brain fog.  I woke up with a pulse that kept going up and down (between 70 to mid 90s).  I took my temperature  because I felt a little warm and it was normal, about 98.7.  After about 5 minutes, felt warmer and temp rose to the 99s as high as 100.5.  Then, maybe 5 minutes later it felt the fever “broke” and it was normal again.  Has anyone else had these issues of “rolling fevers” and breathing fluctuations?  I had some issues with this before, but not for a few weeks.</t>
        </is>
      </c>
      <c r="D1997" t="n">
        <v>1</v>
      </c>
      <c r="E1997" t="n">
        <v>5</v>
      </c>
      <c r="F1997">
        <f>HYPERLINK("https://www.reddit.com/r/COVID19positive/comments/hb1u2l/strange_temp_and_pulse_fluctuations/")</f>
        <v/>
      </c>
      <c r="G1997" t="inlineStr">
        <is>
          <t>2020-06-17 15:35:13</t>
        </is>
      </c>
      <c r="H1997" t="inlineStr">
        <is>
          <t>Presumed Positive - From Doctor</t>
        </is>
      </c>
    </row>
    <row r="1998">
      <c r="A1998" t="inlineStr">
        <is>
          <t>hb2aaf</t>
        </is>
      </c>
      <c r="B1998" t="inlineStr">
        <is>
          <t>Can we talk about the leg discomfort?</t>
        </is>
      </c>
      <c r="C1998" t="inlineStr">
        <is>
          <t>Please tell me I’m not the only one feeling this. I’m 3 months in and the leg pain started at 2 months. Sometimes it’s in my calves, other times it’s in my shins or ankles. It’s even in my butt and down my quads. Maybe since I’m a runner this symptom seems way more serious than it actually is but it’s frustrating and I hope I’m not the only one dealing with this.
P.S I did get a D Dimer and it was negative</t>
        </is>
      </c>
      <c r="D1998" t="n">
        <v>1</v>
      </c>
      <c r="E1998" t="n">
        <v>25</v>
      </c>
      <c r="F1998">
        <f>HYPERLINK("https://www.reddit.com/r/COVID19positive/comments/hb2aaf/can_we_talk_about_the_leg_discomfort/")</f>
        <v/>
      </c>
      <c r="G1998" t="inlineStr">
        <is>
          <t>2020-06-17 16:00:11</t>
        </is>
      </c>
      <c r="H1998" t="inlineStr">
        <is>
          <t>Presumed Positive - From Doctor</t>
        </is>
      </c>
    </row>
    <row r="1999">
      <c r="A1999" t="inlineStr">
        <is>
          <t>hb2d84</t>
        </is>
      </c>
      <c r="B1999" t="inlineStr">
        <is>
          <t>Lingering symptoms...</t>
        </is>
      </c>
      <c r="C1999" t="inlineStr">
        <is>
          <t>36/M very healthy. 
Slight fatigue and lower throat / upper chest flem have persisted well over a month now. 
Does this mean I could be potentially spreading the virus still? I’ve been very careful, but looking to take a trip soon to see my parents. Obviously won’t depending on answers...</t>
        </is>
      </c>
      <c r="D1999" t="n">
        <v>2</v>
      </c>
      <c r="E1999" t="n">
        <v>6</v>
      </c>
      <c r="F1999">
        <f>HYPERLINK("https://www.reddit.com/r/COVID19positive/comments/hb2d84/lingering_symptoms/")</f>
        <v/>
      </c>
      <c r="G1999" t="inlineStr">
        <is>
          <t>2020-06-17 16:04:33</t>
        </is>
      </c>
      <c r="H1999" t="inlineStr">
        <is>
          <t>Presumed Positive - From Doctor</t>
        </is>
      </c>
    </row>
    <row r="2000">
      <c r="A2000" t="inlineStr">
        <is>
          <t>hb2lw6</t>
        </is>
      </c>
      <c r="B2000" t="inlineStr">
        <is>
          <t>I'm 4 months into this ride and had a few questions if anyone further along has the time. Thanks!</t>
        </is>
      </c>
      <c r="C2000" t="inlineStr">
        <is>
          <t>So I caught this bug back in March. For the next month, I couldn't take more than half a breath in, had killer pains in my chest and throat, constant headaches, everything typical of Covid. Took the test a week in and positive. I got hit damn hard considering I'm a 22 year old athlete with no pre-existing conditions, seeing as it felt as though my lungs had collapsed for a good month and I'm still not over this now. Anyway, that's not important. 
What I wanted to ask from anyone further along from me is, is it normal to still be having chest pains four months along? They're nowhere near as severe as before, but I still get aches everywhere in my chest just popping up at random throughout the day they can be sharp or dull, hitting one spot or whole large areas.
My doctor's diagnosed post-virus pneumonia with me, if that helps anyone figure this out. I've had infection after infection -mostly tonsillitis of some kind- since this started, but the chest pain hasn't gone away. 
My chest X ray came back clear a couple of weeks ago, but still this damn chest pain won't budge, and just wondered if anyone else has had this experience. Is this normal for recovery? It's really irritating and, I'll admit, somewhat worrying. 
Thank you for reading this guys, and I hope you're all doing well in your fight against this fuckin' thing. Stay strong everyone. And if anyone has any questions for me I'm happy to help out.</t>
        </is>
      </c>
      <c r="D2000" t="n">
        <v>1</v>
      </c>
      <c r="E2000" t="n">
        <v>7</v>
      </c>
      <c r="F2000">
        <f>HYPERLINK("https://www.reddit.com/r/COVID19positive/comments/hb2lw6/im_4_months_into_this_ride_and_had_a_few/")</f>
        <v/>
      </c>
      <c r="G2000" t="inlineStr">
        <is>
          <t>2020-06-17 16:18:12</t>
        </is>
      </c>
      <c r="H2000" t="inlineStr">
        <is>
          <t>Tested Positive - Me</t>
        </is>
      </c>
    </row>
    <row r="2001">
      <c r="A2001" t="inlineStr">
        <is>
          <t>hb4f0t</t>
        </is>
      </c>
      <c r="B2001" t="inlineStr">
        <is>
          <t>24M tested positive a day ago</t>
        </is>
      </c>
      <c r="C2001" t="inlineStr">
        <is>
          <t>About two days ago, I was informed by one of my friends (whom I saw over the weekend) that she had tested positive. I began feeling symptoms then, but it wasn’t until the next day when I got tested that I began to feel like I had a bad case of the flu. 
I’ve had symptoms for about 3 days now, but thankfully they don’t seem to be getting worse. I do feel tired, have a constant headache, and a lot of muscle pain, but nothing too severe - no fever or shortness of breath. 
Has anyone who’s tested positive experienced only low to mild symptoms? Is it possible that I could be experiencing this for only a couple of days?</t>
        </is>
      </c>
      <c r="D2001" t="n">
        <v>1</v>
      </c>
      <c r="E2001" t="n">
        <v>14</v>
      </c>
      <c r="F2001">
        <f>HYPERLINK("https://www.reddit.com/r/COVID19positive/comments/hb4f0t/24m_tested_positive_a_day_ago/")</f>
        <v/>
      </c>
      <c r="G2001" t="inlineStr">
        <is>
          <t>2020-06-17 18:01:37</t>
        </is>
      </c>
      <c r="H2001" t="inlineStr">
        <is>
          <t>Tested Positive - Me</t>
        </is>
      </c>
    </row>
    <row r="2002">
      <c r="A2002" t="inlineStr">
        <is>
          <t>hb4iy8</t>
        </is>
      </c>
      <c r="B2002" t="inlineStr">
        <is>
          <t>Heart Rate Has Decreased Considerably?</t>
        </is>
      </c>
      <c r="C2002" t="inlineStr">
        <is>
          <t>I'm on day 16 of having covid, and overall, it's been mild. No real cough, no fever, though I did lose all smell/taste, get a sore throat, sore body and had a few days of diarrhea, but that's about it. Starting about day 14, the fatigue has ramped up considerably. Before while I was sick, I was able to clean my apartment and organize, and it really wasn't too bad, but now I'm crippled by the exhaustion.  
I use an Oura, a ring used to track sleep and more. For months, my resting heart rate during sleep is around 63 bpm. When initially I got sick, the first few days it went up to 70+ for a few nights. Now, for the past few days it's dropped to 48 bpm, and my body temperature is actually lower than my usual average by .8 degrees celsius.   
I'm really curious about the decreased heart rate and what it could mean? I can't find much about it anywhere.</t>
        </is>
      </c>
      <c r="D2002" t="n">
        <v>1</v>
      </c>
      <c r="E2002" t="n">
        <v>9</v>
      </c>
      <c r="F2002">
        <f>HYPERLINK("https://www.reddit.com/r/COVID19positive/comments/hb4iy8/heart_rate_has_decreased_considerably/")</f>
        <v/>
      </c>
      <c r="G2002" t="inlineStr">
        <is>
          <t>2020-06-17 18:07:34</t>
        </is>
      </c>
      <c r="H2002" t="inlineStr">
        <is>
          <t>Tested Positive - Me</t>
        </is>
      </c>
    </row>
    <row r="2003">
      <c r="A2003" t="inlineStr">
        <is>
          <t>hb4o0l</t>
        </is>
      </c>
      <c r="B2003" t="inlineStr">
        <is>
          <t>Grape sized lymph nodes in neck 3 months in.</t>
        </is>
      </c>
      <c r="C2003" t="inlineStr">
        <is>
          <t>So yeah, after 3 months my lymph nodes are still swollen. Just finished a 10 day round of antibiotics for a weird case of epididymitis which had no infection markers, still get strangely chilled in 30c (like high 90s f) weather, face gets super hot in short bursts, have developed a small allergy to the sun, probably due to the antibiotics. My psoriasis has spread to my face, which before all of this was only isolated to a small patch on my chest.
Superficial blood clot in my leg has apparently gone, but it still feels like my leg fills up when I stand for too long. That's likely unrelated outside of the obvious inflamation. 
So fucking weird. 
33. Fit. Construction worker. 
Bought some omega 3 fish oil, CBD oil, going to grab some cucumin tomorrow. Vitamin C and D.
I've definitely made some huge strides from early march, but god damn this thing wont let go.
I've been playing with the idea of going running. My lungs feel fine. No pain. No SOB except when I hang out here for too long and give myself a panic attack lol. 
Idk. Sorry for the rambling. 
These lymph nodes got me worried about cancer now, so I'm getting them checked out. 
Perhaps I'll find god.</t>
        </is>
      </c>
      <c r="D2003" t="n">
        <v>1</v>
      </c>
      <c r="E2003" t="n">
        <v>24</v>
      </c>
      <c r="F2003">
        <f>HYPERLINK("https://www.reddit.com/r/COVID19positive/comments/hb4o0l/grape_sized_lymph_nodes_in_neck_3_months_in/")</f>
        <v/>
      </c>
      <c r="G2003" t="inlineStr">
        <is>
          <t>2020-06-17 18:15:40</t>
        </is>
      </c>
      <c r="H2003" t="inlineStr">
        <is>
          <t>Tested Positive</t>
        </is>
      </c>
    </row>
    <row r="2004">
      <c r="A2004" t="inlineStr">
        <is>
          <t>hb6pb7</t>
        </is>
      </c>
      <c r="B2004" t="inlineStr">
        <is>
          <t>My stomach</t>
        </is>
      </c>
      <c r="C2004" t="inlineStr">
        <is>
          <t>Hello everyone, I hope you all are doing well. A lot of my post are just asking if someone can relate to me so I feel less crazy, but anyways I was wondering if anyone had stomach issues later on in their sickness. My stomach has been hurting for the past week and I keep thinking is this a new symptom or something else.</t>
        </is>
      </c>
      <c r="D2004" t="n">
        <v>1</v>
      </c>
      <c r="E2004" t="n">
        <v>9</v>
      </c>
      <c r="F2004">
        <f>HYPERLINK("https://www.reddit.com/r/COVID19positive/comments/hb6pb7/my_stomach/")</f>
        <v/>
      </c>
      <c r="G2004" t="inlineStr">
        <is>
          <t>2020-06-17 20:25:17</t>
        </is>
      </c>
      <c r="H2004" t="inlineStr">
        <is>
          <t>Presumed Positive - From Doctor</t>
        </is>
      </c>
    </row>
    <row r="2005">
      <c r="A2005" t="inlineStr">
        <is>
          <t>hb76sy</t>
        </is>
      </c>
      <c r="B2005" t="inlineStr">
        <is>
          <t>People don’t understand the fear of Loss of Smell/Taste</t>
        </is>
      </c>
      <c r="C2005" t="inlineStr">
        <is>
          <t>Humans rely on their senses. I will admit in the big scheme of symptoms loss of smell and taste seemed mild when I read about it in the news. 
Until you experience it. It’s frightening and disorienting. I find myself constantly trying to smell different foods, plants, soaps, etc. 
Although it seems vain and not important during these times. I’m very subconscious now about how my home, car and my body smell. Because I have no idea! 
I’m thankful I’m alive and healthy. Yet our senses are part of what makes us human. I continue to share the importance of following CDC and local guidance on staying healthy. I do not want anyone else to experience this. 
We’re all in this together. Yes we are alive and functioning, but it’s ok to be frustrated and upset about our symptoms. More we can spread awareness the better. 
My heart goes out to all of you.</t>
        </is>
      </c>
      <c r="D2005" t="n">
        <v>1</v>
      </c>
      <c r="E2005" t="n">
        <v>12</v>
      </c>
      <c r="F2005">
        <f>HYPERLINK("https://www.reddit.com/r/COVID19positive/comments/hb76sy/people_dont_understand_the_fear_of_loss_of/")</f>
        <v/>
      </c>
      <c r="G2005" t="inlineStr">
        <is>
          <t>2020-06-17 21:00:13</t>
        </is>
      </c>
      <c r="H2005" t="inlineStr">
        <is>
          <t>Presumed Positive - From Doctor</t>
        </is>
      </c>
    </row>
    <row r="2006">
      <c r="A2006" t="inlineStr">
        <is>
          <t>hb7tir</t>
        </is>
      </c>
      <c r="B2006" t="inlineStr">
        <is>
          <t>Phlegm in throat</t>
        </is>
      </c>
      <c r="C2006" t="inlineStr">
        <is>
          <t>So am pretty sure I got it in March. It was ruled as bronchitis. It’s been 3 months and I can still feel phlegm in my throat. It is evident because when I take a deep breath I can feel it lodged. Anyone else have this issue?</t>
        </is>
      </c>
      <c r="D2006" t="n">
        <v>1</v>
      </c>
      <c r="E2006" t="n">
        <v>2</v>
      </c>
      <c r="F2006">
        <f>HYPERLINK("https://www.reddit.com/r/COVID19positive/comments/hb7tir/phlegm_in_throat/")</f>
        <v/>
      </c>
      <c r="G2006" t="inlineStr">
        <is>
          <t>2020-06-17 21:44:59</t>
        </is>
      </c>
      <c r="H2006" t="inlineStr">
        <is>
          <t>Tested Positive</t>
        </is>
      </c>
    </row>
    <row r="2007">
      <c r="A2007" t="inlineStr">
        <is>
          <t>hb84dh</t>
        </is>
      </c>
      <c r="B2007" t="inlineStr">
        <is>
          <t>I’m an asymptomatic positive for COVID-19</t>
        </is>
      </c>
      <c r="C2007" t="inlineStr">
        <is>
          <t>I live in a place that required me to have a negative coronavirus test before I could travel all the way home. I‘ve been quarantining since I arrived back in my country and had my first COVID test which was negative. I took quarantine very seriously, I was completely alone the whole time, I only ordered food via delivery and had them leave it at the door, I wore a mask when I went to the laundry room and trash room of the building I’m staying in. I felt sure that I was being the most cautious I could be to protect myself and others. I had to get tested again to finish my journey back to my home and on Monday I got tested for the second time. I had no reason to believe I had COVID, in fact I was certain I didn’t have it and the test would come back negative. It came back positive, so I’m assuming I am an asymptomatic carrier of the virus. Or that for some reason I had a false positive test. I haven’t been in direct contact with anyone in the past 15 days because of the quarantine, so I feel certain I haven’t spread it. I haven’t had a cough or shortness of breath or even a fever at all in the past few weeks. None of the many symptoms listed I have experienced at all actually. I certainly feel lucky that I don’t have symptoms but I also am waiting for them to potentially show up. I have already scheduled another test. I’m not sure what to believe. I worry about spreading the disease to others, I worry about whether I should trust a negative result so soon after a positive, I worry about what I will do if my next test is also positive. 
I am 23F, I don’t smoke or drink alcohol and I have continued exercising throughout my quarantine which I think all might have contributed to being an asymptomatic carrier, although I really have no way of knowing for sure why I would test positive but not present symptoms. I also have no way of knowing how likely it is that the test was a false positive. I have vulnerable family members waiting for me at home and I cannot under any circumstances risk spreading this virus to them, no matter how mild my experience is. I feel really alone in this and would appreciate to hear the experiences of other asymptomatic positives/I just wanted to put my story out there.</t>
        </is>
      </c>
      <c r="D2007" t="n">
        <v>1</v>
      </c>
      <c r="E2007" t="n">
        <v>7</v>
      </c>
      <c r="F2007">
        <f>HYPERLINK("https://www.reddit.com/r/COVID19positive/comments/hb84dh/im_an_asymptomatic_positive_for_covid19/")</f>
        <v/>
      </c>
      <c r="G2007" t="inlineStr">
        <is>
          <t>2020-06-17 22:06:46</t>
        </is>
      </c>
      <c r="H2007" t="inlineStr">
        <is>
          <t>Tested Positive - Me</t>
        </is>
      </c>
    </row>
    <row r="2008">
      <c r="A2008" t="inlineStr">
        <is>
          <t>hb8z3o</t>
        </is>
      </c>
      <c r="B2008" t="inlineStr">
        <is>
          <t>Severe neurological damage? Long term implications?</t>
        </is>
      </c>
      <c r="C2008" t="inlineStr">
        <is>
          <t>After finding out how covid effects our neurological system I m nervous ab silent long term issues. When I was in my second week I started hallucinating both visually and auditory. I felt like I was almost ab to faint a lot too and incredibly dizzy.  Now I'm in my 9th week and slowly getting better but I get muscle twitches and spasms. I still get SOB too sometimes but not in the "normal" way. Like I have to do manual breathing or it doesn't come naturally anymore. I'm sometimes kinda dizzy when I stand up. I have no concentration what so ever but I also am diagnosed ADHD and nervous to get back on my medication. I don't feel like myself either. Like slightly more off the rails. I get irritated easily and my future goals have changed. Is this worth bringing up to my psychiatrist?</t>
        </is>
      </c>
      <c r="D2008" t="n">
        <v>1</v>
      </c>
      <c r="E2008" t="n">
        <v>28</v>
      </c>
      <c r="F2008">
        <f>HYPERLINK("https://www.reddit.com/r/COVID19positive/comments/hb8z3o/severe_neurological_damage_long_term_implications/")</f>
        <v/>
      </c>
      <c r="G2008" t="inlineStr">
        <is>
          <t>2020-06-17 23:09:38</t>
        </is>
      </c>
      <c r="H2008" t="inlineStr">
        <is>
          <t>Tested Positive - Me</t>
        </is>
      </c>
    </row>
    <row r="2009">
      <c r="A2009" t="inlineStr">
        <is>
          <t>hb9l2x</t>
        </is>
      </c>
      <c r="B2009" t="inlineStr">
        <is>
          <t>Resurgence- what to expect? Resurgence on day 109</t>
        </is>
      </c>
      <c r="C2009" t="inlineStr">
        <is>
          <t>For those of you who experienced late stage resurgences -- how did those go?  Were symptoms as bad as those in your initial illness?  How long was your resurgence?
My info:
37F. Perfectly healthy runner pre-covid. Infected Feb 23, first symptoms Feb 27. Heavy illness for 2 weeks, and extended illness totaled 53 days.  Primary symptoms: on/off mild fever, massive headaches, painful deep breathing; cough lasting about 2 weeks.
Small blip days 70-74 after excessive exercise. Painful deep breathing returned.  Then symptoms disappeared.
Recent blip began June 12 (Day 109), and has progressed.  Blip began w/ headaches/fatigue/mild fever.  The fever has gotten worse, and today I woke up with a cough.   I am increasingly concerned.</t>
        </is>
      </c>
      <c r="D2009" t="n">
        <v>1</v>
      </c>
      <c r="E2009" t="n">
        <v>9</v>
      </c>
      <c r="F2009">
        <f>HYPERLINK("https://www.reddit.com/r/COVID19positive/comments/hb9l2x/resurgence_what_to_expect_resurgence_on_day_109/")</f>
        <v/>
      </c>
      <c r="G2009" t="inlineStr">
        <is>
          <t>2020-06-17 23:54:45</t>
        </is>
      </c>
      <c r="H2009" t="inlineStr">
        <is>
          <t>Tested Positive - Family</t>
        </is>
      </c>
    </row>
    <row r="2010">
      <c r="A2010" t="inlineStr">
        <is>
          <t>hba0k0</t>
        </is>
      </c>
      <c r="B2010" t="inlineStr">
        <is>
          <t>Long Haulers: Are many/most of us Athletes?</t>
        </is>
      </c>
      <c r="C2010" t="inlineStr">
        <is>
          <t>Day 94. Runner. still intermittent SOB, exercise triggered. 
I’m reading that many of us Covid Long Haulers are athletic and symptoms are re-triggered by exercise or exertion. 
My last episode was Day 84/85 and it was pretty close to what my Day 13 Hell Day was. Almost went back to the ER.  
Have been taking it fairly easy since. Some minor physical activity but no hard cardio. 
Are there no sedentary Long haulers? Smoker Long Haulers?</t>
        </is>
      </c>
      <c r="D2010" t="n">
        <v>1</v>
      </c>
      <c r="E2010" t="n">
        <v>150</v>
      </c>
      <c r="F2010">
        <f>HYPERLINK("https://www.reddit.com/r/COVID19positive/comments/hba0k0/long_haulers_are_manymost_of_us_athletes/")</f>
        <v/>
      </c>
      <c r="G2010" t="inlineStr">
        <is>
          <t>2020-06-18 00:27:58</t>
        </is>
      </c>
      <c r="H2010" t="inlineStr">
        <is>
          <t>Presumed Positive - From Doctor</t>
        </is>
      </c>
    </row>
    <row r="2011">
      <c r="A2011" t="inlineStr">
        <is>
          <t>hbc2ys</t>
        </is>
      </c>
      <c r="B2011" t="inlineStr">
        <is>
          <t>Bad skin no symptoms</t>
        </is>
      </c>
      <c r="C2011" t="inlineStr">
        <is>
          <t>I tested positive yesterday I have no symptoms but I have awful skin all of a sudden I’m covered in spots. Has anyone else experience this?</t>
        </is>
      </c>
      <c r="D2011" t="n">
        <v>1</v>
      </c>
      <c r="E2011" t="n">
        <v>12</v>
      </c>
      <c r="F2011">
        <f>HYPERLINK("https://www.reddit.com/r/COVID19positive/comments/hbc2ys/bad_skin_no_symptoms/")</f>
        <v/>
      </c>
      <c r="G2011" t="inlineStr">
        <is>
          <t>2020-06-18 03:27:33</t>
        </is>
      </c>
      <c r="H2011" t="inlineStr">
        <is>
          <t>Tested Positive</t>
        </is>
      </c>
    </row>
    <row r="2012">
      <c r="A2012" t="inlineStr">
        <is>
          <t>hbcglu</t>
        </is>
      </c>
      <c r="B2012" t="inlineStr">
        <is>
          <t>90+ days in, still testing positive</t>
        </is>
      </c>
      <c r="C2012" t="inlineStr">
        <is>
          <t>Went to get an antibody test since I’ve started feeling much better in the last week or two. Met with the doctor and they required a swab and wanted blood tests also with the antibody test.
My first test at the end of March was negative, I’m pretty sure that I was swabbed incorrectly though. 
Swab from this week came back positive, IgM and IgG were both negative. The IgG test was the Abbott test and IgM was ELISA so they are two of the most accurate tests. 
I still have some GI issues and lingering shortness of breath. 
Blood work came back clean, including D-Dimer and inflammatory markers.
Kidney function was slightly elevated but within normal range. My lymphocyte ratio was a little high but that’s to be expected fighting a virus. 
Anyone else testing positive this long in without antibodies? 
When will my body create antibodies to this?</t>
        </is>
      </c>
      <c r="D2012" t="n">
        <v>1</v>
      </c>
      <c r="E2012" t="n">
        <v>130</v>
      </c>
      <c r="F2012">
        <f>HYPERLINK("https://www.reddit.com/r/COVID19positive/comments/hbcglu/90_days_in_still_testing_positive/")</f>
        <v/>
      </c>
      <c r="G2012" t="inlineStr">
        <is>
          <t>2020-06-18 03:59:04</t>
        </is>
      </c>
      <c r="H2012" t="inlineStr">
        <is>
          <t>Tested Positive - Me</t>
        </is>
      </c>
    </row>
    <row r="2013">
      <c r="A2013" t="inlineStr">
        <is>
          <t>hbckrz</t>
        </is>
      </c>
      <c r="B2013" t="inlineStr">
        <is>
          <t>Can you still test positive after 2 months?</t>
        </is>
      </c>
      <c r="C2013" t="inlineStr">
        <is>
          <t>My doctor has ordered for me to be retested next week.
I tested positive initially mid March. Negative antibodies at the end of May. I'm still have recurring symptoms. Last week I felt amazing, zero symptoms aside from a little fatigue. Then just yesterday: sore throat, ear fullness, blocked sinuses, nausea, that same freaky tickle in the back of my nose, mild shortness of breath. I had a telemedicine visit, which is when he suggested the possibility of me still being positive.
Just wondering, who else has tested positive after 2+ months of symptoms? Just seems unreal to me. Hoping this ends soon.</t>
        </is>
      </c>
      <c r="D2013" t="n">
        <v>1</v>
      </c>
      <c r="E2013" t="n">
        <v>13</v>
      </c>
      <c r="F2013">
        <f>HYPERLINK("https://www.reddit.com/r/COVID19positive/comments/hbckrz/can_you_still_test_positive_after_2_months/")</f>
        <v/>
      </c>
      <c r="G2013" t="inlineStr">
        <is>
          <t>2020-06-18 04:07:43</t>
        </is>
      </c>
      <c r="H2013" t="inlineStr">
        <is>
          <t>Tested Positive - Me</t>
        </is>
      </c>
    </row>
    <row r="2014">
      <c r="A2014" t="inlineStr">
        <is>
          <t>hbfmiw</t>
        </is>
      </c>
      <c r="B2014" t="inlineStr">
        <is>
          <t>101 days in. Symptoms getting worse.</t>
        </is>
      </c>
      <c r="C2014" t="inlineStr">
        <is>
          <t>The initial sickness wasn't too bad. Like a mild flu. The recurring inflammation was worse but medicine helped. Had a good month of only a mild sore throat but the last 2 weeks have been the worst.
Even on steroids and antibiotics the symptoms are stronger and coming and going randomly. On Monday my heart and throat hurt with bad fatigue. Tuesday I only had fatigue. Yesterday on Wednesday my throat was sore and my heart started beating funny in the evening. This morning my throat really hurts, ear canals hurt, heart is beating funny and it's harder to breathe.
I don't even know what to do anymore. The medicines that were working aren't as much anymore and unsure what more the doctors could prescribe. Thinking of getting another Covid-19 test to see if it's a new infection rather then just the same one ramping up.</t>
        </is>
      </c>
      <c r="D2014" t="n">
        <v>3</v>
      </c>
      <c r="E2014" t="n">
        <v>40</v>
      </c>
      <c r="F2014">
        <f>HYPERLINK("https://www.reddit.com/r/COVID19positive/comments/hbfmiw/101_days_in_symptoms_getting_worse/")</f>
        <v/>
      </c>
      <c r="G2014" t="inlineStr">
        <is>
          <t>2020-06-18 07:28:05</t>
        </is>
      </c>
      <c r="H2014" t="inlineStr">
        <is>
          <t>Tested Positive - Me</t>
        </is>
      </c>
    </row>
    <row r="2015">
      <c r="A2015" t="inlineStr">
        <is>
          <t>hbfqki</t>
        </is>
      </c>
      <c r="B2015" t="inlineStr">
        <is>
          <t>Leg numbness</t>
        </is>
      </c>
      <c r="C2015" t="inlineStr">
        <is>
          <t>I’ve been symptom/fever free for about a week now. Was sick for 10 days with a mild illness after testing positive. Last night I woke up to use the bathroom, and almost fell when I got out of bed because my left leg was completely numb... like after I had an epidural numb. I hobbled to the bathroom and eventually woke the leg up to pins and needles. This happened one other time when I was sick and woke me up in the night, same leg. 
Even though I’m recovered, could this be related to covid? Could I be having clotting issues or nerve problems? Or do you think it’s just a coincidence and I’m sleeping weird?</t>
        </is>
      </c>
      <c r="D2015" t="n">
        <v>3</v>
      </c>
      <c r="E2015" t="n">
        <v>9</v>
      </c>
      <c r="F2015">
        <f>HYPERLINK("https://www.reddit.com/r/COVID19positive/comments/hbfqki/leg_numbness/")</f>
        <v/>
      </c>
      <c r="G2015" t="inlineStr">
        <is>
          <t>2020-06-18 07:34:01</t>
        </is>
      </c>
      <c r="H2015" t="inlineStr">
        <is>
          <t>Tested Positive - Me</t>
        </is>
      </c>
    </row>
    <row r="2016">
      <c r="A2016" t="inlineStr">
        <is>
          <t>hbfqzm</t>
        </is>
      </c>
      <c r="B2016" t="inlineStr">
        <is>
          <t>Heart racing</t>
        </is>
      </c>
      <c r="C2016" t="inlineStr">
        <is>
          <t>My heart is back to pounding again. I’m negative. But sometimes when it’s pounding my heart rate isn’t high? Anyone else? And when I wake up again my heart feels so sore. I got a clear chest x Ray. What else can it be</t>
        </is>
      </c>
      <c r="D2016" t="n">
        <v>3</v>
      </c>
      <c r="E2016" t="n">
        <v>12</v>
      </c>
      <c r="F2016">
        <f>HYPERLINK("https://www.reddit.com/r/COVID19positive/comments/hbfqzm/heart_racing/")</f>
        <v/>
      </c>
      <c r="G2016" t="inlineStr">
        <is>
          <t>2020-06-18 07:34:37</t>
        </is>
      </c>
      <c r="H2016" t="inlineStr">
        <is>
          <t>Tested Positive - Me</t>
        </is>
      </c>
    </row>
    <row r="2017">
      <c r="A2017" t="inlineStr">
        <is>
          <t>hbfyqd</t>
        </is>
      </c>
      <c r="B2017" t="inlineStr">
        <is>
          <t>Coronavirus: California sets a record number of cases amid reopening</t>
        </is>
      </c>
      <c r="C2017" t="inlineStr">
        <is>
          <t>There are a huge number of folks that travel to/from Cali/Arizona using their vehicles.  I'm very concerned right now.  We must discourage travel between these two states for Arizona's sake!</t>
        </is>
      </c>
      <c r="D2017" t="n">
        <v>0</v>
      </c>
      <c r="E2017" t="n">
        <v>14</v>
      </c>
      <c r="F2017">
        <f>HYPERLINK("https://www.reddit.com/r/COVID19positive/comments/hbfyqd/coronavirus_california_sets_a_record_number_of/")</f>
        <v/>
      </c>
      <c r="G2017" t="inlineStr">
        <is>
          <t>2020-06-18 07:46:10</t>
        </is>
      </c>
      <c r="H2017" t="inlineStr">
        <is>
          <t>Tested Positive</t>
        </is>
      </c>
    </row>
    <row r="2018">
      <c r="A2018" t="inlineStr">
        <is>
          <t>hbh5p8</t>
        </is>
      </c>
      <c r="B2018" t="inlineStr">
        <is>
          <t>Electrolytes and insomnia</t>
        </is>
      </c>
      <c r="C2018" t="inlineStr">
        <is>
          <t>I'm making an "electrolyte drink" with 2 cups water, 1/4 cup fruit juice, 1/4 tsp salt and taking one 99mg potassium pill just before bed. This seems to be helping me sleep and reducing my amount of awakenings. Also went from drinking 2-3 pints of water per night to 1 or less. This plus side sleeping seems to be helping a lot.</t>
        </is>
      </c>
      <c r="D2018" t="n">
        <v>1</v>
      </c>
      <c r="E2018" t="n">
        <v>15</v>
      </c>
      <c r="F2018">
        <f>HYPERLINK("https://www.reddit.com/r/COVID19positive/comments/hbh5p8/electrolytes_and_insomnia/")</f>
        <v/>
      </c>
      <c r="G2018" t="inlineStr">
        <is>
          <t>2020-06-18 08:48:40</t>
        </is>
      </c>
      <c r="H2018" t="inlineStr">
        <is>
          <t>Presumed Positive - From Doctor</t>
        </is>
      </c>
    </row>
    <row r="2019">
      <c r="A2019" t="inlineStr">
        <is>
          <t>hbj00m</t>
        </is>
      </c>
      <c r="B2019" t="inlineStr">
        <is>
          <t>GF finally tested NEGATIVE!! Does she need to two Negative Tests to make sure she’s 100% Negative?</t>
        </is>
      </c>
      <c r="C2019" t="inlineStr">
        <is>
          <t>Hi Reddit Family! My girlfriend was exposed to COVID-19 May 23, 2020. She was Asymptomatic.
1) She tested Positive for COVID-19 on May 28th
2) She tested Positive again on June 10th
3) She FINALLY tested NEGATIVE June 17th
Am I safe to go back home? Does she need two negative tests to be cleared? Any help, would be greatly appreciated.</t>
        </is>
      </c>
      <c r="D2019" t="n">
        <v>2</v>
      </c>
      <c r="E2019" t="n">
        <v>8</v>
      </c>
      <c r="F2019">
        <f>HYPERLINK("https://www.reddit.com/r/COVID19positive/comments/hbj00m/gf_finally_tested_negative_does_she_need_to_two/")</f>
        <v/>
      </c>
      <c r="G2019" t="inlineStr">
        <is>
          <t>2020-06-18 10:23:30</t>
        </is>
      </c>
      <c r="H2019" t="inlineStr">
        <is>
          <t>Tested Positive</t>
        </is>
      </c>
    </row>
    <row r="2020">
      <c r="A2020" t="inlineStr">
        <is>
          <t>hbjd1a</t>
        </is>
      </c>
      <c r="B2020" t="inlineStr">
        <is>
          <t>Covid+ and GERD?</t>
        </is>
      </c>
      <c r="C2020" t="inlineStr">
        <is>
          <t>I tested + for covid a month ago and still am having symptoms and exhaustion. I’m writing  bc my reflux and heartburn have been abysmal since getting Covid. I already take 80 mg of Protonix and famotidine at night. I’m supposed to be following The Avid Watcher’s Diet, AWD, but am doing the best I can with my limited energy.   Anyone else experiencing this? Any suggestions for natural supplements that could help heartburn? Idk if it’s heartburn or Covid hurting my chest, but I can differentiate when I have reflux. Thank you!</t>
        </is>
      </c>
      <c r="D2020" t="n">
        <v>1</v>
      </c>
      <c r="E2020" t="n">
        <v>25</v>
      </c>
      <c r="F2020">
        <f>HYPERLINK("https://www.reddit.com/r/COVID19positive/comments/hbjd1a/covid_and_gerd/")</f>
        <v/>
      </c>
      <c r="G2020" t="inlineStr">
        <is>
          <t>2020-06-18 10:43:07</t>
        </is>
      </c>
      <c r="H2020" t="inlineStr">
        <is>
          <t>Tested Positive - Me</t>
        </is>
      </c>
    </row>
    <row r="2021">
      <c r="A2021" t="inlineStr">
        <is>
          <t>hbjvvz</t>
        </is>
      </c>
      <c r="B2021" t="inlineStr">
        <is>
          <t>Any heavy smokers surviving ???</t>
        </is>
      </c>
      <c r="C2021" t="inlineStr">
        <is>
          <t>Title says it all boys</t>
        </is>
      </c>
      <c r="D2021" t="n">
        <v>1</v>
      </c>
      <c r="E2021" t="n">
        <v>29</v>
      </c>
      <c r="F2021">
        <f>HYPERLINK("https://www.reddit.com/r/COVID19positive/comments/hbjvvz/any_heavy_smokers_surviving/")</f>
        <v/>
      </c>
      <c r="G2021" t="inlineStr">
        <is>
          <t>2020-06-18 11:11:38</t>
        </is>
      </c>
      <c r="H2021" t="inlineStr">
        <is>
          <t>Tested Positive</t>
        </is>
      </c>
    </row>
    <row r="2022">
      <c r="A2022" t="inlineStr">
        <is>
          <t>hblend</t>
        </is>
      </c>
      <c r="B2022" t="inlineStr">
        <is>
          <t>Hey all, recently contracted covid, experiencing the general symptoms but I’m on my own cocktail of multivitamins, ibuprofen, and 2000mg of emergen C a day.</t>
        </is>
      </c>
      <c r="C2022" t="inlineStr">
        <is>
          <t>Has anyone tried this and seen a positive result? Is this even helpful? Thoughts?</t>
        </is>
      </c>
      <c r="D2022" t="n">
        <v>1</v>
      </c>
      <c r="E2022" t="n">
        <v>31</v>
      </c>
      <c r="F2022">
        <f>HYPERLINK("https://www.reddit.com/r/COVID19positive/comments/hblend/hey_all_recently_contracted_covid_experiencing/")</f>
        <v/>
      </c>
      <c r="G2022" t="inlineStr">
        <is>
          <t>2020-06-18 12:40:08</t>
        </is>
      </c>
      <c r="H2022" t="inlineStr">
        <is>
          <t>Tested Positive - Me</t>
        </is>
      </c>
    </row>
    <row r="2023">
      <c r="A2023" t="inlineStr">
        <is>
          <t>hblobm</t>
        </is>
      </c>
      <c r="B2023" t="inlineStr">
        <is>
          <t>Grandpa (90) In hospital with COVID - need some advice</t>
        </is>
      </c>
      <c r="C2023" t="inlineStr">
        <is>
          <t>Hi All !
Need some advice. A little background - My grandfather (90) has been in the hospital since this past Thursday. He went there because he had a fever of 103 degrees, a minor cough and GI issues. His symptoms got worse over the next couple of days. He has tested negative three times for COVID but the doctors at the hospital say that he is clinically positive as he is presenting a lot of the symptoms. We live in Brooklyn so since there are a lot of cases here there is a good chance he picked it up. They are saying that it is possible he contracted it in the past couple of months and was either asymptomatic or had very mild symptoms that he did not notice and he is currently in his 2nd wave of symptoms that is why he is testing negative. Has anyone heard of this happening before?
Things got a little scary over the weekend but he is doing much better now - has not had a fever since Monday and seems to be on the mend. They are looking to release him tomorrow. He lives alone but will need some help as he is still not feeling himself and needs to take it easy and recover so my parents were thinking it is best for him to stay with them for a while. This makes me very nervous as my father recently has heart surgery and my mother has Multiple Sclerosis putting them in the highly at risk category. As he is testing negative do you guys think it is safe for him to be at my parents house?
Thanks and hope everyone is doing well !</t>
        </is>
      </c>
      <c r="D2023" t="n">
        <v>1</v>
      </c>
      <c r="E2023" t="n">
        <v>7</v>
      </c>
      <c r="F2023">
        <f>HYPERLINK("https://www.reddit.com/r/COVID19positive/comments/hblobm/grandpa_90_in_hospital_with_covid_need_some_advice/")</f>
        <v/>
      </c>
      <c r="G2023" t="inlineStr">
        <is>
          <t>2020-06-18 12:53:58</t>
        </is>
      </c>
      <c r="H2023" t="inlineStr">
        <is>
          <t>Tested Positive - Family</t>
        </is>
      </c>
    </row>
    <row r="2024">
      <c r="A2024" t="inlineStr">
        <is>
          <t>hbm46n</t>
        </is>
      </c>
      <c r="B2024" t="inlineStr">
        <is>
          <t>I think I might be reinfected....</t>
        </is>
      </c>
      <c r="C2024" t="inlineStr">
        <is>
          <t xml:space="preserve">Hey guys, I'm thinking about getting retested. I tested positive 2 months ago after having weird symptoms (bloating, loss of appetite, and migraine) for a week and I had like 2 episodes of chills a week prior to that. The week after testing positive I developed diarrhea, SOB, and had a few more episodes of migraines. I started to feel better and tested negative around 1.5 weeks after the initial positive test. After that, I did fine up until a few days ago. I actually started a new job (always wearing a mask), resumed grocery shopping, and did spend time with some friends outdoors (always wearing a mask though). A few days ago I got a tickle in my throat, which I thought was due to my asthma. That night I had some chills but thought it was because my house was cold. Yesterday was doing okay besides the tickle in my throat, but then developed nausea. The nausea has stuck through until today, and then I developed diarrhea and chills again today. Is it worth it to get retested, or should I hunker down and brace myself? I'm gonna be super pissed if it is positive again lol, I have been trying so hard to be careful/sanitizing everything/social distancing.
&amp;amp;#x200B;
Edited to say I checked my temp and pulse ox today and they were normal, but last time I never got a fever thankfully. </t>
        </is>
      </c>
      <c r="D2024" t="n">
        <v>1</v>
      </c>
      <c r="E2024" t="n">
        <v>18</v>
      </c>
      <c r="F2024">
        <f>HYPERLINK("https://www.reddit.com/r/COVID19positive/comments/hbm46n/i_think_i_might_be_reinfected/")</f>
        <v/>
      </c>
      <c r="G2024" t="inlineStr">
        <is>
          <t>2020-06-18 13:17:29</t>
        </is>
      </c>
      <c r="H2024" t="inlineStr">
        <is>
          <t>Tested Positive - Me</t>
        </is>
      </c>
    </row>
    <row r="2025">
      <c r="A2025" t="inlineStr">
        <is>
          <t>hbmbh3</t>
        </is>
      </c>
      <c r="B2025" t="inlineStr">
        <is>
          <t>Wife (24F) and I (26M) both tested positive after getting tested last Saturday, here is my experience.</t>
        </is>
      </c>
      <c r="C2025" t="inlineStr">
        <is>
          <t>I'm on day 4 of full on symptoms. As of today some of the new symptoms are a fever of 102.8 (with Tylenol in system) and my oxygen levels starting to sit closer to 95 than 98.
The first night I started to realize I was sick was Monday night at about 1 am. I had these unbearable tremors all through my body. Every muscle in my body was shaking uncontrollably and this lasted for several hours until I fell asleep. 
The worst thing about having Covid so far has been the body aches and the extreme pain in my head every time I have to cough. It feels like my head is going to explode. Every time I move my eye balls they make my head hurt immensely.
The body aches are unbearable, my hips all the way down to my ankles on both of my legs feel like they've been ran over by a semi and constantly send sharp shooting aches up and down from my hips. 
Like the first night, every few hours I get these severe tremors all through my body and my muscles just shake non-stop to a point where I can't keep myself still. It wears me out and drains all of what little energy I have. I have this constant feeling of dread.
What I can say at this point is this is the weirdest sickness I have ever experienced. I have never felt anything like this before, it's really unique. Most of the time I've been sick so far has felt like an out of body experience. Nothing really feels real. It just seems like it's all a bad dream and I'll be waking up soon.</t>
        </is>
      </c>
      <c r="D2025" t="n">
        <v>1</v>
      </c>
      <c r="E2025" t="n">
        <v>32</v>
      </c>
      <c r="F2025">
        <f>HYPERLINK("https://www.reddit.com/r/COVID19positive/comments/hbmbh3/wife_24f_and_i_26m_both_tested_positive_after/")</f>
        <v/>
      </c>
      <c r="G2025" t="inlineStr">
        <is>
          <t>2020-06-18 13:28:22</t>
        </is>
      </c>
      <c r="H2025" t="inlineStr">
        <is>
          <t>Tested Positive - Me</t>
        </is>
      </c>
    </row>
    <row r="2026">
      <c r="A2026" t="inlineStr">
        <is>
          <t>hbn3a5</t>
        </is>
      </c>
      <c r="B2026" t="inlineStr">
        <is>
          <t>Week 2 and I’m scared and afraid</t>
        </is>
      </c>
      <c r="C2026" t="inlineStr">
        <is>
          <t>Confirmed positive last weekend, and had excruciating pain in my back, legs and thighs. It was so horrible I cried of pain. Only had two days of slight fever and then nothing. No problem breathing; thing calmed down for a bit and now the excruciating pain is back and now I’m having shortness of breath, not sure if this virus or me panicking. Plus I’m diabetic, hypertensive, 37 yrs old. Any suggestions or recommendations would be great! Thank you all!</t>
        </is>
      </c>
      <c r="D2026" t="n">
        <v>1</v>
      </c>
      <c r="E2026" t="n">
        <v>19</v>
      </c>
      <c r="F2026">
        <f>HYPERLINK("https://www.reddit.com/r/COVID19positive/comments/hbn3a5/week_2_and_im_scared_and_afraid/")</f>
        <v/>
      </c>
      <c r="G2026" t="inlineStr">
        <is>
          <t>2020-06-18 14:09:41</t>
        </is>
      </c>
      <c r="H2026" t="inlineStr">
        <is>
          <t>Tested Positive - Me</t>
        </is>
      </c>
    </row>
    <row r="2027">
      <c r="A2027" t="inlineStr">
        <is>
          <t>hbnnr4</t>
        </is>
      </c>
      <c r="B2027" t="inlineStr">
        <is>
          <t>Coworkers are testing negative but showing symptoms.</t>
        </is>
      </c>
      <c r="C2027" t="inlineStr">
        <is>
          <t>I just wanted to get your thoughts on this situation. I talked to a coworker today who is showing more symptoms than I ever did, like a fever, but tested negative. She says some other coworkers have had similar experiences. They all did self-administered tests at CVS a day or two after their last exposure to me before showing symptoms. I was tested through the county by someone who swabs noses all day about a week after I began feeling a little sick. I don't know if I'm the only one with coronavirus and there is a cold going around or my coworkers may be getting false negatives or were tested to early and are still spreading this disease. What do you all think?</t>
        </is>
      </c>
      <c r="D2027" t="n">
        <v>1</v>
      </c>
      <c r="E2027" t="n">
        <v>95</v>
      </c>
      <c r="F2027">
        <f>HYPERLINK("https://www.reddit.com/r/COVID19positive/comments/hbnnr4/coworkers_are_testing_negative_but_showing/")</f>
        <v/>
      </c>
      <c r="G2027" t="inlineStr">
        <is>
          <t>2020-06-18 14:41:15</t>
        </is>
      </c>
      <c r="H2027" t="inlineStr">
        <is>
          <t>Tested Positive - Me</t>
        </is>
      </c>
    </row>
    <row r="2028">
      <c r="A2028" t="inlineStr">
        <is>
          <t>hbplsl</t>
        </is>
      </c>
      <c r="B2028" t="inlineStr">
        <is>
          <t>Just tested positive today - no symptoms yet</t>
        </is>
      </c>
      <c r="C2028" t="inlineStr">
        <is>
          <t>What can I do to ensure I remain as good as possible.   I’d assume I had it yesterday ran 6 miles did a tough workout and felt great today.  
Found out someone at work got exposed, did the rapid result test today.  
Got some vitamin c and d what else should I prepare for?  Should I stay active?</t>
        </is>
      </c>
      <c r="D2028" t="n">
        <v>1</v>
      </c>
      <c r="E2028" t="n">
        <v>5</v>
      </c>
      <c r="F2028">
        <f>HYPERLINK("https://www.reddit.com/r/COVID19positive/comments/hbplsl/just_tested_positive_today_no_symptoms_yet/")</f>
        <v/>
      </c>
      <c r="G2028" t="inlineStr">
        <is>
          <t>2020-06-18 16:34:41</t>
        </is>
      </c>
      <c r="H2028" t="inlineStr">
        <is>
          <t>Tested Positive - Me</t>
        </is>
      </c>
    </row>
    <row r="2029">
      <c r="A2029" t="inlineStr">
        <is>
          <t>hbqdhs</t>
        </is>
      </c>
      <c r="B2029" t="inlineStr">
        <is>
          <t>Immunity just means we recover faster?</t>
        </is>
      </c>
      <c r="C2029" t="inlineStr">
        <is>
          <t>I have a feeling that immunity doesn't mean that we are invulnerable to covid. If this is the case, I will have to change my lifestyle. No more browsing stores just for fun or walking on crowded boulevards. This past 2 months has been a cycle of getting sick over the weekend from walking around and spending the workweek recovering.</t>
        </is>
      </c>
      <c r="D2029" t="n">
        <v>1</v>
      </c>
      <c r="E2029" t="n">
        <v>3</v>
      </c>
      <c r="F2029">
        <f>HYPERLINK("https://www.reddit.com/r/COVID19positive/comments/hbqdhs/immunity_just_means_we_recover_faster/")</f>
        <v/>
      </c>
      <c r="G2029" t="inlineStr">
        <is>
          <t>2020-06-18 17:21:57</t>
        </is>
      </c>
      <c r="H2029" t="inlineStr">
        <is>
          <t>Tested Positive - Family</t>
        </is>
      </c>
    </row>
    <row r="2030">
      <c r="A2030" t="inlineStr">
        <is>
          <t>hbqg4r</t>
        </is>
      </c>
      <c r="B2030" t="inlineStr">
        <is>
          <t>Hello everyone!</t>
        </is>
      </c>
      <c r="C2030" t="inlineStr">
        <is>
          <t>I just got my test back today and it came back positive. Thankfully for me it has not been bad at all. I’m on day 9 and I feel almost completely fine. To everyone here or anywhere that has it worse than me. Stay strong and stay positive. We’ll all get through this together. Hope everyone stays safe and healthy and I wish everyone the best!</t>
        </is>
      </c>
      <c r="D2030" t="n">
        <v>1</v>
      </c>
      <c r="E2030" t="n">
        <v>6</v>
      </c>
      <c r="F2030">
        <f>HYPERLINK("https://www.reddit.com/r/COVID19positive/comments/hbqg4r/hello_everyone/")</f>
        <v/>
      </c>
      <c r="G2030" t="inlineStr">
        <is>
          <t>2020-06-18 17:26:30</t>
        </is>
      </c>
      <c r="H2030" t="inlineStr">
        <is>
          <t>Tested Positive - Me</t>
        </is>
      </c>
    </row>
    <row r="2031">
      <c r="A2031" t="inlineStr">
        <is>
          <t>hbr3w0</t>
        </is>
      </c>
      <c r="B2031" t="inlineStr">
        <is>
          <t>Anyone recover completely?</t>
        </is>
      </c>
      <c r="C2031" t="inlineStr">
        <is>
          <t>Most posts I've seen have included something along the lines of "I still get very fatigued", "relapse often" stuff like that. Is anyone completely normal after a while?</t>
        </is>
      </c>
      <c r="D2031" t="n">
        <v>1</v>
      </c>
      <c r="E2031" t="n">
        <v>32</v>
      </c>
      <c r="F2031">
        <f>HYPERLINK("https://www.reddit.com/r/COVID19positive/comments/hbr3w0/anyone_recover_completely/")</f>
        <v/>
      </c>
      <c r="G2031" t="inlineStr">
        <is>
          <t>2020-06-18 18:08:17</t>
        </is>
      </c>
      <c r="H2031" t="inlineStr">
        <is>
          <t>Tested Positive - Me</t>
        </is>
      </c>
    </row>
    <row r="2032">
      <c r="A2032" t="inlineStr">
        <is>
          <t>hbrcvb</t>
        </is>
      </c>
      <c r="B2032" t="inlineStr">
        <is>
          <t>Longtimer afraid of getting sick again</t>
        </is>
      </c>
      <c r="C2032" t="inlineStr">
        <is>
          <t>I was sick for 50+ days, was treated for pneumonia as well, tests were not available initially when I was able to get transport to a facility, my doctor evaluated my symptoms and their duration and treated me as though I was positive. The scans I got after pneumonia symptoms were consistent w that as well. I’m still having fatigue and shortness of breath. My last test was negative. I haven’t taken an antibody test (I know they’re...not something we should be drawing firm conclusions from anyway). I’m just so scared I’m going to get it again. My city reopened prematurely and the deaths are going back up. People aren’t really wearing masks as much. I almost never leave my apt and only see my boyfriend but... he is a pizza delivery worker. I don’t know I just want to share how scared I am it is bad anxiety</t>
        </is>
      </c>
      <c r="D2032" t="n">
        <v>1</v>
      </c>
      <c r="E2032" t="n">
        <v>17</v>
      </c>
      <c r="F2032">
        <f>HYPERLINK("https://www.reddit.com/r/COVID19positive/comments/hbrcvb/longtimer_afraid_of_getting_sick_again/")</f>
        <v/>
      </c>
      <c r="G2032" t="inlineStr">
        <is>
          <t>2020-06-18 18:24:51</t>
        </is>
      </c>
      <c r="H2032" t="inlineStr">
        <is>
          <t>Presumed Positive - From Doctor</t>
        </is>
      </c>
    </row>
    <row r="2033">
      <c r="A2033" t="inlineStr">
        <is>
          <t>hbrk5l</t>
        </is>
      </c>
      <c r="B2033" t="inlineStr">
        <is>
          <t>Seeking instructions for my situation</t>
        </is>
      </c>
      <c r="C2033" t="inlineStr">
        <is>
          <t>If anyone could provide links for CDC instructions related to my situation I would greatly appreciate it!
My situation is rather complicated and I’m not exactly sure how it should be handled.
On Tuesday I found out that my son’s aunt just tested positive for covid.  She went to the pool with my son, his mother, and some of his mother’s family last week.  He said that he gave her a hug at the pool, but didn’t have much other contact.  
My son has been with me and my family since Saturday, including my parents who are in their 70’s, my father having a serious heart condition.  As soon as I received word of his aunt testing positive I took my son and I to get tested and we haven’t left the house since.  We are still awaiting the test results.  
My son’s mother left with her family on Sunday for Florida.  Her sister, (who tested positive)is currently watching her house and caring for her dogs. 
My son’s mother claims that she contacted the CDC and they told her that as long as her sister leaves the house 4 hours before they get back they will be fine, but she can wipe the surfaces down with soapy water to kill any remaining virus if she’d like.  She also stated that she was told a “CDC tracer” will contact her sometime soon and she doesn’t need to get tested, self quarantine, or avoid flying home for the time being.  I just find some of these things hard to believe.  Can anyone provide help with what the protocol is for a situation like this is?  Trustworthy links(especially from the CDC) would be very helpful, so that I can share them.  Thank you so much for your help!</t>
        </is>
      </c>
      <c r="D2033" t="n">
        <v>1</v>
      </c>
      <c r="E2033" t="n">
        <v>6</v>
      </c>
      <c r="F2033">
        <f>HYPERLINK("https://www.reddit.com/r/COVID19positive/comments/hbrk5l/seeking_instructions_for_my_situation/")</f>
        <v/>
      </c>
      <c r="G2033" t="inlineStr">
        <is>
          <t>2020-06-18 18:37:50</t>
        </is>
      </c>
      <c r="H2033" t="inlineStr">
        <is>
          <t>Tested Positive - Family</t>
        </is>
      </c>
    </row>
    <row r="2034">
      <c r="A2034" t="inlineStr">
        <is>
          <t>hbsjsc</t>
        </is>
      </c>
      <c r="B2034" t="inlineStr">
        <is>
          <t>4 months of symptoms...im fed up.</t>
        </is>
      </c>
      <c r="C2034" t="inlineStr">
        <is>
          <t>I started feeling unwell at the end of February/beginning of march...
Back then doctors weren’t really aware of covid or the variety of symptoms is can cause. Through the beginning of this ordeal i was prescribed a plethora of antibiotics - none worked.
Towards mid march i ended up in A&amp;amp;E after my heart rate began soaring to 170bpm at rest. They tested me for everything for flu, glandular fever, strep and thyroiditis. All negative. I was given PPIs.
Reffered to ENT a week later who suspected covid and tried to send me over for testing - the test centre refused as i had no fever or cough. Also sent for CT scan which came back clear. Given a course of steroids.
Mid april i ring my doctor again - presumed covid but i did not qualify for test. Prescribed more PPIs and anti nausea meds.
**FIRST SYMPTOMS;**  *end of feb - mid march*
Body aches, sore throat, lump in throat sensation, ear pain, headache, oxygen levels 93% 
**SYMPTOMS AT PEAK OF ILLNESS;** *mid march - mid may*
All of the above + extreme dizziness, exhaustion, nausea, neck stiffness, chest pain, burning sensation in chest, shortness of breath, sternum pain, metallic taste in mouth, sore tongue, dry mouth, sore roof of mouth, acid reflux, bloating, loss of appetite, chills. 
**CURRENT SYMPTOMS;** 
Sore tongue, metallic/soapy taste in mouth, sore throat, on/off dizziness, headache, nausea, lack of appetite, exhaustion. 
I have also developed a strange noticable lump on my upper eyelid which seems to flair up and down as it pleases and im having minor pressure/pain behind that eye. Feels like a vein when pressed im not sure if its related, no doctor will see me right now anyway.
At the height of my illness i felt like death warmed up. I was bedridden and spent most of my time in and out of sleep. My mental health has been on a rollercoaster of a ride. I now feel well enough to be up and about but still have those nagging symptoms which dont seem to be showing any signs of letting up.
Im 26 with no underlying health conditions.
**i just want to feel normal again** :(</t>
        </is>
      </c>
      <c r="D2034" t="n">
        <v>1</v>
      </c>
      <c r="E2034" t="n">
        <v>71</v>
      </c>
      <c r="F2034">
        <f>HYPERLINK("https://www.reddit.com/r/COVID19positive/comments/hbsjsc/4_months_of_symptomsim_fed_up/")</f>
        <v/>
      </c>
      <c r="G2034" t="inlineStr">
        <is>
          <t>2020-06-18 19:42:47</t>
        </is>
      </c>
      <c r="H2034" t="inlineStr">
        <is>
          <t>Presumed Positive - From Doctor</t>
        </is>
      </c>
    </row>
    <row r="2035">
      <c r="A2035" t="inlineStr">
        <is>
          <t>hbsyjv</t>
        </is>
      </c>
      <c r="B2035" t="inlineStr">
        <is>
          <t>Nose hurting-ish¿</t>
        </is>
      </c>
      <c r="C2035" t="inlineStr">
        <is>
          <t>So turns out I tested positive and I’m feeling a lot better symptom wise but my nose kinda hurts like I inhaled a large amount of very strong perfume and it gets stuffy at night. Just wanted to know if anyone is having a similar experience and how they are handling it.</t>
        </is>
      </c>
      <c r="D2035" t="n">
        <v>1</v>
      </c>
      <c r="E2035" t="n">
        <v>7</v>
      </c>
      <c r="F2035">
        <f>HYPERLINK("https://www.reddit.com/r/COVID19positive/comments/hbsyjv/nose_hurtingish/")</f>
        <v/>
      </c>
      <c r="G2035" t="inlineStr">
        <is>
          <t>2020-06-18 20:10:19</t>
        </is>
      </c>
      <c r="H2035" t="inlineStr">
        <is>
          <t>Tested Positive - Me</t>
        </is>
      </c>
    </row>
    <row r="2036">
      <c r="A2036" t="inlineStr">
        <is>
          <t>hbtetj</t>
        </is>
      </c>
      <c r="B2036" t="inlineStr">
        <is>
          <t>(20M) questions about symptoms and mild cases</t>
        </is>
      </c>
      <c r="C2036" t="inlineStr">
        <is>
          <t>I tested positive on June 9th after returning home from a protest. the only symptoms I’ve had is a sore throat, fatigue, and very slight chest/heart pain. I’m wondering from people with experience, if I’ve gone this long with this few symptoms, do I most likely have a pretty mild case? or I’m i in this for the long haul?</t>
        </is>
      </c>
      <c r="D2036" t="n">
        <v>1</v>
      </c>
      <c r="E2036" t="n">
        <v>9</v>
      </c>
      <c r="F2036">
        <f>HYPERLINK("https://www.reddit.com/r/COVID19positive/comments/hbtetj/20m_questions_about_symptoms_and_mild_cases/")</f>
        <v/>
      </c>
      <c r="G2036" t="inlineStr">
        <is>
          <t>2020-06-18 20:41:57</t>
        </is>
      </c>
      <c r="H2036" t="inlineStr">
        <is>
          <t>Tested Positive - Me</t>
        </is>
      </c>
    </row>
    <row r="2037">
      <c r="A2037" t="inlineStr">
        <is>
          <t>hbzice</t>
        </is>
      </c>
      <c r="B2037" t="inlineStr">
        <is>
          <t>How accurate are positive antibody tests from Quest if you’ve had symptoms?</t>
        </is>
      </c>
      <c r="C2037" t="inlineStr">
        <is>
          <t>I just got antibody test results back from quest and I’m not sure what it actually means. Mine were positive. 
I was sick with covid symptoms in nyc in March. How likely is it that I did have it? I would like to donate plasma.</t>
        </is>
      </c>
      <c r="D2037" t="n">
        <v>1</v>
      </c>
      <c r="E2037" t="n">
        <v>6</v>
      </c>
      <c r="F2037">
        <f>HYPERLINK("https://www.reddit.com/r/COVID19positive/comments/hbzice/how_accurate_are_positive_antibody_tests_from/")</f>
        <v/>
      </c>
      <c r="G2037" t="inlineStr">
        <is>
          <t>2020-06-19 05:06:07</t>
        </is>
      </c>
      <c r="H2037" t="inlineStr">
        <is>
          <t>Presumed Positive - From Test</t>
        </is>
      </c>
    </row>
    <row r="2038">
      <c r="A2038" t="inlineStr">
        <is>
          <t>hc07tm</t>
        </is>
      </c>
      <c r="B2038" t="inlineStr">
        <is>
          <t>Asking for my girlfriend that is tested positive and wishes to return back to work. Shes a nurse.</t>
        </is>
      </c>
      <c r="C2038" t="inlineStr">
        <is>
          <t>Hi everyone, my girlfriend was tested positive in late march. (Around 20+/03/2020 i think?). Shes a nurse from a hospital that has quite a significant number of covid19 patients. Last month, she was discharged from hospital after receiving 2 consecutive negative results. Now, a month later, the hospital wants her to come back for work. I am very worried about her as shes still having some chest pains that is mild but she told me she tried exercising and have no SOB or severe chest pain. That means shes not fully recovered right? My question is, is it safe for her to return back to the hospital for work? Theres a chance she has antibodies right and wont easily be reinfected?</t>
        </is>
      </c>
      <c r="D2038" t="n">
        <v>1</v>
      </c>
      <c r="E2038" t="n">
        <v>2</v>
      </c>
      <c r="F2038">
        <f>HYPERLINK("https://www.reddit.com/r/COVID19positive/comments/hc07tm/asking_for_my_girlfriend_that_is_tested_positive/")</f>
        <v/>
      </c>
      <c r="G2038" t="inlineStr">
        <is>
          <t>2020-06-19 05:56:50</t>
        </is>
      </c>
      <c r="H2038" t="inlineStr">
        <is>
          <t>Tested Positive - Friends</t>
        </is>
      </c>
    </row>
    <row r="2039">
      <c r="A2039" t="inlineStr">
        <is>
          <t>hc07tp</t>
        </is>
      </c>
      <c r="B2039" t="inlineStr">
        <is>
          <t>Asking for my girlfriend that is tested positive and wishes to return back to work. Shes a nurse.</t>
        </is>
      </c>
      <c r="C2039" t="inlineStr">
        <is>
          <t>Hi everyone, my girlfriend was tested positive in late march. (Around 20+/03/2020 i think?). Shes a nurse from a hospital that has quite a significant number of covid19 patients. Last month, she was discharged from hospital after receiving 2 consecutive negative results. Now, a month later, the hospital wants her to come back for work. I am very worried about her as shes still having some chest pains that is mild but she told me she tried exercising and have no SOB or severe chest pain. That means shes not fully recovered right? My question is, is it safe for her to return back to the hospital for work? Theres a chance she has antibodies right and wont easily be reinfected?</t>
        </is>
      </c>
      <c r="D2039" t="n">
        <v>1</v>
      </c>
      <c r="E2039" t="n">
        <v>4</v>
      </c>
      <c r="F2039">
        <f>HYPERLINK("https://www.reddit.com/r/COVID19positive/comments/hc07tp/asking_for_my_girlfriend_that_is_tested_positive/")</f>
        <v/>
      </c>
      <c r="G2039" t="inlineStr">
        <is>
          <t>2020-06-19 05:56:51</t>
        </is>
      </c>
      <c r="H2039" t="inlineStr">
        <is>
          <t>Tested Positive - Friends</t>
        </is>
      </c>
    </row>
    <row r="2040">
      <c r="A2040" t="inlineStr">
        <is>
          <t>hc0lnv</t>
        </is>
      </c>
      <c r="B2040" t="inlineStr">
        <is>
          <t>Long lasting symptoms - No real fever</t>
        </is>
      </c>
      <c r="C2040" t="inlineStr">
        <is>
          <t>Has anyone had covid19 with long lasting symptoms but no real fever?, i mean ive had flushes, sweating, and skin burning, but not had a real fever.</t>
        </is>
      </c>
      <c r="D2040" t="n">
        <v>1</v>
      </c>
      <c r="E2040" t="n">
        <v>0</v>
      </c>
      <c r="F2040">
        <f>HYPERLINK("https://www.reddit.com/r/COVID19positive/comments/hc0lnv/long_lasting_symptoms_no_real_fever/")</f>
        <v/>
      </c>
      <c r="G2040" t="inlineStr">
        <is>
          <t>2020-06-19 06:22:44</t>
        </is>
      </c>
      <c r="H2040" t="inlineStr">
        <is>
          <t>Tested Positive</t>
        </is>
      </c>
    </row>
    <row r="2041">
      <c r="A2041" t="inlineStr">
        <is>
          <t>hc1dbu</t>
        </is>
      </c>
      <c r="B2041" t="inlineStr">
        <is>
          <t>My little brother likely has it - says he feels like he has a weight on his chest. What can I tell him to do?</t>
        </is>
      </c>
      <c r="C2041" t="inlineStr">
        <is>
          <t>He's 35 years old - on BP meds - and maybe 20lbs overweight.
I need to know how to help him :(</t>
        </is>
      </c>
      <c r="D2041" t="n">
        <v>1</v>
      </c>
      <c r="E2041" t="n">
        <v>5</v>
      </c>
      <c r="F2041">
        <f>HYPERLINK("https://www.reddit.com/r/COVID19positive/comments/hc1dbu/my_little_brother_likely_has_it_says_he_feels/")</f>
        <v/>
      </c>
      <c r="G2041" t="inlineStr">
        <is>
          <t>2020-06-19 07:11:25</t>
        </is>
      </c>
      <c r="H2041" t="inlineStr">
        <is>
          <t>Tested Positive - Family</t>
        </is>
      </c>
    </row>
    <row r="2042">
      <c r="A2042" t="inlineStr">
        <is>
          <t>hc20oa</t>
        </is>
      </c>
      <c r="B2042" t="inlineStr">
        <is>
          <t>Same symptoms three months apart 😬</t>
        </is>
      </c>
      <c r="C2042" t="inlineStr">
        <is>
          <t>Hello and hope everyone will get better. 
Early March, my partner and her roommate and I all woke up with that groggy ultra headache. We all got better in a few weeks except for my partner. She is STILL sick with all the symptoms. I have been healthy the whole time until I was intimate with her after three months assuming I was immune. I was wrong, I woke up 36 hours later with the same headache as three months earlier. In addition, my cat was really ill for one night too. So what does this mean?</t>
        </is>
      </c>
      <c r="D2042" t="n">
        <v>2</v>
      </c>
      <c r="E2042" t="n">
        <v>35</v>
      </c>
      <c r="F2042">
        <f>HYPERLINK("https://www.reddit.com/r/COVID19positive/comments/hc20oa/same_symptoms_three_months_apart/")</f>
        <v/>
      </c>
      <c r="G2042" t="inlineStr">
        <is>
          <t>2020-06-19 07:49:14</t>
        </is>
      </c>
      <c r="H2042" t="inlineStr">
        <is>
          <t>Presumed Positive - From Doctor</t>
        </is>
      </c>
    </row>
    <row r="2043">
      <c r="A2043" t="inlineStr">
        <is>
          <t>hc311e</t>
        </is>
      </c>
      <c r="B2043" t="inlineStr">
        <is>
          <t>UPDATE: Haven't had any issues for over a month now!</t>
        </is>
      </c>
      <c r="C2043" t="inlineStr">
        <is>
          <t>I've posted in this sub many times since March when my symptoms first appeared (check post history if interested). I'm happy to say that for over a month (maybe closer to two months) I haven't had any flare ups or symptoms, even before/during my period. I wanted to post this update to kind of balance out the general fear that this lasts forever. There were some points where I was just so hopeless and scared that at 24 my health would be forever altered or that I might suddenly deteriorate- I hope this update restores a little hope for anyone in this sub who's scrolling through posts getting more panicky with each post! Also, I have been working out heavily for this entire month. I bike with resistance for approx 20-25 miles at least 2-3 times a week, and do weights followed by a 30 min HIIT circuit on the other days. I've also been taking thc edibles and occassionally drinking as well. The only thing I have completely cut out of my lifestyle is smoking of any kind- which I don't miss in the slightest. Feel free to PM me with any questions!</t>
        </is>
      </c>
      <c r="D2043" t="n">
        <v>59</v>
      </c>
      <c r="E2043" t="n">
        <v>87</v>
      </c>
      <c r="F2043">
        <f>HYPERLINK("https://www.reddit.com/r/COVID19positive/comments/hc311e/update_havent_had_any_issues_for_over_a_month_now/")</f>
        <v/>
      </c>
      <c r="G2043" t="inlineStr">
        <is>
          <t>2020-06-19 08:46:34</t>
        </is>
      </c>
      <c r="H2043" t="inlineStr">
        <is>
          <t>Presumed Positive - From Doctor</t>
        </is>
      </c>
    </row>
    <row r="2044">
      <c r="A2044" t="inlineStr">
        <is>
          <t>hc3ojn</t>
        </is>
      </c>
      <c r="B2044" t="inlineStr">
        <is>
          <t>Should I let my father sleep and am I doing enough?</t>
        </is>
      </c>
      <c r="C2044" t="inlineStr">
        <is>
          <t>My dad tested positive earlier this week, and so far he’s coughing, got headaches, chills, “dry” nose, loss of appetite and he’s taking a nap right now. 
From what I researched off the cdc, it says to take him to the hospital if he can’t wake up or has trouble waking up. But fatigue is also a symptom and from what I’ve read, people have just recommended rest to tend to the fatigue. 
He told me that other than the listed symptoms, he feels fine or about the same. He’s taking aspirin, drinking lime tea, Vitamin c tablets, and he’s got one of them Vick’s humidifier things in his room. We also make him eat little things just so he’s not starving, but he won’t eat much.
Do I let him rest or should I take him to the hospital? Also, is there more I could be doing to help alleviate his symptoms, make him feel more relaxed, or treat him?</t>
        </is>
      </c>
      <c r="D2044" t="n">
        <v>1</v>
      </c>
      <c r="E2044" t="n">
        <v>16</v>
      </c>
      <c r="F2044">
        <f>HYPERLINK("https://www.reddit.com/r/COVID19positive/comments/hc3ojn/should_i_let_my_father_sleep_and_am_i_doing_enough/")</f>
        <v/>
      </c>
      <c r="G2044" t="inlineStr">
        <is>
          <t>2020-06-19 09:22:42</t>
        </is>
      </c>
      <c r="H2044" t="inlineStr">
        <is>
          <t>Tested Positive - Family</t>
        </is>
      </c>
    </row>
    <row r="2045">
      <c r="A2045" t="inlineStr">
        <is>
          <t>hc40ew</t>
        </is>
      </c>
      <c r="B2045" t="inlineStr">
        <is>
          <t>Lost taste and smell this morning... 5 days in?</t>
        </is>
      </c>
      <c r="C2045" t="inlineStr">
        <is>
          <t>Has anyone lost their taste and smell a few days in, and if so is that a bad sign that it’s about to get worse for me? I am 5 days into already being symptomatic.. 
edit: i have other symptoms like body ache, fatigue, drainage, but that’s about it.. no fever as of yet</t>
        </is>
      </c>
      <c r="D2045" t="n">
        <v>4</v>
      </c>
      <c r="E2045" t="n">
        <v>27</v>
      </c>
      <c r="F2045">
        <f>HYPERLINK("https://www.reddit.com/r/COVID19positive/comments/hc40ew/lost_taste_and_smell_this_morning_5_days_in/")</f>
        <v/>
      </c>
      <c r="G2045" t="inlineStr">
        <is>
          <t>2020-06-19 09:40:43</t>
        </is>
      </c>
      <c r="H2045" t="inlineStr">
        <is>
          <t>Tested Positive - Me</t>
        </is>
      </c>
    </row>
    <row r="2046">
      <c r="A2046" t="inlineStr">
        <is>
          <t>hc4l3f</t>
        </is>
      </c>
      <c r="B2046" t="inlineStr">
        <is>
          <t>Today my son was born. I can't see him yet. Waiting for my Covid test results</t>
        </is>
      </c>
      <c r="C2046" t="inlineStr">
        <is>
          <t>Here in Mexico tests take 24 hours at least.
I started with diarrhea Sunday and Monday, then Monday sore throat and coughs, mid fever, took Tylenol (paracetamol here), and mid headache,
Next day same symptoms except for diarrhea but the fever had me on bed entire Tuesday and Wednesday still I went to doctor on Tuesday and suggested me to go for a test.
Yesterday I went to test doctors and they called me today for my test. 
My son was born today at 3 15 am I can't see him or my wife in person ti I get the results hopefully tomorrow. Feeling so sad about this but I know it's part of the process for their security. I have a daughter and they all have been with my mother since I began with symptoms.
I hope this is not positive.
Today I have been with a strong hiccup, they say it may be caused by stomach acids because I haven't eaten much these days.</t>
        </is>
      </c>
      <c r="D2046" t="n">
        <v>7</v>
      </c>
      <c r="E2046" t="n">
        <v>21</v>
      </c>
      <c r="F2046">
        <f>HYPERLINK("https://www.reddit.com/r/COVID19positive/comments/hc4l3f/today_my_son_was_born_i_cant_see_him_yet_waiting/")</f>
        <v/>
      </c>
      <c r="G2046" t="inlineStr">
        <is>
          <t>2020-06-19 10:11:47</t>
        </is>
      </c>
      <c r="H2046" t="inlineStr">
        <is>
          <t>Presumed Positive - From Doctor</t>
        </is>
      </c>
    </row>
    <row r="2047">
      <c r="A2047" t="inlineStr">
        <is>
          <t>hc4ptl</t>
        </is>
      </c>
      <c r="B2047" t="inlineStr">
        <is>
          <t>Lost my smell again</t>
        </is>
      </c>
      <c r="C2047" t="inlineStr">
        <is>
          <t>I’m at around day 50. I completely lost my sense of smell and taste at day 8; regained it about 75% two weeks later. The past couple of days I’ve had a mild runny nose and today when it dried up I  realized I couldn’t smell or taste anything all over again. 
There was a familiar sensation I had from before, like chlorinated fluid in my nose and a weird flashing of odd smells that didn’t make sense or match what was in front of me. It was kind of like the brain-nose synapse was short-circuiting. By the evening, I tried smelling some essential oils and confirmed it’s gone. 
Feeling quite bummed I had been mostly symptom free for nearly two weeks.</t>
        </is>
      </c>
      <c r="D2047" t="n">
        <v>0</v>
      </c>
      <c r="E2047" t="n">
        <v>8</v>
      </c>
      <c r="F2047">
        <f>HYPERLINK("https://www.reddit.com/r/COVID19positive/comments/hc4ptl/lost_my_smell_again/")</f>
        <v/>
      </c>
      <c r="G2047" t="inlineStr">
        <is>
          <t>2020-06-19 10:18:53</t>
        </is>
      </c>
      <c r="H2047" t="inlineStr">
        <is>
          <t>Tested Positive</t>
        </is>
      </c>
    </row>
    <row r="2048">
      <c r="A2048" t="inlineStr">
        <is>
          <t>hc4s2j</t>
        </is>
      </c>
      <c r="B2048" t="inlineStr">
        <is>
          <t>Easily bruised during COVID recovery</t>
        </is>
      </c>
      <c r="C2048" t="inlineStr">
        <is>
          <t>I have a question for long hauliers like me,
Have you noticed if you are easily bruised on your legs during your recovery? I have painful and kind of burning legs during this time, and I notice whenever I have these symptoms, I notice bruises on my legs. They pop up kinda red, then turn yellow or greenish and eventually disappear. I assume it is the blood vessels rupturing under the skin. Honestly don't have any explanation for this. If you do get, did it eventually stop? 
Thank you</t>
        </is>
      </c>
      <c r="D2048" t="n">
        <v>1</v>
      </c>
      <c r="E2048" t="n">
        <v>38</v>
      </c>
      <c r="F2048">
        <f>HYPERLINK("https://www.reddit.com/r/COVID19positive/comments/hc4s2j/easily_bruised_during_covid_recovery/")</f>
        <v/>
      </c>
      <c r="G2048" t="inlineStr">
        <is>
          <t>2020-06-19 10:22:21</t>
        </is>
      </c>
      <c r="H2048" t="inlineStr">
        <is>
          <t>Presumed Positive - From Test</t>
        </is>
      </c>
    </row>
    <row r="2049">
      <c r="A2049" t="inlineStr">
        <is>
          <t>hc54lm</t>
        </is>
      </c>
      <c r="B2049" t="inlineStr">
        <is>
          <t>My parents don't believe Covid-19 exists and won't let me get tested despite doctor's recommendation, what do I do?</t>
        </is>
      </c>
      <c r="C2049" t="inlineStr">
        <is>
          <t>I'm living with my parents right now as I'm in the process of transferring universities, and I've had symptoms for the past four days. I did a virtual consultation with a doctor and she recommended I get tested immediately, but I can't drive myself so I asked my parents if they could take me and they started screaming at me. They're undereducated and believe a lot of whacky shit. They told me how coronavirus is just the common cold, and that covid is a cover-up to hide the fact that Hillary Clinton is on house arrest for pedophilia, and that testing is just an excuse go put trackers in your brain, etc. etc. Now this would be hilarious if it wasn't for the fact that they probably won't take me to go get tested, which I want to do because I work a customer service job and would like to give my work a heads-up to let them know. Is there anything I can do to convince them?</t>
        </is>
      </c>
      <c r="D2049" t="n">
        <v>4</v>
      </c>
      <c r="E2049" t="n">
        <v>11</v>
      </c>
      <c r="F2049">
        <f>HYPERLINK("https://www.reddit.com/r/COVID19positive/comments/hc54lm/my_parents_dont_believe_covid19_exists_and_wont/")</f>
        <v/>
      </c>
      <c r="G2049" t="inlineStr">
        <is>
          <t>2020-06-19 10:41:24</t>
        </is>
      </c>
      <c r="H2049" t="inlineStr">
        <is>
          <t>Presumed Positive - From Doctor</t>
        </is>
      </c>
    </row>
    <row r="2050">
      <c r="A2050" t="inlineStr">
        <is>
          <t>hc5bpi</t>
        </is>
      </c>
      <c r="B2050" t="inlineStr">
        <is>
          <t>Infected in March and POSITIVE FOR ANTIBODIES: Almost asymtpomatic- My Story</t>
        </is>
      </c>
      <c r="C2050" t="inlineStr">
        <is>
          <t>Hi all, I am a female in my early 20s living in Florida (a hub for the virus), and I had coronavirus in late March. I wanted to hop on here and share my story, being that I suffer from major hypochondria and anxiety and had no resources when I was infected. At the time, I was overwhelmed with anxiety and found a very disappointing lack of information for coronavirus in people of my age range- I found the media neglected to address cases in anyone besides the more at-risk population. I hope this can help those who identify with my situation.
I was involuntarily exposed to the virus at my job, but never got tested for it. At the time, I basically was told to ride out the symptoms since there were no tests readily available to people my age. Today, I took the antibody test and received my results that I am IgG positive- meaning I have antibodies confirming previous existence of coronavirus in my body. This suggests slight immunity, however studies show it is unclear exactly how much. I will continue to wear masks and follow CDC guidelines.
During the time I was infected, I kept a timeline of all of my symptoms (with my hypochondriac tendencies, I made sure to note every little symptom I had).
I was regularly taking a ton of vitamins along with a daily antibiotic before I was infected. Here are my notes:
**Timeline and Symptoms**
* Small amounts of chest tightness on/off for about a week before this- did not record due to mildness
* Have been regularly taking antibiotic doxycycline (100 mg x2 a day) since January
* Have been regularly taking the following vitamins: 5HTP, Chlorophyll, Spirulina, Chlorella, Vitamin D, multivitamin, biotin, milk thistle, apple cider vinegar pills
* I have an albuteral inhaler on standby since I used to have asthma when I was little, hadn't used the inhaler in about 16 years until this point.
Thursday 3/26-
In the afternoon I started feeling some congestion in my nose; took a Claritin and then felt completely better. No other symptoms, thought it was just allergies. Very light coughing. Continued to take regular vitamins and doxycycline
Friday 3/27-
Significant anxiety in the afternoon. Still no symptoms besides a tiny amount of pressure in my nose- felt 100% normal. Did not take a Claritin because my nose had no more stuffiness and I could breathe through my nose normally. 1 mg Xanax to ease anxiety. Continued to take regular vitamins and doxycycline
Saturday 3/28-
Felt completely fine all day, still some allergy-like pressure in my nose but didn’t even realize for most of the day since it was so mild. Noticed food started to lose its taste and I couldn’t smell much. Figured it was because of the pressure in my nose. No other symptoms at all, went for a run, tanned, etc. Continued to take regular vitamins and doxycycline
Sunday 3/29-
Really hit me today that I couldn’t smell or taste ANYTHING. Coffee tasted like water, couldn’t taste mouthwash or smell perfume. Couldn’t taste any food and didn’t even really have an appetite. Felt completely fine. Still had some pressure in my nose, and when I inhaled through my nose the air felt very cold and sharp, almost like a burning icy sensation (like when you inhale Vicks). Had a light cough towards the end of the night (very mild, couldn’t tell if this is just my anxiety creating it). Continued to take regular vitamins and doxycycline
Monday 3/30-
Still had that slight pressure in my nose but no more congestion. A little bit of chest tightness in the morning and felt very sleepy and lethargic all day. Still can’t taste or smell many things but noticed at night I am slowly starting to taste only savory foods again. Continued to take regular vitamins and doxycycline
Tuesday 3/31-
Almost completely regained sense of taste and smell. Some slight chest tightness throughout the day, felt lethargic- feels like there is some phlegm in my lungs that I need to “cough” to get out. Still was able to go for a walk and have a normal day. At night I experienced a lot of chest tightness and used my albuterol inhaler once. Continued to take regular vitamins and doxycycline
Wednesday 4/1-
Taste and smell completely normal. Some light coughing, no chest tightness in the AM. Continued to take regular vitamins and doxycycline
Thursday 4/2-
Back to normal. Taste is back, no chest tightness or coughs
I have been asked about my blood type from friends and family, as some studies have indicated those with certain blood types are less likely to be infected with the virus. It is O positive.
I was also asked by some friends what my diet is like- I am a strict pescatarian and I intermittent fast almost every day (no judgements please). I also drink a gallon of water a day.
Lastly, I have been asked about my exercise habits- I am very active and usually exercise 5 times a week.
If I had to offer my thoughts, I do believe the antibiotic I was taking for my acne was very helpful, as many hospitals offer Z-packs of antibiotics to patients. I hope this information is useful for some people.</t>
        </is>
      </c>
      <c r="D2050" t="n">
        <v>3</v>
      </c>
      <c r="E2050" t="n">
        <v>36</v>
      </c>
      <c r="F2050">
        <f>HYPERLINK("https://www.reddit.com/r/COVID19positive/comments/hc5bpi/infected_in_march_and_positive_for_antibodies/")</f>
        <v/>
      </c>
      <c r="G2050" t="inlineStr">
        <is>
          <t>2020-06-19 10:52:27</t>
        </is>
      </c>
      <c r="H2050" t="inlineStr">
        <is>
          <t>Tested Positive - Me</t>
        </is>
      </c>
    </row>
    <row r="2051">
      <c r="A2051" t="inlineStr">
        <is>
          <t>hc6psx</t>
        </is>
      </c>
      <c r="B2051" t="inlineStr">
        <is>
          <t>Covid-19 symptom? Entire back instantly felt bruised up. No bruises</t>
        </is>
      </c>
      <c r="C2051" t="inlineStr">
        <is>
          <t>I've been really sick lately from a COVID-19 flareup but last night I got a new symptom and wanted to know if anyone else has as well.  
I was resting in bed and noticed that my arm felt bruised. Then I noticed my entire arm, shoulder and back felt bruised and it mirrored the other side as well. The pain starts at my chest, goes above my shoulders and all the way down my back. This seemed to come out of nowhere. The bruising pain is still here today. I haven't exercised and it feels like I should be black and blue but I'm not.  
I'm dealing with a TON of inflammation right now and on a new steroid to help deal with new inflammation around my heart making it hard to breathe and causing chest pain.  Not sure if it's a side effect, more inflammation, or my brain is playing some crazy sensory tricks on me.</t>
        </is>
      </c>
      <c r="D2051" t="n">
        <v>4</v>
      </c>
      <c r="E2051" t="n">
        <v>22</v>
      </c>
      <c r="F2051">
        <f>HYPERLINK("https://www.reddit.com/r/COVID19positive/comments/hc6psx/covid19_symptom_entire_back_instantly_felt/")</f>
        <v/>
      </c>
      <c r="G2051" t="inlineStr">
        <is>
          <t>2020-06-19 12:07:52</t>
        </is>
      </c>
      <c r="H2051" t="inlineStr">
        <is>
          <t>Presumed Positive - From Test</t>
        </is>
      </c>
    </row>
    <row r="2052">
      <c r="A2052" t="inlineStr">
        <is>
          <t>hc7dcv</t>
        </is>
      </c>
      <c r="B2052" t="inlineStr">
        <is>
          <t>Possible COVID Positive waiting on Test - Work Nightmare</t>
        </is>
      </c>
      <c r="C2052" t="inlineStr">
        <is>
          <t>So I woke up 2 days ago absolutely miserable. I was feeling a bit meh the night before but woke up feeling like I got hit by 12 people with bags full of bars of soap. I felt SO bad I went to the ER because I was exhibiting the following symptoms.
Fever (102F)
Super weak/Exhausted
Chills - Soon as I took the blanket off me I was absolutely freezing
Sweating, SO much sweat I soaked my bed overnight
No real coughing or sneezing a few dry coughs that were a bit painful
Chest wasn't super tight but felt like I couldn't take FULL breaths
&amp;amp;#x200B;
Obviously I was very concerned and I really just didn't feel well so I bit the bullet and went to the Hospital
Got to the ER and they took me in right away, were super professional and very caring. They monitored all vitals no issues with blood pressure, breathing was still pretty shallow and my temp stayed around 102 even with tylenol. They did a full chest xray and tested me for EVERYTHING possible. Nose swabs for all Flu types, throat swabs, blood work for DAYS and towards the end I figured they were only trying to rule out everything first then to test me. Well I spoke with the charge nurse via phone as I was isolated and she told me that since everything came back fine but I was showing all symptoms and maintaining temp they were just going to order me to self isolate and that testing is only done to patients in dire situations. Makes sense, got the order and sent to my job via scan.
Got a call back very quickly saying that I "needed" to get a test done as soon as possible. So I went test hunting and EVERYWHERE I called (12 locations) everyone was booked up till next week. Earliest was Sunday but that was not guaranteed. I called work and said I am tired and sick and not going to drive around trying to find a testing site but if they could help me out and find me something I would be more than happy to go.
Get a call back an hour later as I am pulling in and they said they got an appointment for tomorrow (which was yesterday) and it was a rapid test I would have results in 10 min or less! I said no problem I would be there. I arrive and its this holistic place with healing crystals, and natural remedies everywhere..... WONDERFUL! As I am checking in I notice a posted plaque for the test they use from a company called Biomed Sciences and that it was an antibody test. Now I am not scientist but I pride myself in staying knowledgeable as possible. I ask questions like isn't this test meant to be taken AFTER you already had to virus to determine you WERE sick not currently sick? Also mentioned last I read from the CDC antibodies don't typically start showing until 7-10 days AFTER symptoms first appear. She said no, this test also checks for the ACTUAL virus.... which doesn't make sense because this is a blood test. This virus isn't going to be in my blood stream just my lungs. 
Of course the test results came back and she said you are negative for covid. Now at this point I am not only positive I have COVID but in the short amount of time it took to wait for the results I actually called the company and talked to the director of sciences department who was not only SHOCKED to hear that I was given this test to determine if I HAVE COVID but immediately wanted to the information from the "office" that provided me this information. About 30 minutes after I left I received an apologetic phone call from the front desk lady saying they were "misinformed" and that they would be contacting ALL patients to make sure they know too. Apparently they have been doing this for months.... MONTHS. 
I called work to inform them the situation and they said that I must be mistaken..... so I guess they got a phone call from them too because they set everything up and paid for it then called me asking me to go to ANOTHER appointment this coming Tuesday.... and results I wouldn't get back for 10-14 days which by then my quarantine would be over. I just wanna rest and honestly I am kinda pissed off I feel like this is all just because they think I am lying. Anyways just thought I would share my story and see if anyone else is dealing with similar situations. I actually feel a bit better today (day 3) but I have read that people will feel better, then get worse..... so I am a bit worried if what I went through isn't the worst I can't imagine it getting bad....
My fever has reduced drastically 
Chills are gone but weakness is still there as well as exhaustion 
Nose super runny today chest still tight and sweating is coming and going
Also I now cant taste ANYTHING. My spicy soup now tastes like hot water and it's hard to hold anything down.</t>
        </is>
      </c>
      <c r="D2052" t="n">
        <v>1</v>
      </c>
      <c r="E2052" t="n">
        <v>9</v>
      </c>
      <c r="F2052">
        <f>HYPERLINK("https://www.reddit.com/r/COVID19positive/comments/hc7dcv/possible_covid_positive_waiting_on_test_work/")</f>
        <v/>
      </c>
      <c r="G2052" t="inlineStr">
        <is>
          <t>2020-06-19 12:44:42</t>
        </is>
      </c>
      <c r="H2052" t="inlineStr">
        <is>
          <t>Presumed Positive - From Doctor</t>
        </is>
      </c>
    </row>
    <row r="2053">
      <c r="A2053" t="inlineStr">
        <is>
          <t>hc7g24</t>
        </is>
      </c>
      <c r="B2053" t="inlineStr">
        <is>
          <t>Anyone else getting small, pinpoint sore spots on the body?</t>
        </is>
      </c>
      <c r="C2053" t="inlineStr">
        <is>
          <t>Hey everyone!
Happy to have found this subreddit.
I started experiencing symptoms of covid about a month and a bit ago, and got over the worst of it about two weeks ago. Tested positive during this time with throat swab. 
Just curious if anyone has been experiencing small areas of tenderness or pain on their body? I’ve had soreness in a small area of my left thumb and in my right thumb knuckle that are tender to the touch, as well as random pains that come and go elsewhere. Deep inside my right foot, now my left temple is tender to the touch, a small spot on my right arm was tender for like thirty minutes one day, and I also had a random lump that appeared in my arm (nowhere near a lymph node) and dissolved overnight that was tender AND left a bruise. What the crap, folks? 
Anyone have similar symptoms?</t>
        </is>
      </c>
      <c r="D2053" t="n">
        <v>1</v>
      </c>
      <c r="E2053" t="n">
        <v>4</v>
      </c>
      <c r="F2053">
        <f>HYPERLINK("https://www.reddit.com/r/COVID19positive/comments/hc7g24/anyone_else_getting_small_pinpoint_sore_spots_on/")</f>
        <v/>
      </c>
      <c r="G2053" t="inlineStr">
        <is>
          <t>2020-06-19 12:48:56</t>
        </is>
      </c>
      <c r="H2053" t="inlineStr">
        <is>
          <t>Tested Positive - Me</t>
        </is>
      </c>
    </row>
    <row r="2054">
      <c r="A2054" t="inlineStr">
        <is>
          <t>hc80qp</t>
        </is>
      </c>
      <c r="B2054" t="inlineStr">
        <is>
          <t>Anti-bodies detected</t>
        </is>
      </c>
      <c r="C2054" t="inlineStr">
        <is>
          <t>Hi everyone. So in Mid March I got nearly all the symtoms of Covid except loss of taste or smell. Other than that the viral attack lasted for two weeks, first being the really tough one with fever of about 100-103 , joint pains , severe cough and headaches. At that time Corona was just starting. There were a few cases in my Country, so didn't bother getting a pcr test. Well, fast forward yesterday , got an antibody test for Sars Covid and it was detected as reactive, which means I had contacted corona . The cut off limit was 1.0 and my limit was 7.54 for IGg antibody.. so kind of relieved about it. Happy to answer any questions.</t>
        </is>
      </c>
      <c r="D2054" t="n">
        <v>1</v>
      </c>
      <c r="E2054" t="n">
        <v>6</v>
      </c>
      <c r="F2054">
        <f>HYPERLINK("https://www.reddit.com/r/COVID19positive/comments/hc80qp/antibodies_detected/")</f>
        <v/>
      </c>
      <c r="G2054" t="inlineStr">
        <is>
          <t>2020-06-19 13:21:32</t>
        </is>
      </c>
      <c r="H2054" t="inlineStr">
        <is>
          <t>Presumed Positive - From Test</t>
        </is>
      </c>
    </row>
    <row r="2055">
      <c r="A2055" t="inlineStr">
        <is>
          <t>hc8g7a</t>
        </is>
      </c>
      <c r="B2055" t="inlineStr">
        <is>
          <t>An experiment in exercise and relapse, and questions</t>
        </is>
      </c>
      <c r="C2055" t="inlineStr">
        <is>
          <t>Originally go sick on March 11-12ish. Hard to remember the exact date at this point since it’s been so long. 
I am still sick and seeing a pulmonologist at this point for lingering symptoms. 
While I am still sick, I am WORLDS better that I was. 
In fact, I had a stretch of a few days where I felt 100% normal. 
So I decided to do an experiment. 
Before all of this bs, I was a very well conditioned mma athlete, crossfiter, and distance runner. 
So I decided to exercise a lot and see if it caused a relapse. 
So I went out for a fast 5 mile run, did an hour on the heavy bag, and did a 45 min lifting session in my garage to see if it would trigger anything negative. 
Within 24 hours I had horrible lung pain, spo2 avg. dropped from 98 to 94-95, a low grade fever, cough, high resting heart rate (especially when standing up), diarrhea, and just generally felt like shit. This lasted two days. 
This is a major improvement since past flare ups would last 10 days or longer. 
This illness is super odd. The fever is what concerns me. I’ve had two antibody tests now and both were negative. The pulmonologist tested for a variable litany if other illnesses and everything came back normal. 
So at this point, I have to think it’s still the Rona causing the fever?
But I have also tested negative on PCR recently so I’m not sure. 
Anyone else getting fevers at the 3+ month mark?
Could the fever be a systemic inflammatory response?</t>
        </is>
      </c>
      <c r="D2055" t="n">
        <v>2</v>
      </c>
      <c r="E2055" t="n">
        <v>39</v>
      </c>
      <c r="F2055">
        <f>HYPERLINK("https://www.reddit.com/r/COVID19positive/comments/hc8g7a/an_experiment_in_exercise_and_relapse_and/")</f>
        <v/>
      </c>
      <c r="G2055" t="inlineStr">
        <is>
          <t>2020-06-19 13:46:53</t>
        </is>
      </c>
      <c r="H2055" t="inlineStr">
        <is>
          <t>Tested Positive - Me</t>
        </is>
      </c>
    </row>
    <row r="2056">
      <c r="A2056" t="inlineStr">
        <is>
          <t>hc8gqz</t>
        </is>
      </c>
      <c r="B2056" t="inlineStr">
        <is>
          <t>Chest pain... issue?</t>
        </is>
      </c>
      <c r="C2056" t="inlineStr">
        <is>
          <t>Hi everyone, I just tested positive a few days ago and I’ve been having pain on my upper right chest (sort of on my pec area?) whenever I cough and sometimes when I take a deep breath. It’s sort of like a pressure sensation of sorts, I can’t really describe it.
Just want to know if this is normal? Is this something worth potentially seeing a doctor/making an ER trip for? I live alone so I’m not trying to be a hero and do anything stupid
Thanks!</t>
        </is>
      </c>
      <c r="D2056" t="n">
        <v>1</v>
      </c>
      <c r="E2056" t="n">
        <v>7</v>
      </c>
      <c r="F2056">
        <f>HYPERLINK("https://www.reddit.com/r/COVID19positive/comments/hc8gqz/chest_pain_issue/")</f>
        <v/>
      </c>
      <c r="G2056" t="inlineStr">
        <is>
          <t>2020-06-19 13:47:51</t>
        </is>
      </c>
      <c r="H2056" t="inlineStr">
        <is>
          <t>Tested Positive - Me</t>
        </is>
      </c>
    </row>
    <row r="2057">
      <c r="A2057" t="inlineStr">
        <is>
          <t>hc8tyn</t>
        </is>
      </c>
      <c r="B2057" t="inlineStr">
        <is>
          <t>Asymptotic Exposure</t>
        </is>
      </c>
      <c r="C2057" t="inlineStr">
        <is>
          <t>A couple days ago, I went to my boyfriends friends house. We were inside the house for about two hours, most people were keeping their distance but no masks were worn. The next day I find out that one of the girls there tested positive, and she was in that house for four consecutive days. She said that she had a slight fever about two weeks ago, got tested a couple days ago and it came back positive. There was an air filter in the room, but I’m nervous that everyone in that house contracted it which really ups the chances of getting it. I’ve been trying to isolate myself as much as possible in my house because I have 50-60 yr old parents. I’m extremely worried, should I be heavily isolating myself or what? It’s been 4 days since the exposure.</t>
        </is>
      </c>
      <c r="D2057" t="n">
        <v>0</v>
      </c>
      <c r="E2057" t="n">
        <v>13</v>
      </c>
      <c r="F2057">
        <f>HYPERLINK("https://www.reddit.com/r/COVID19positive/comments/hc8tyn/asymptotic_exposure/")</f>
        <v/>
      </c>
      <c r="G2057" t="inlineStr">
        <is>
          <t>2020-06-19 14:10:11</t>
        </is>
      </c>
      <c r="H2057" t="inlineStr">
        <is>
          <t>Tested Positive - Friends</t>
        </is>
      </c>
    </row>
    <row r="2058">
      <c r="A2058" t="inlineStr">
        <is>
          <t>hca0wz</t>
        </is>
      </c>
      <c r="B2058" t="inlineStr">
        <is>
          <t>Just tested positive, any tips?</t>
        </is>
      </c>
      <c r="C2058" t="inlineStr">
        <is>
          <t>Is it safe to take Advil or Tylenol? What helps, stuff like that.</t>
        </is>
      </c>
      <c r="D2058" t="n">
        <v>2</v>
      </c>
      <c r="E2058" t="n">
        <v>5</v>
      </c>
      <c r="F2058">
        <f>HYPERLINK("https://www.reddit.com/r/COVID19positive/comments/hca0wz/just_tested_positive_any_tips/")</f>
        <v/>
      </c>
      <c r="G2058" t="inlineStr">
        <is>
          <t>2020-06-19 15:13:27</t>
        </is>
      </c>
      <c r="H2058" t="inlineStr">
        <is>
          <t>Tested Positive - Me</t>
        </is>
      </c>
    </row>
    <row r="2059">
      <c r="A2059" t="inlineStr">
        <is>
          <t>hcbw60</t>
        </is>
      </c>
      <c r="B2059" t="inlineStr">
        <is>
          <t>Anybody experience body aches afterwards?</t>
        </is>
      </c>
      <c r="C2059" t="inlineStr">
        <is>
          <t>So I tested positive positive about 60 days ago. It was a mild case no hospital. I’m presumed recovered but still have body aches all over. Anybody have this and what did it feel like?</t>
        </is>
      </c>
      <c r="D2059" t="n">
        <v>2</v>
      </c>
      <c r="E2059" t="n">
        <v>10</v>
      </c>
      <c r="F2059">
        <f>HYPERLINK("https://www.reddit.com/r/COVID19positive/comments/hcbw60/anybody_experience_body_aches_afterwards/")</f>
        <v/>
      </c>
      <c r="G2059" t="inlineStr">
        <is>
          <t>2020-06-19 17:02:06</t>
        </is>
      </c>
      <c r="H2059" t="inlineStr">
        <is>
          <t>Tested Positive - Me</t>
        </is>
      </c>
    </row>
    <row r="2060">
      <c r="A2060" t="inlineStr">
        <is>
          <t>hcbxgo</t>
        </is>
      </c>
      <c r="B2060" t="inlineStr">
        <is>
          <t>Am I still contagious ?</t>
        </is>
      </c>
      <c r="C2060" t="inlineStr">
        <is>
          <t>I’ve been trying to figure out when it is safe for me to be around others. Symptoms started 6/6, tested positive 6/9. Had mild symptoms, loss of taste and smell, headache, congestion but never any fever or cough. My 14 days is tomorrow and I feel 98% back to normal except for the lingering headache that comes and goes. I will absolutely wear a mask out in any public place but I’m worried that I may still be contagious and don’t want to infect any other family members in my house. I’ve read some conflicting information about when your no longer Contagious. Some says 72 hours after fever stops (never had a fever). Dr said 14 days from onset of symptoms, and I’ve read 7 days after symptoms stop. Again, only symptom left is the headache. What is the best protocol to follow here ?</t>
        </is>
      </c>
      <c r="D2060" t="n">
        <v>0</v>
      </c>
      <c r="E2060" t="n">
        <v>7</v>
      </c>
      <c r="F2060">
        <f>HYPERLINK("https://www.reddit.com/r/COVID19positive/comments/hcbxgo/am_i_still_contagious/")</f>
        <v/>
      </c>
      <c r="G2060" t="inlineStr">
        <is>
          <t>2020-06-19 17:04:08</t>
        </is>
      </c>
      <c r="H2060" t="inlineStr">
        <is>
          <t>Tested Positive - Me</t>
        </is>
      </c>
    </row>
    <row r="2061">
      <c r="A2061" t="inlineStr">
        <is>
          <t>hccsd1</t>
        </is>
      </c>
      <c r="B2061" t="inlineStr">
        <is>
          <t>Pregnant and COVID positive</t>
        </is>
      </c>
      <c r="C2061" t="inlineStr">
        <is>
          <t>My OB won't see me until I test negative (I only tested positive three days ago) and I feel really worried about that. I'm in the third trimester so I should be seeing him every two weeks now but right now it's been 6 weeks since I've seen him (had to cancel an appointment and then tested positive before my next appointment and had to cancel again). 
I know why they won't see me but it gives me a lot of anxiety. They don't do virtual or telehealth visits either so I'm getting absolutely nothing. I'm super worried about how this could affect my baby but there's just hardly any info out there for pregnant COVID patients. It's gonna be a long few weeks for sure</t>
        </is>
      </c>
      <c r="D2061" t="n">
        <v>1</v>
      </c>
      <c r="E2061" t="n">
        <v>69</v>
      </c>
      <c r="F2061">
        <f>HYPERLINK("https://www.reddit.com/r/COVID19positive/comments/hccsd1/pregnant_and_covid_positive/")</f>
        <v/>
      </c>
      <c r="G2061" t="inlineStr">
        <is>
          <t>2020-06-19 17:55:23</t>
        </is>
      </c>
      <c r="H2061" t="inlineStr">
        <is>
          <t>Tested Positive - Me</t>
        </is>
      </c>
    </row>
    <row r="2062">
      <c r="A2062" t="inlineStr">
        <is>
          <t>hcdizk</t>
        </is>
      </c>
      <c r="B2062" t="inlineStr">
        <is>
          <t>How It Started for Me</t>
        </is>
      </c>
      <c r="C2062" t="inlineStr">
        <is>
          <t>First of all, I was extremely careful, did all the right things washed my hands almost obsessively, wore the mask, everywhere.  I have 2 underlying conditions that made me believe if I got Covid19 it was over.  It was very frightening.  
I got conjunctivitis, so I thought (I've had it many times in my life) but it was different in that it was in both eyes at the same time.  It has always been one eye then the other or just one eye.  I never had it in both.  That went on for 5 days.  Then I got a sore throat (sort of like how you would get from post nasal drip in the morning, the thing was it didn't go away as the day went on (like something of that nature would).  I never ran a fever.  After the second day I thought maybe I should see about a test, and found out CVS was doing the nasal swab tests in my area and was able to get a time slot the next day.  I still had a sore throat, but no fever, and to be honest, while the sore throat was definitely something you would be aware of and slightly bothered by, it wasn't that bad.  Well, the test came back positive.  When I got home I was a basket case.  I called my parents to make sure they would come get my dog if I had to go to the hospital...the whole freak out.  I didn't know if the worst was yet to come...more like I was sure the worst was yet to come.  The next day, sore throat gone...and I have been symptom free since.  The positive test was on 13th May, and 10 days later I had another test done (May 23) since there were still no more symptoms and it came back negative and had another negative the following day.  I haven't had an antibody test because it is probably too soon, but I must have them since I was able to clear the infection.  I still have no idea where I got it but my county did follow up with a call from a contact tracer last week.  Has anyone else had symptoms progress similar to mine.  My infection (according to Dr) most likely started in my eyes.  Short of wearing goggles, I don't know how I could have avoided that (although I do rub my eyes from time to time).</t>
        </is>
      </c>
      <c r="D2062" t="n">
        <v>1</v>
      </c>
      <c r="E2062" t="n">
        <v>78</v>
      </c>
      <c r="F2062">
        <f>HYPERLINK("https://www.reddit.com/r/COVID19positive/comments/hcdizk/how_it_started_for_me/")</f>
        <v/>
      </c>
      <c r="G2062" t="inlineStr">
        <is>
          <t>2020-06-19 18:47:38</t>
        </is>
      </c>
      <c r="H2062" t="inlineStr">
        <is>
          <t>Tested Positive</t>
        </is>
      </c>
    </row>
    <row r="2063">
      <c r="A2063" t="inlineStr">
        <is>
          <t>hce37i</t>
        </is>
      </c>
      <c r="B2063" t="inlineStr">
        <is>
          <t>Beginner tips please?</t>
        </is>
      </c>
      <c r="C2063" t="inlineStr">
        <is>
          <t>I tested positive yesterday, but have had mild symptoms since sunday (sinus pain, headache, achy joints and skin, slight cough.) 
Today was the first day of absolutely no sense of smell. 
I guess I just want some advice on what you did to help relieve some of these things? Or at least some reassurance that things wont be so bad as I have seen in others? 
Thanks in advance!</t>
        </is>
      </c>
      <c r="D2063" t="n">
        <v>1</v>
      </c>
      <c r="E2063" t="n">
        <v>19</v>
      </c>
      <c r="F2063">
        <f>HYPERLINK("https://www.reddit.com/r/COVID19positive/comments/hce37i/beginner_tips_please/")</f>
        <v/>
      </c>
      <c r="G2063" t="inlineStr">
        <is>
          <t>2020-06-19 19:28:08</t>
        </is>
      </c>
      <c r="H2063" t="inlineStr">
        <is>
          <t>Tested Positive - Me</t>
        </is>
      </c>
    </row>
    <row r="2064">
      <c r="A2064" t="inlineStr">
        <is>
          <t>hceb69</t>
        </is>
      </c>
      <c r="B2064" t="inlineStr">
        <is>
          <t>My dad tested positive 50 years old</t>
        </is>
      </c>
      <c r="C2064" t="inlineStr">
        <is>
          <t>Hi! My dad tested positive today and we think he was infected 6 or 7 days ago. He had a fever 37.7 Celsius 2 days ago. Now he no longer has any symptoms! We wanted to know if he already started the recovery process. Thank you!</t>
        </is>
      </c>
      <c r="D2064" t="n">
        <v>1</v>
      </c>
      <c r="E2064" t="n">
        <v>7</v>
      </c>
      <c r="F2064">
        <f>HYPERLINK("https://www.reddit.com/r/COVID19positive/comments/hceb69/my_dad_tested_positive_50_years_old/")</f>
        <v/>
      </c>
      <c r="G2064" t="inlineStr">
        <is>
          <t>2020-06-19 19:43:51</t>
        </is>
      </c>
      <c r="H2064" t="inlineStr">
        <is>
          <t>Tested Positive - Family</t>
        </is>
      </c>
    </row>
    <row r="2065">
      <c r="A2065" t="inlineStr">
        <is>
          <t>hcef5p</t>
        </is>
      </c>
      <c r="B2065" t="inlineStr">
        <is>
          <t>Presumed positive and my wife is pregnant.</t>
        </is>
      </c>
      <c r="C2065" t="inlineStr">
        <is>
          <t>Hello all, my wife is 25 weeks pregnant and I haven't been feeling well since Tuesday. I went and took a test yesterday and the nurse said all my symptoms match up with covid. Since I began to feel ill, I have isolated myself from my wife and kids, but my question is, if my wife somehow gets it from me, will it send her into premature labor? I can't find much info on pregnant women with covid. I would feel so guilty if anything were to happen to either of them so I'm just looking for advice. Thank you.</t>
        </is>
      </c>
      <c r="D2065" t="n">
        <v>1</v>
      </c>
      <c r="E2065" t="n">
        <v>3</v>
      </c>
      <c r="F2065">
        <f>HYPERLINK("https://www.reddit.com/r/COVID19positive/comments/hcef5p/presumed_positive_and_my_wife_is_pregnant/")</f>
        <v/>
      </c>
      <c r="G2065" t="inlineStr">
        <is>
          <t>2020-06-19 19:52:03</t>
        </is>
      </c>
      <c r="H2065" t="inlineStr">
        <is>
          <t>Presumed Positive - From Doctor</t>
        </is>
      </c>
    </row>
    <row r="2066">
      <c r="A2066" t="inlineStr">
        <is>
          <t>hcf2rj</t>
        </is>
      </c>
      <c r="B2066" t="inlineStr">
        <is>
          <t>Presumed positive from doctor but tested negative twice</t>
        </is>
      </c>
      <c r="C2066" t="inlineStr">
        <is>
          <t>Hi everyone,
My boss and coworker have tested positive for the virus. I've been coughing and having a fever since the 9th. My live in gf tested positive today.  I've had an xray and Ct scan on my lungs that's shown a pretty big infection going on.
Has anyone kept having false negatives?</t>
        </is>
      </c>
      <c r="D2066" t="n">
        <v>1</v>
      </c>
      <c r="E2066" t="n">
        <v>9</v>
      </c>
      <c r="F2066">
        <f>HYPERLINK("https://www.reddit.com/r/COVID19positive/comments/hcf2rj/presumed_positive_from_doctor_but_tested_negative/")</f>
        <v/>
      </c>
      <c r="G2066" t="inlineStr">
        <is>
          <t>2020-06-19 20:39:25</t>
        </is>
      </c>
      <c r="H2066" t="inlineStr">
        <is>
          <t>Presumed Positive - From Doctor</t>
        </is>
      </c>
    </row>
    <row r="2067">
      <c r="A2067" t="inlineStr">
        <is>
          <t>hcf3rp</t>
        </is>
      </c>
      <c r="B2067" t="inlineStr">
        <is>
          <t>SOB Onset Question (23M)</t>
        </is>
      </c>
      <c r="C2067" t="inlineStr">
        <is>
          <t>It started with sore throat on Tuesday and by Wednesday I had most of the non-respiratory symptoms (fever, headache, chills, muscle aches). Tested positive that day and could barely move with how crappy I felt. Yesterday and today the symptoms were much more manageable and my temp has been normal. I have noticed a loss of smell and a burning sensation in my nose, however.
I know SOB usually develops ~5-7 days but I’m curious whether I’m less likely to get it given that the other symptoms have diminished already. I’m primarily concerned about SOB because I know it can strike pretty quickly and I live alone. Just hoping for some perspective.</t>
        </is>
      </c>
      <c r="D2067" t="n">
        <v>1</v>
      </c>
      <c r="E2067" t="n">
        <v>3</v>
      </c>
      <c r="F2067">
        <f>HYPERLINK("https://www.reddit.com/r/COVID19positive/comments/hcf3rp/sob_onset_question_23m/")</f>
        <v/>
      </c>
      <c r="G2067" t="inlineStr">
        <is>
          <t>2020-06-19 20:41:29</t>
        </is>
      </c>
      <c r="H2067" t="inlineStr">
        <is>
          <t>Tested Positive - Me</t>
        </is>
      </c>
    </row>
    <row r="2068">
      <c r="A2068" t="inlineStr">
        <is>
          <t>hcfbwo</t>
        </is>
      </c>
      <c r="B2068" t="inlineStr">
        <is>
          <t>Dear friend, risk factors, am very worried</t>
        </is>
      </c>
      <c r="C2068" t="inlineStr">
        <is>
          <t>My very dear friend started feeling sick on Sunday 6/14 (migraine type headache), and has progressed to fever/chills, body aches, the need to cough if she takes a deep breathe, and occasional heart palpitations. Her positive test came back on Wednesday 6/17. 
I’m super worried for her because she is obese, and has high blood pressure already. Shes 30. I know a nurse has contacted her to check up on her, but aside from that she isn’t receiving care. 
She is the kind of person to downplay things, or get overwhelmed and not deal with them. I’m worried she will let herself get super bad before going to the hospital. What are some things I can look for in how she says she’s feeling, that will help me know it’s time to encourage her to seek care? I’m already freaking out about the heart palpitations a bit.</t>
        </is>
      </c>
      <c r="D2068" t="n">
        <v>1</v>
      </c>
      <c r="E2068" t="n">
        <v>23</v>
      </c>
      <c r="F2068">
        <f>HYPERLINK("https://www.reddit.com/r/COVID19positive/comments/hcfbwo/dear_friend_risk_factors_am_very_worried/")</f>
        <v/>
      </c>
      <c r="G2068" t="inlineStr">
        <is>
          <t>2020-06-19 20:58:49</t>
        </is>
      </c>
      <c r="H2068" t="inlineStr">
        <is>
          <t>Tested Positive - Friends</t>
        </is>
      </c>
    </row>
    <row r="2069">
      <c r="A2069" t="inlineStr">
        <is>
          <t>hcgah6</t>
        </is>
      </c>
      <c r="B2069" t="inlineStr">
        <is>
          <t>Positive test over a month ago, released from isolation...</t>
        </is>
      </c>
      <c r="C2069" t="inlineStr">
        <is>
          <t>..yet I am still missing a majority of my sense of taste. Also still experiencing a very limited range of smell.
I am so tired, and still so down about this. I caught the virus from my job. (I worked in a nursing home.) The day I was meant to start my new job in EMS, I tested positive. It was so sad and incredibly daunting working the COVID unit. I know there are people who absolutely had/have it much worse than me, but I still feel so crappy. Emotionally and physically. 
I still feel...off. I am healthy, mid twenties and was quite active before I became infected. The virus had hit me quite hard.
I just want to feel somewhat normal again.
When did you feel like you were mostly back to normal?</t>
        </is>
      </c>
      <c r="D2069" t="n">
        <v>1</v>
      </c>
      <c r="E2069" t="n">
        <v>7</v>
      </c>
      <c r="F2069">
        <f>HYPERLINK("https://www.reddit.com/r/COVID19positive/comments/hcgah6/positive_test_over_a_month_ago_released_from/")</f>
        <v/>
      </c>
      <c r="G2069" t="inlineStr">
        <is>
          <t>2020-06-19 22:14:24</t>
        </is>
      </c>
      <c r="H2069" t="inlineStr">
        <is>
          <t>Tested Positive</t>
        </is>
      </c>
    </row>
    <row r="2070">
      <c r="A2070" t="inlineStr">
        <is>
          <t>hcgz6i</t>
        </is>
      </c>
      <c r="B2070" t="inlineStr">
        <is>
          <t>Getting shamed at work</t>
        </is>
      </c>
      <c r="C2070" t="inlineStr">
        <is>
          <t>My (23F) job has required us to work from in office since the beginning. There’s 8 of us and we have our own cubicles so it sucked but could’ve been worse. 
I live in AZ &amp;amp; when Doug Douchey (our gov.) opened up the state, my lovely boss decided we were able to do in person appointments and we weren’t requiring our clients to wear masks. The receptionist randomly schedules appointments &amp;amp; without my permission, I was the first person to get scheduled an in person appointment. The 2 people who came in to see me kept pulling down their masks and coughing. 
On Tuesday, I started feeling achey + developed a minor cough. I got tested on Wednesday and today I got a call that I’m positive. 
This whole week, two of my coworkers have been sorta harassing me about it. Like one of them texted me a few days ago “so what’re the chances of you getting the covid? bc if you test positive, my husband and children have to quarantine for 2 weeks”. 
Now my office is probably gonna close for the next two weeks while we all get tested and those two coworkers have been somewhat passive aggressive w me (thru a group chat). 
It’s been super discouraging and uncomfortable. 
I understand it’s a major inconvenience but I was one of the few people at work actually taking this seriously. The receptionist (who is one of the people harassing me) literally goes out to a bar every day. 
Anybody else dealing w people being upset/angry at them?</t>
        </is>
      </c>
      <c r="D2070" t="n">
        <v>1</v>
      </c>
      <c r="E2070" t="n">
        <v>70</v>
      </c>
      <c r="F2070">
        <f>HYPERLINK("https://www.reddit.com/r/COVID19positive/comments/hcgz6i/getting_shamed_at_work/")</f>
        <v/>
      </c>
      <c r="G2070" t="inlineStr">
        <is>
          <t>2020-06-19 23:11:43</t>
        </is>
      </c>
      <c r="H2070" t="inlineStr">
        <is>
          <t>Tested Positive - Me</t>
        </is>
      </c>
    </row>
    <row r="2071">
      <c r="A2071" t="inlineStr">
        <is>
          <t>hcj4h9</t>
        </is>
      </c>
      <c r="B2071" t="inlineStr">
        <is>
          <t>Question about reinfection</t>
        </is>
      </c>
      <c r="C2071" t="inlineStr">
        <is>
          <t>Hello :) about a month ago I needed to get tested for clearance because I was getting a procedure. I had no symptoms but unfortunately came back positive and had to reschedule my surgery for 6/25. I’ve had 2 negative tests since then but need to get another test tomorrow because the test needs to be within 5 days of surgery. Are the chances of me getting infected with covid twice in one month high?? Thanks!</t>
        </is>
      </c>
      <c r="D2071" t="n">
        <v>1</v>
      </c>
      <c r="E2071" t="n">
        <v>3</v>
      </c>
      <c r="F2071">
        <f>HYPERLINK("https://www.reddit.com/r/COVID19positive/comments/hcj4h9/question_about_reinfection/")</f>
        <v/>
      </c>
      <c r="G2071" t="inlineStr">
        <is>
          <t>2020-06-20 02:17:51</t>
        </is>
      </c>
      <c r="H2071" t="inlineStr">
        <is>
          <t>Tested Positive - Me</t>
        </is>
      </c>
    </row>
    <row r="2072">
      <c r="A2072" t="inlineStr">
        <is>
          <t>hclalc</t>
        </is>
      </c>
      <c r="B2072" t="inlineStr">
        <is>
          <t>Peppers taste like soap??</t>
        </is>
      </c>
      <c r="C2072" t="inlineStr">
        <is>
          <t>I was just wondering if anyone else who has had corona experienced the same thing? I have tested positive and initially lost sense of smell and taste, upon regaining it peppers taste like soap to me.</t>
        </is>
      </c>
      <c r="D2072" t="n">
        <v>1</v>
      </c>
      <c r="E2072" t="n">
        <v>5</v>
      </c>
      <c r="F2072">
        <f>HYPERLINK("https://www.reddit.com/r/COVID19positive/comments/hclalc/peppers_taste_like_soap/")</f>
        <v/>
      </c>
      <c r="G2072" t="inlineStr">
        <is>
          <t>2020-06-20 05:11:15</t>
        </is>
      </c>
      <c r="H2072" t="inlineStr">
        <is>
          <t>Tested Positive - Me</t>
        </is>
      </c>
    </row>
    <row r="2073">
      <c r="A2073" t="inlineStr">
        <is>
          <t>hcmdm0</t>
        </is>
      </c>
      <c r="B2073" t="inlineStr">
        <is>
          <t>How long does it take to get your sense of taste&amp;amp;smell back?</t>
        </is>
      </c>
      <c r="C2073" t="inlineStr">
        <is>
          <t>This is by FAR the worst symptom i've had of corona, it really fucking sucks not being able to feel the taste of the stuff you're eating, I think I these senses on day 2, i'm on day 6 atm..</t>
        </is>
      </c>
      <c r="D2073" t="n">
        <v>1</v>
      </c>
      <c r="E2073" t="n">
        <v>8</v>
      </c>
      <c r="F2073">
        <f>HYPERLINK("https://www.reddit.com/r/COVID19positive/comments/hcmdm0/how_long_does_it_take_to_get_your_sense_of/")</f>
        <v/>
      </c>
      <c r="G2073" t="inlineStr">
        <is>
          <t>2020-06-20 06:34:46</t>
        </is>
      </c>
      <c r="H2073" t="inlineStr">
        <is>
          <t>Presumed Positive - From Doctor</t>
        </is>
      </c>
    </row>
    <row r="2074">
      <c r="A2074" t="inlineStr">
        <is>
          <t>hcmjcp</t>
        </is>
      </c>
      <c r="B2074" t="inlineStr">
        <is>
          <t>My sister just got the test back and it was positive, i can’t stop thinking about it</t>
        </is>
      </c>
      <c r="C2074" t="inlineStr">
        <is>
          <t>I have never been this anxious before in my life and now i can’t even do stuff i enjoy. How did you get through it? 
I have also never experienced death before so i have no fkn idea what to do or how to feel if we lose my sister.</t>
        </is>
      </c>
      <c r="D2074" t="n">
        <v>1</v>
      </c>
      <c r="E2074" t="n">
        <v>17</v>
      </c>
      <c r="F2074">
        <f>HYPERLINK("https://www.reddit.com/r/COVID19positive/comments/hcmjcp/my_sister_just_got_the_test_back_and_it_was/")</f>
        <v/>
      </c>
      <c r="G2074" t="inlineStr">
        <is>
          <t>2020-06-20 06:46:10</t>
        </is>
      </c>
      <c r="H2074" t="inlineStr">
        <is>
          <t>Tested Positive - Family</t>
        </is>
      </c>
    </row>
    <row r="2075">
      <c r="A2075" t="inlineStr">
        <is>
          <t>hcn7zd</t>
        </is>
      </c>
      <c r="B2075" t="inlineStr">
        <is>
          <t>Should I be worried?</t>
        </is>
      </c>
      <c r="C2075" t="inlineStr">
        <is>
          <t>Today is day 6 of being symptomatic. All of my original symptoms have pretty much gone aside from slight fatigue, nasal congestion, and loss of smell/taste. I have a constant feeling of having to cough something up/clear my throat but can’t quite get it. I wouldn’t call it shortness of breath. Anyone else experience this?</t>
        </is>
      </c>
      <c r="D2075" t="n">
        <v>1</v>
      </c>
      <c r="E2075" t="n">
        <v>7</v>
      </c>
      <c r="F2075">
        <f>HYPERLINK("https://www.reddit.com/r/COVID19positive/comments/hcn7zd/should_i_be_worried/")</f>
        <v/>
      </c>
      <c r="G2075" t="inlineStr">
        <is>
          <t>2020-06-20 07:32:57</t>
        </is>
      </c>
      <c r="H2075" t="inlineStr">
        <is>
          <t>Tested Positive</t>
        </is>
      </c>
    </row>
    <row r="2076">
      <c r="A2076" t="inlineStr">
        <is>
          <t>hco388</t>
        </is>
      </c>
      <c r="B2076" t="inlineStr">
        <is>
          <t>Exagurrated sense of smell, smells not blunted but just different, whiffs of smoke, and some smells are strong and sickly</t>
        </is>
      </c>
      <c r="C2076" t="inlineStr">
        <is>
          <t>Anyone else had this experience?</t>
        </is>
      </c>
      <c r="D2076" t="n">
        <v>1</v>
      </c>
      <c r="E2076" t="n">
        <v>21</v>
      </c>
      <c r="F2076">
        <f>HYPERLINK("https://www.reddit.com/r/COVID19positive/comments/hco388/exagurrated_sense_of_smell_smells_not_blunted_but/")</f>
        <v/>
      </c>
      <c r="G2076" t="inlineStr">
        <is>
          <t>2020-06-20 08:26:23</t>
        </is>
      </c>
      <c r="H2076" t="inlineStr">
        <is>
          <t>Tested Positive</t>
        </is>
      </c>
    </row>
    <row r="2077">
      <c r="A2077" t="inlineStr">
        <is>
          <t>hcrh6e</t>
        </is>
      </c>
      <c r="B2077" t="inlineStr">
        <is>
          <t>No immune response to covid19?</t>
        </is>
      </c>
      <c r="C2077" t="inlineStr">
        <is>
          <t>Hypothetical question, if you produced no immune response to covid, what would happen?, Would it slowly do damage and take longer to get seriously ill? or Would you get sicker alot quicker?</t>
        </is>
      </c>
      <c r="D2077" t="n">
        <v>1</v>
      </c>
      <c r="E2077" t="n">
        <v>28</v>
      </c>
      <c r="F2077">
        <f>HYPERLINK("https://www.reddit.com/r/COVID19positive/comments/hcrh6e/no_immune_response_to_covid19/")</f>
        <v/>
      </c>
      <c r="G2077" t="inlineStr">
        <is>
          <t>2020-06-20 11:44:49</t>
        </is>
      </c>
      <c r="H2077" t="inlineStr">
        <is>
          <t>Tested Positive</t>
        </is>
      </c>
    </row>
    <row r="2078">
      <c r="A2078" t="inlineStr">
        <is>
          <t>hcu0bj</t>
        </is>
      </c>
      <c r="B2078" t="inlineStr">
        <is>
          <t>Anyone else develop a cough on day 20 or later?</t>
        </is>
      </c>
      <c r="C2078" t="inlineStr">
        <is>
          <t>I had what I guess would be considered a very mild case of corona. No fever. I had a headache pretty much the whole time but it was manageable with Advil. I had a sore throat on day 6 or 7. Starting getting my energy back after the sore throat went away. Almost felt completely better this last Monday. Then this last Wednesday my headache got worse. I’m feeling a little more tired. 
But now I think I’m getting a cough? Maybe it’s allergies though. Sometimes i feel like my chest is tight but then i go on a walk and it feel better so it makes me think it’s anxiety? What is your covid cough like? Mine is short and dry. No flem or anything. Maybe it’s allergies? They are really bad in my area right now. Did anyone develop a cough after they were already starting to recover?</t>
        </is>
      </c>
      <c r="D2078" t="n">
        <v>5</v>
      </c>
      <c r="E2078" t="n">
        <v>23</v>
      </c>
      <c r="F2078">
        <f>HYPERLINK("https://www.reddit.com/r/COVID19positive/comments/hcu0bj/anyone_else_develop_a_cough_on_day_20_or_later/")</f>
        <v/>
      </c>
      <c r="G2078" t="inlineStr">
        <is>
          <t>2020-06-20 14:20:12</t>
        </is>
      </c>
      <c r="H2078" t="inlineStr">
        <is>
          <t>Tested Positive - Me</t>
        </is>
      </c>
    </row>
    <row r="2079">
      <c r="A2079" t="inlineStr">
        <is>
          <t>hcx21a</t>
        </is>
      </c>
      <c r="B2079" t="inlineStr">
        <is>
          <t>Still experiencing some chest tightness</t>
        </is>
      </c>
      <c r="C2079" t="inlineStr">
        <is>
          <t>My fitness is back to normal but I will sometimes get some chest tightness. I do get panic attacks which I'm sure makes it worse. SpO2 normal just uncomfortable.</t>
        </is>
      </c>
      <c r="D2079" t="n">
        <v>2</v>
      </c>
      <c r="E2079" t="n">
        <v>2</v>
      </c>
      <c r="F2079">
        <f>HYPERLINK("https://www.reddit.com/r/COVID19positive/comments/hcx21a/still_experiencing_some_chest_tightness/")</f>
        <v/>
      </c>
      <c r="G2079" t="inlineStr">
        <is>
          <t>2020-06-20 17:22:09</t>
        </is>
      </c>
      <c r="H2079" t="inlineStr">
        <is>
          <t>Presumed Positive - From Doctor</t>
        </is>
      </c>
    </row>
    <row r="2080">
      <c r="A2080" t="inlineStr">
        <is>
          <t>hcxh63</t>
        </is>
      </c>
      <c r="B2080" t="inlineStr">
        <is>
          <t>Anyone have random non text book symptoms due to covid-19?</t>
        </is>
      </c>
      <c r="C2080" t="inlineStr">
        <is>
          <t>I had some strange symptoms and the still lingering from time to time like...
Serious neck pain and mixing up words like if I wanna say finish I say dinish (done and finish) 
Eye pain and jaw pain 
Tingling in toes  
Super random</t>
        </is>
      </c>
      <c r="D2080" t="n">
        <v>9</v>
      </c>
      <c r="E2080" t="n">
        <v>41</v>
      </c>
      <c r="F2080">
        <f>HYPERLINK("https://www.reddit.com/r/COVID19positive/comments/hcxh63/anyone_have_random_non_text_book_symptoms_due_to/")</f>
        <v/>
      </c>
      <c r="G2080" t="inlineStr">
        <is>
          <t>2020-06-20 17:48:21</t>
        </is>
      </c>
      <c r="H2080" t="inlineStr">
        <is>
          <t>Tested Positive - Me</t>
        </is>
      </c>
    </row>
    <row r="2081">
      <c r="A2081" t="inlineStr">
        <is>
          <t>hcxhwo</t>
        </is>
      </c>
      <c r="B2081" t="inlineStr">
        <is>
          <t>Covid positive ceo</t>
        </is>
      </c>
      <c r="C2081" t="inlineStr">
        <is>
          <t>Hey just curious my gfs CEO of a large company just was tested positive for covid Thursday. We went and got tested that day and have quarantined since then. 
Later my gf found out she new she was positive earlier in the week and still came to work. The company is still making all employees go in. Now I found out her CEO is still going to workout classes, restaurants, and public places even though she knows she is positive. I’m in the same county and city as her  as well as my mom and I don’t feel at ease. Is there a way to report this?</t>
        </is>
      </c>
      <c r="D2081" t="n">
        <v>16</v>
      </c>
      <c r="E2081" t="n">
        <v>14</v>
      </c>
      <c r="F2081">
        <f>HYPERLINK("https://www.reddit.com/r/COVID19positive/comments/hcxhwo/covid_positive_ceo/")</f>
        <v/>
      </c>
      <c r="G2081" t="inlineStr">
        <is>
          <t>2020-06-20 17:49:42</t>
        </is>
      </c>
      <c r="H2081" t="inlineStr">
        <is>
          <t>Tested Positive - Friends</t>
        </is>
      </c>
    </row>
    <row r="2082">
      <c r="A2082" t="inlineStr">
        <is>
          <t>hcxkug</t>
        </is>
      </c>
      <c r="B2082" t="inlineStr">
        <is>
          <t>Feeling very anxious about losing sense of smell/taste because of covid-19</t>
        </is>
      </c>
      <c r="C2082" t="inlineStr">
        <is>
          <t>Losing a lot of sleep lately to anxious spirals about not having a sense of smell or taste anymore. I got ”sick” (very light symptoms) with corona for 3 days in the middle of may and since then I can’t smell or taste. My anxiety has been really bad because of it and I’ve lost a lot of sleep lately which probably doesn’t help. I’m just scared of never being able to taste my favorite foods or smell any smells again.</t>
        </is>
      </c>
      <c r="D2082" t="n">
        <v>15</v>
      </c>
      <c r="E2082" t="n">
        <v>22</v>
      </c>
      <c r="F2082">
        <f>HYPERLINK("https://www.reddit.com/r/COVID19positive/comments/hcxkug/feeling_very_anxious_about_losing_sense_of/")</f>
        <v/>
      </c>
      <c r="G2082" t="inlineStr">
        <is>
          <t>2020-06-20 17:54:58</t>
        </is>
      </c>
      <c r="H2082" t="inlineStr">
        <is>
          <t>Tested Positive - Me</t>
        </is>
      </c>
    </row>
    <row r="2083">
      <c r="A2083" t="inlineStr">
        <is>
          <t>hczfs2</t>
        </is>
      </c>
      <c r="B2083" t="inlineStr">
        <is>
          <t>How likely is this scenario?</t>
        </is>
      </c>
      <c r="C2083" t="inlineStr">
        <is>
          <t>Sooo my roommate worked a shift about two weeks ago with someone that tested positive. I asked him if either of them wore a mask and how close were they. He told me that neither of them wore a mask and that he even hugged him. My roommate got tested this past Sunday and his results came in on Thursday and he was negative. I was worried because me and my roommate smoke together almost everyday so I was for sure going to get infected if he caught it. Also, my roommate shares a room with his brother and he also smokes almost everyday with one of his friends that has asthma. Now, when he notified me about his co worker testing positive I was super worried because that same morning I woke up with pink eye. I haven’t had any other symptoms at all but I’m just so surprised as to how you can be so close to someone that’s infected and not get infected yourself. Neither my roommate’s brother or his friend have showed any symptoms either. So that kind of puts my mind at ease because I’m guessing that it would be HIGHLY UNLIKELY for 4 people in the same household to be asymptomatic, right? But what I’mainly shocked  about is how my roommate didn’t catch it.</t>
        </is>
      </c>
      <c r="D2083" t="n">
        <v>2</v>
      </c>
      <c r="E2083" t="n">
        <v>12</v>
      </c>
      <c r="F2083">
        <f>HYPERLINK("https://www.reddit.com/r/COVID19positive/comments/hczfs2/how_likely_is_this_scenario/")</f>
        <v/>
      </c>
      <c r="G2083" t="inlineStr">
        <is>
          <t>2020-06-20 19:55:25</t>
        </is>
      </c>
      <c r="H2083" t="inlineStr">
        <is>
          <t>Tested Positive - Friends</t>
        </is>
      </c>
    </row>
    <row r="2084">
      <c r="A2084" t="inlineStr">
        <is>
          <t>hd1sa2</t>
        </is>
      </c>
      <c r="B2084" t="inlineStr">
        <is>
          <t>I'm struggling to sleep and anxiety after recovery</t>
        </is>
      </c>
      <c r="C2084" t="inlineStr">
        <is>
          <t>I seem to be asking a lot of questions, please bear with me. Apart from my manager I'm the only person I know in my circle who just recovered from COVID-19.
I just wanted to know is anyone struggling with sleep after recovery. I have hardly slept since I had it and its beginning to make me feel a little depressed and when I do sleep I have nightmares.
My life seems to have completely changed after this am I being melodramatic? I also have panic attacks and anxiety its even difficult to go to the grocery store.
I am speaking to my doctor but nothing seems to be working I'm really getting frustrated any advise would be appreciated.
Thanks in advance❤</t>
        </is>
      </c>
      <c r="D2084" t="n">
        <v>1</v>
      </c>
      <c r="E2084" t="n">
        <v>13</v>
      </c>
      <c r="F2084">
        <f>HYPERLINK("https://www.reddit.com/r/COVID19positive/comments/hd1sa2/im_struggling_to_sleep_and_anxiety_after_recovery/")</f>
        <v/>
      </c>
      <c r="G2084" t="inlineStr">
        <is>
          <t>2020-06-20 23:00:01</t>
        </is>
      </c>
      <c r="H2084" t="inlineStr">
        <is>
          <t>Tested Positive - Me</t>
        </is>
      </c>
    </row>
    <row r="2085">
      <c r="A2085" t="inlineStr">
        <is>
          <t>hd2rvb</t>
        </is>
      </c>
      <c r="B2085" t="inlineStr">
        <is>
          <t>Shortness of breath at the same time everyday?</t>
        </is>
      </c>
      <c r="C2085" t="inlineStr">
        <is>
          <t>I’ve noticed i have severe shortness of breath everyday starting at around 8:00 PM until 2:00 AM every day. This is really weird anyone else experience something similar?</t>
        </is>
      </c>
      <c r="D2085" t="n">
        <v>1</v>
      </c>
      <c r="E2085" t="n">
        <v>18</v>
      </c>
      <c r="F2085">
        <f>HYPERLINK("https://www.reddit.com/r/COVID19positive/comments/hd2rvb/shortness_of_breath_at_the_same_time_everyday/")</f>
        <v/>
      </c>
      <c r="G2085" t="inlineStr">
        <is>
          <t>2020-06-21 00:31:07</t>
        </is>
      </c>
      <c r="H2085" t="inlineStr">
        <is>
          <t>Tested Positive - Friends</t>
        </is>
      </c>
    </row>
    <row r="2086">
      <c r="A2086" t="inlineStr">
        <is>
          <t>hd30pv</t>
        </is>
      </c>
      <c r="B2086" t="inlineStr">
        <is>
          <t>Month 3</t>
        </is>
      </c>
      <c r="C2086" t="inlineStr">
        <is>
          <t>So I thought I'd share my experience right now.
At the moment I think I'm slowly improving. It remains difficult to even say that with symptoms always coming back to spontanously, but I do feel that the number of symptoms is slowly going down. At least subjectively the sheer amount of symptoms on a bad day seems to have decreased.
The main issue remaining is tachycardia. I think the average of my heartbeat is going down slowly as well, but I still have nights where I wake up feeling like I'll suffocate, sweaty and with a crazy racing heart completely unable to ever fall asleep again. But then I have nights where I'm absolutely fine too, so I'm hoping the frequency of those will increase.
Symptoms that have faded: Cough, chestpain, diarrhea, kidneypain, tingly hands/feet, sore throat
In three months I have been unable to find a single doctor who will take me seriously. I must have talked to 10 or so doctors by now, each one of them ruling out that I'm sick. I've had my lungs checked, been doing bloodtests, they made a swab test after 2 months, when it couldn't be positive and I also have a negative antibody test, which each doctor I talk to instantly refers me to. The WHO says that Covid19 takes two weeks, I'm told. Every single doctor I have talked to has clearly not taken any time to look into updated information and I can't say that they were willing to listen to it either.
Quite frankly, I am thankfull to be a fairly confident and selfreflected person. Mostly this sub allowed me to find and process all the information I needed to know that I'll eventually be fine. Of course every medical conversation leads to the typical and lazy "It's probably anxiety" (even though medically speaking, that was ruled out by an emergency doctor I had check me up during a flare up), at this point it's just hilarious because I couldn't treat this in a calmer fashion. When I wake up half suffocated during the night, I'm more annoyed then scared these days.
So to conclude, it does get better, albeit really slowly and I really want to encourage everyone in similar shoes to stay calm. I have been completely alone through three months, having to cut off contact even with friends who just don't get it, unable to obtain a single usefull piece of advice from doctors and still it's getting better. 
All you need it patience.</t>
        </is>
      </c>
      <c r="D2086" t="n">
        <v>1</v>
      </c>
      <c r="E2086" t="n">
        <v>32</v>
      </c>
      <c r="F2086">
        <f>HYPERLINK("https://www.reddit.com/r/COVID19positive/comments/hd30pv/month_3/")</f>
        <v/>
      </c>
      <c r="G2086" t="inlineStr">
        <is>
          <t>2020-06-21 00:54:31</t>
        </is>
      </c>
      <c r="H2086" t="inlineStr">
        <is>
          <t>Presumed Positive - From Doctor</t>
        </is>
      </c>
    </row>
    <row r="2087">
      <c r="A2087" t="inlineStr">
        <is>
          <t>hd3ojq</t>
        </is>
      </c>
      <c r="B2087" t="inlineStr">
        <is>
          <t>Anyone experiencing chest pain, tickles in the chest, pressure? What did your doctor say?</t>
        </is>
      </c>
      <c r="C2087" t="inlineStr">
        <is>
          <t>Currently experiencing all of the above and wanted insight</t>
        </is>
      </c>
      <c r="D2087" t="n">
        <v>1</v>
      </c>
      <c r="E2087" t="n">
        <v>5</v>
      </c>
      <c r="F2087">
        <f>HYPERLINK("https://www.reddit.com/r/COVID19positive/comments/hd3ojq/anyone_experiencing_chest_pain_tickles_in_the/")</f>
        <v/>
      </c>
      <c r="G2087" t="inlineStr">
        <is>
          <t>2020-06-21 01:54:22</t>
        </is>
      </c>
      <c r="H2087" t="inlineStr">
        <is>
          <t>Tested Positive - Me</t>
        </is>
      </c>
    </row>
    <row r="2088">
      <c r="A2088" t="inlineStr">
        <is>
          <t>hd4lbk</t>
        </is>
      </c>
      <c r="B2088" t="inlineStr">
        <is>
          <t>Bradycardia at rest now</t>
        </is>
      </c>
      <c r="C2088" t="inlineStr">
        <is>
          <t>After a month of constant tachycardia, im now getting bouts of brachycardia, and then tachycardia upon movement, my heartrate was 50bpm this morning, upon slight movement jumps to 120bpm, then came back down to 50bpm again, ive never seen my heartrate this low, dont know whats more worrying, this or the tachy, anyone else experienced this?</t>
        </is>
      </c>
      <c r="D2088" t="n">
        <v>1</v>
      </c>
      <c r="E2088" t="n">
        <v>14</v>
      </c>
      <c r="F2088">
        <f>HYPERLINK("https://www.reddit.com/r/COVID19positive/comments/hd4lbk/bradycardia_at_rest_now/")</f>
        <v/>
      </c>
      <c r="G2088" t="inlineStr">
        <is>
          <t>2020-06-21 03:14:50</t>
        </is>
      </c>
      <c r="H2088" t="inlineStr">
        <is>
          <t>Tested Positive - Me</t>
        </is>
      </c>
    </row>
    <row r="2089">
      <c r="A2089" t="inlineStr">
        <is>
          <t>hd5swg</t>
        </is>
      </c>
      <c r="B2089" t="inlineStr">
        <is>
          <t>Very mild covidcase, tested positive.</t>
        </is>
      </c>
      <c r="C2089" t="inlineStr">
        <is>
          <t>Hello everyone!
I am sure there are many out there as me (28, M), that has been under a lot of stress due to the constant worrying of getting sick or having loved ones being sick, so I taught I'd my experience of covid19, in the hope that it can offer some emotional relief due to mildness of my symptoms.
I know many people experience FAR worse symptoms, and this is not meant to be used as an excuse as not to stay at home and quarantined and take this disease seriously. If you are feeling just the sligthest of symptoms, STAY AT HOME. On the contarary, this should be seen as a clear sign of the importance of staying at home for those who are unlucky and hit hard by this strange and sometimes vague disease, as it can be very difficult to distinguish that what you are feeling is actually a covid infection that you then might be spreading.
Anwyays, I figured theres a lack of reporting on how the symptoms may behave and differ amongst mild cases. For myself atleast, I wish I had found more detailed patients stories of mild cases to balance things out, since there are so many horror stories that stressed me out. Use it as such.
Here goes:
* Day 1-2: Very mild cough, I'm talking one maybe two coughs every 30min or so.
* Day 3: Fever. Started of mild, but I felt the usual symptoms that comes with the territory, i.e. chills and muscle ache. Peaked at 38,7'C in the evening, so all in all not to bad but bad enough to stay in bed.
* Day 4: Woke up early, feeling waaay better. I found it very weird, as 6h earlier, I felt like shit. Now, no fever. All I felt was the classic feeling of something being slightly off, thats usually present when I have a cold. Weird!
* Day 5-6: About as good as I can feel I suppose, I had no clue what to think of it all. Still rested a lot and stayed inside, just to be sure.
* Day 7: Tried moving around a bit more, almost immedietly I was hit by fatigue. Like, I got drained very fast from basically very little work. After the onset of fattigue, my sinuses started behaving, and I had a stuffy nose and a clicking sound in both ears. No pain, no fever, no cough. Later in the evening I noticed both smell and taste were about 80-90% gone. Coffee tasted like boiling water, could not sense the smell of hand desinfectant, which usually is a pretty obvious smell. The fact that I lost both taste and smell made me somewhat worries, as now theres more sense to behave as if this is covid19.
* Day 8: Things continues like day 7, felt fine as long as I didn't do much and just rested. No taste or smell. Clicking ears, stuffy nose. Still, no pain, no fever, no cough.
* Day 9: Felt absolutely fine, like drastically better. Taste and smell had returned somewhat. I could smell things again and recognize them, even though it wasn't on the same level as normal. Taste however, was still pretty off as the only things I sense was salty and sweet. Nothing in between.
* Day 10: Like day 9 but my smell was back. Got the oppurtunity to test for Covid19 while staying at home based on my symptoms, even though I was feeling fine. Figured it was a safety meassure more than anything, as surely this won't be a case of Covid. But you know, safety first.
* Day 11: A bit tired but the same as the day before, nothing to worry about I taught. Test results came back just before I was going to bed. Positive! I could not belive it.
* Day 12: I found it strange to think I was positive, but I'm glad I got tested and had decided to stay at home to be make sure. Still lacked the ability to distinguish what I ate based on tasting them.
* Day 13: The weid almost non existing cough was back! I felt tired and run down after moving around, but all in all, still fine compared to the first few days.
* Day 14-15: Same as day 13.
* Day 16-17 (current day): No cough, feeling normal except for slight fatigue. Hopefully it wont get worse than this.
One thing that I didnt keep track of was stomach issues. I had diarrhea on and off, but as I have stomach issues going several years back it's not that unsual for me so I didnt think much of it at the time. Might be a symptom, might not be. But I definetly had more issues with my stomach than usual, if that makes sense.
There you have it! Stay safe and and focus on what you can control and try to do those things well, and not worry about the things you cannot control.
Oh, and I have no clue where I got it from...</t>
        </is>
      </c>
      <c r="D2089" t="n">
        <v>1</v>
      </c>
      <c r="E2089" t="n">
        <v>0</v>
      </c>
      <c r="F2089">
        <f>HYPERLINK("https://www.reddit.com/r/COVID19positive/comments/hd5swg/very_mild_covidcase_tested_positive/")</f>
        <v/>
      </c>
      <c r="G2089" t="inlineStr">
        <is>
          <t>2020-06-21 04:59:57</t>
        </is>
      </c>
      <c r="H2089" t="inlineStr">
        <is>
          <t>Tested Positive - Me</t>
        </is>
      </c>
    </row>
    <row r="2090">
      <c r="A2090" t="inlineStr">
        <is>
          <t>hd5yly</t>
        </is>
      </c>
      <c r="B2090" t="inlineStr">
        <is>
          <t>I don’t feel anything</t>
        </is>
      </c>
      <c r="C2090" t="inlineStr">
        <is>
          <t>I got tested on Tuesday Nd it came back positive on Friday...I don’t have no symptoms...i don’t wanna over think about it. Doesn’t anyone feel like this??</t>
        </is>
      </c>
      <c r="D2090" t="n">
        <v>1</v>
      </c>
      <c r="E2090" t="n">
        <v>10</v>
      </c>
      <c r="F2090">
        <f>HYPERLINK("https://www.reddit.com/r/COVID19positive/comments/hd5yly/i_dont_feel_anything/")</f>
        <v/>
      </c>
      <c r="G2090" t="inlineStr">
        <is>
          <t>2020-06-21 05:12:53</t>
        </is>
      </c>
      <c r="H2090" t="inlineStr">
        <is>
          <t>Tested Positive - Me</t>
        </is>
      </c>
    </row>
    <row r="2091">
      <c r="A2091" t="inlineStr">
        <is>
          <t>hd639t</t>
        </is>
      </c>
      <c r="B2091" t="inlineStr">
        <is>
          <t>Explanation for why oxygen saturation decreases while heart rate goes up?</t>
        </is>
      </c>
      <c r="C2091" t="inlineStr">
        <is>
          <t>My girlfriend is during her recovery period, it's been +3 months now since the symptoms onset and almost 1.5 months since she's been tested negative and discharged from hospital.
She's noticed that while she gets up from bed, her heart rate will go from ~75 to over 100-110, but the thing that we don't understand is why would the oxygen levels go down during that period, from ~97 to ~93. She doesn't have the courage to stay on her feet for too long to see if it goes even lower than 93, that value scares her plenty anyway.
So, does anyone have an explanation for why this is happening? Normal values during this period, while she rests are ~97 SpO2 and 75 heart rate.</t>
        </is>
      </c>
      <c r="D2091" t="n">
        <v>1</v>
      </c>
      <c r="E2091" t="n">
        <v>8</v>
      </c>
      <c r="F2091">
        <f>HYPERLINK("https://www.reddit.com/r/COVID19positive/comments/hd639t/explanation_for_why_oxygen_saturation_decreases/")</f>
        <v/>
      </c>
      <c r="G2091" t="inlineStr">
        <is>
          <t>2020-06-21 05:23:45</t>
        </is>
      </c>
      <c r="H2091" t="inlineStr">
        <is>
          <t>Tested Positive</t>
        </is>
      </c>
    </row>
    <row r="2092">
      <c r="A2092" t="inlineStr">
        <is>
          <t>hd804n</t>
        </is>
      </c>
      <c r="B2092" t="inlineStr">
        <is>
          <t>I know Im vulnerable I just cant see the enemy</t>
        </is>
      </c>
      <c r="C2092" t="inlineStr">
        <is>
          <t>I was surprised. I tested positive May 17 2020. I just thought im so vulnerable since Im a Dialysis Patient for 11 years already. Keeping so tight and cautious doesn't work on me.
It just started with some frequent sneeze and coughs. It's nothing serious as i thought. But during my dialysis i feel so uncomfortable because I chilled and have a fever. By that time its our scheduled Rapid test so Im the first of all the patients. It came out earlier and the nurse said Its Negative. After dialysis I got home and seems not worry of the chills.
It so happened the next dialysis session it was Friday. From the start of the treatment til the end Im chilling a lot. Two heat lamps straight on me and nothing seems to work to take out he chills even paracetamols don't. I was given antibiotic Azythromycin through dextrose. I got home with cold sweats and hungry but with no sense of taste and smell.
It take two days for me to realize and thought of suspecting myself that Im infected with Covid19. As I can't tolerate the chills anymore with 38.8 temperature. I decided to admit myself to a hospital.
At the hospital, i was taken blood samples and xrays to find out what causes my fever. The results are in and the doctor told me that my lungs sounds so bad and xray results are suspicious. Pneumonia she said😔
On my hospital bed a doctor takes my PCR swab test and I know already by myself I will test positive. Results came in and it was confirm Im Covid 19 Positive.</t>
        </is>
      </c>
      <c r="D2092" t="n">
        <v>1</v>
      </c>
      <c r="E2092" t="n">
        <v>0</v>
      </c>
      <c r="F2092">
        <f>HYPERLINK("https://www.reddit.com/r/COVID19positive/comments/hd804n/i_know_im_vulnerable_i_just_cant_see_the_enemy/")</f>
        <v/>
      </c>
      <c r="G2092" t="inlineStr">
        <is>
          <t>2020-06-21 07:40:21</t>
        </is>
      </c>
      <c r="H2092" t="inlineStr">
        <is>
          <t>Tested Positive</t>
        </is>
      </c>
    </row>
    <row r="2093">
      <c r="A2093" t="inlineStr">
        <is>
          <t>hd8g25</t>
        </is>
      </c>
      <c r="B2093" t="inlineStr">
        <is>
          <t>update on my stepfather</t>
        </is>
      </c>
      <c r="C2093" t="inlineStr">
        <is>
          <t>my stepfather started opening his eyes and mouth but cant talk. he is basically doing better than before. im trying to remain positive. the hospital test patients every 2 weeks and my stepdad got his second result. he came out negative. when he first landed in the hospital his kidney failed. his liver failed. lungs collapsed. his pneumonia was bad.  the virus was causing blood clot in his blood which is why his legs and hands cant get blood circulation and they have to amputate his hands and legs. i got tested. i got tested 6 times and had 2 antibody test done by different places and all came out negative.</t>
        </is>
      </c>
      <c r="D2093" t="n">
        <v>1</v>
      </c>
      <c r="E2093" t="n">
        <v>4</v>
      </c>
      <c r="F2093">
        <f>HYPERLINK("https://www.reddit.com/r/COVID19positive/comments/hd8g25/update_on_my_stepfather/")</f>
        <v/>
      </c>
      <c r="G2093" t="inlineStr">
        <is>
          <t>2020-06-21 08:08:23</t>
        </is>
      </c>
      <c r="H2093" t="inlineStr">
        <is>
          <t>Tested Positive - Family</t>
        </is>
      </c>
    </row>
    <row r="2094">
      <c r="A2094" t="inlineStr">
        <is>
          <t>hd8l1o</t>
        </is>
      </c>
      <c r="B2094" t="inlineStr">
        <is>
          <t>Long termers: best imaging test for chest pain?</t>
        </is>
      </c>
      <c r="C2094" t="inlineStr">
        <is>
          <t>13 weeks here. I have a ton of peripheral nerve pain still (diagnosed with post-viral neuritis) but I also have bad ongoing chest pain. It’s been a relentless burning, but now it’s back to stabbing when I take breath, and I’m back on an inhaler that seems to help. I haven’t slept on my side in three months, and I don’t like sitting in chairs. 
I had a clear chest x-ray back on March 31. My cardiologist doesn’t think it’s the heart, but offered an echocardiogram to check for pericardial effusion, but he didn’t think it likely, so I haven’t done it. My heart hasn’t felt weird for two months or so. Nobody has proposed any other tests. 
Is there a test that would be most useful here? Something that could cover heart and lungs? It’s 13 weeks of this bullshit, I need a starting place, I’m not made of money, and it’s clear the doctors are not in charge here. 
Has anyone found anything at this stage...?</t>
        </is>
      </c>
      <c r="D2094" t="n">
        <v>1</v>
      </c>
      <c r="E2094" t="n">
        <v>5</v>
      </c>
      <c r="F2094">
        <f>HYPERLINK("https://www.reddit.com/r/COVID19positive/comments/hd8l1o/long_termers_best_imaging_test_for_chest_pain/")</f>
        <v/>
      </c>
      <c r="G2094" t="inlineStr">
        <is>
          <t>2020-06-21 08:16:56</t>
        </is>
      </c>
      <c r="H2094" t="inlineStr">
        <is>
          <t>Presumed Positive - From Doctor</t>
        </is>
      </c>
    </row>
    <row r="2095">
      <c r="A2095" t="inlineStr">
        <is>
          <t>hd8whx</t>
        </is>
      </c>
      <c r="B2095" t="inlineStr">
        <is>
          <t>Did any of y'all experience erectile dysfunction?</t>
        </is>
      </c>
      <c r="C2095" t="inlineStr">
        <is>
          <t>I have been getting less morning wood and my penis simply wont get erect. 
It was fine before...idfk whats happening...</t>
        </is>
      </c>
      <c r="D2095" t="n">
        <v>1</v>
      </c>
      <c r="E2095" t="n">
        <v>4</v>
      </c>
      <c r="F2095">
        <f>HYPERLINK("https://www.reddit.com/r/COVID19positive/comments/hd8whx/did_any_of_yall_experience_erectile_dysfunction/")</f>
        <v/>
      </c>
      <c r="G2095" t="inlineStr">
        <is>
          <t>2020-06-21 08:36:40</t>
        </is>
      </c>
      <c r="H2095" t="inlineStr">
        <is>
          <t>Presumed Positive - From Doctor</t>
        </is>
      </c>
    </row>
    <row r="2096">
      <c r="A2096" t="inlineStr">
        <is>
          <t>hd993o</t>
        </is>
      </c>
      <c r="B2096" t="inlineStr">
        <is>
          <t>Oxygen Levels</t>
        </is>
      </c>
      <c r="C2096" t="inlineStr">
        <is>
          <t>I’m moving on to third week with this and have noticed some of the other symptoms subsided and then return. But my oxygen levels are dropping: initially I had no shortness of breath and my readings were 98-99. Then by second week still no shortness of breath and readings were 96-99. Now entering my third week, I am having shortness of breath at night which prevents me from sleeping and my oxygen reading fluctuate between 93-97. When I sit down outside to catch some air it stays at 94-97. Anyone else experiencing something similar? Should I hit the ER?</t>
        </is>
      </c>
      <c r="D2096" t="n">
        <v>1</v>
      </c>
      <c r="E2096" t="n">
        <v>4</v>
      </c>
      <c r="F2096">
        <f>HYPERLINK("https://www.reddit.com/r/COVID19positive/comments/hd993o/oxygen_levels/")</f>
        <v/>
      </c>
      <c r="G2096" t="inlineStr">
        <is>
          <t>2020-06-21 08:58:56</t>
        </is>
      </c>
      <c r="H2096" t="inlineStr">
        <is>
          <t>Tested Positive - Me</t>
        </is>
      </c>
    </row>
    <row r="2097">
      <c r="A2097" t="inlineStr">
        <is>
          <t>hd9w2n</t>
        </is>
      </c>
      <c r="B2097" t="inlineStr">
        <is>
          <t>What are you taking to help ease the symptoms?</t>
        </is>
      </c>
      <c r="C2097" t="inlineStr">
        <is>
          <t>Hey guys! Tested positive and my symptoms are: dry cough (today I’ve had mucus too), every time I take a deep breath, I tend to cough my lungs out, off and on fever (never above 101.8-102), and fatigue. 
I was told to take Vitamin C, Vitamin D, Elderberry and HOCL Spray. What are some things you’re taking that helps/eases the symptoms?
Sending you all huge hugs! We’re in this together!</t>
        </is>
      </c>
      <c r="D2097" t="n">
        <v>3</v>
      </c>
      <c r="E2097" t="n">
        <v>12</v>
      </c>
      <c r="F2097">
        <f>HYPERLINK("https://www.reddit.com/r/COVID19positive/comments/hd9w2n/what_are_you_taking_to_help_ease_the_symptoms/")</f>
        <v/>
      </c>
      <c r="G2097" t="inlineStr">
        <is>
          <t>2020-06-21 09:36:29</t>
        </is>
      </c>
      <c r="H2097" t="inlineStr">
        <is>
          <t>Tested Positive - Me</t>
        </is>
      </c>
    </row>
    <row r="2098">
      <c r="A2098" t="inlineStr">
        <is>
          <t>hdakj7</t>
        </is>
      </c>
      <c r="B2098" t="inlineStr">
        <is>
          <t>How much vitamin B do you all take?</t>
        </is>
      </c>
      <c r="C2098" t="inlineStr">
        <is>
          <t>I read a post on here a few days ago about vitamin B being vital for the resolution of a few symptoms so I decided to get serious about taking a bit more of it. Since then I’ve been feeling much better.  But I’ve also heard you can take too much vitamin B. 
I think our cases are an exception in that our bodies are using more than usual.  So how much do you all take with success (and no negative effects)??</t>
        </is>
      </c>
      <c r="D2098" t="n">
        <v>1</v>
      </c>
      <c r="E2098" t="n">
        <v>15</v>
      </c>
      <c r="F2098">
        <f>HYPERLINK("https://www.reddit.com/r/COVID19positive/comments/hdakj7/how_much_vitamin_b_do_you_all_take/")</f>
        <v/>
      </c>
      <c r="G2098" t="inlineStr">
        <is>
          <t>2020-06-21 10:15:43</t>
        </is>
      </c>
      <c r="H2098" t="inlineStr">
        <is>
          <t>Tested Positive - Family</t>
        </is>
      </c>
    </row>
    <row r="2099">
      <c r="A2099" t="inlineStr">
        <is>
          <t>hdbeu0</t>
        </is>
      </c>
      <c r="B2099" t="inlineStr">
        <is>
          <t>Likelihood of 4 of 6 people being asymptomatic?</t>
        </is>
      </c>
      <c r="C2099" t="inlineStr">
        <is>
          <t>For reference I live in Texas and traveled a bit before all this started. I usually get sick easily, the last time I was sick was mid February and I had the exact symptoms of covid but was never tested since it was originally thought to not of been going around at that time. I also haven't been really isolating. I have done food deliveries and went on small road trips to parks. When things opened up I wasn't scared to go back out and started seeing friends again. 
Last weekend me, my roommate and 4 of our friends had a night out. The next day one friend started feeling sick and then 4 days later another friend started feeling sick and ended up testing positive. I have spent time with the friend who tested positive up until the day she started showing symptoms so I assumed I would get sick as well. Its been 8 days since we all went out and 6 days since I've seen my friend. Me, my roommate, and the other two friends who were with us Friday has not had a single symptom. It's weird because I was close to both of these friends the day before they started showing symptoms and I get sick easily so I'm wondering why I never got it. my roommate and I scheduled an antibody test tomorrow to see if we were already exposed to it. For this to be as transmittable as it's said to be, what's the likihood of 4 of us being asymptomatic or just got lucky to not be exposed?</t>
        </is>
      </c>
      <c r="D2099" t="n">
        <v>1</v>
      </c>
      <c r="E2099" t="n">
        <v>5</v>
      </c>
      <c r="F2099">
        <f>HYPERLINK("https://www.reddit.com/r/COVID19positive/comments/hdbeu0/likelihood_of_4_of_6_people_being_asymptomatic/")</f>
        <v/>
      </c>
      <c r="G2099" t="inlineStr">
        <is>
          <t>2020-06-21 11:04:50</t>
        </is>
      </c>
      <c r="H2099" t="inlineStr">
        <is>
          <t>Tested Positive - Friends</t>
        </is>
      </c>
    </row>
    <row r="2100">
      <c r="A2100" t="inlineStr">
        <is>
          <t>hdbokd</t>
        </is>
      </c>
      <c r="B2100" t="inlineStr">
        <is>
          <t>My cousin has tested positive and I'm not sure what to do.</t>
        </is>
      </c>
      <c r="C2100" t="inlineStr">
        <is>
          <t>I have very little information on this but my cousin lives in Dallas, TX. He apparently lost his sense of smell. I was just told by my mom probably ten minutes ago. I'm scared. He has a fiance and a two year old daughter. He probably got it from work (he's an essential worker).
I guess I just don't know what this means. I thought I read somewhere that if you lose your sense of taste/smell, the inflammation is primarily in your face and so you're probably going to be okay (in terms of not suffering organ damage or being hospitalized) and I guess I'd like to know if that's true or if there's anything else I should look for?
He's late 20s, early 30s, with no underlying conditions that I know of aside from a family history of a heart condition (his father, my uncle, needed surgery several years ago).
I'm sorry that this is all over the place. I'm just really worried.
Anything you can offer is appreciated. Thanks.</t>
        </is>
      </c>
      <c r="D2100" t="n">
        <v>1</v>
      </c>
      <c r="E2100" t="n">
        <v>7</v>
      </c>
      <c r="F2100">
        <f>HYPERLINK("https://www.reddit.com/r/COVID19positive/comments/hdbokd/my_cousin_has_tested_positive_and_im_not_sure/")</f>
        <v/>
      </c>
      <c r="G2100" t="inlineStr">
        <is>
          <t>2020-06-21 11:19:53</t>
        </is>
      </c>
      <c r="H2100" t="inlineStr">
        <is>
          <t>Tested Positive - Family</t>
        </is>
      </c>
    </row>
    <row r="2101">
      <c r="A2101" t="inlineStr">
        <is>
          <t>hdbrjc</t>
        </is>
      </c>
      <c r="B2101" t="inlineStr">
        <is>
          <t>How Do Get Food?</t>
        </is>
      </c>
      <c r="C2101" t="inlineStr">
        <is>
          <t>Okay, in all seriousness, my gf just got tested yesterday. Still waiting on the covid results, but since she came up negative on flu and strep, we were told to presume it's covid. So that's fun.
Her symptoms are mild-ish. Mild fever, coughing, shortness of breath, fatigue, nothing life-threatening. I don't have symptoms yet, but I'm pretty much guaranteed to have it too, so we're being very cautious. We haven't gone out since she got that answer from the urgent care center, but it raises a question. How do we get food without exposing others? How have others here gone about acquiring food without outside help?</t>
        </is>
      </c>
      <c r="D2101" t="n">
        <v>1</v>
      </c>
      <c r="E2101" t="n">
        <v>11</v>
      </c>
      <c r="F2101">
        <f>HYPERLINK("https://www.reddit.com/r/COVID19positive/comments/hdbrjc/how_do_get_food/")</f>
        <v/>
      </c>
      <c r="G2101" t="inlineStr">
        <is>
          <t>2020-06-21 11:24:39</t>
        </is>
      </c>
      <c r="H2101" t="inlineStr">
        <is>
          <t>Presumed Positive - From Test</t>
        </is>
      </c>
    </row>
    <row r="2102">
      <c r="A2102" t="inlineStr">
        <is>
          <t>hdclb8</t>
        </is>
      </c>
      <c r="B2102" t="inlineStr">
        <is>
          <t>People with tachycardia post-COVID—how long before you recovered? Any tips?</t>
        </is>
      </c>
      <c r="C2102" t="inlineStr">
        <is>
          <t>My only remaining symptom is an elevated heart rate, palpitations, and an increase in HR whenever I stand up or do any real activity. Resting HR is in the low 80s usually but it’s been in the 70s and 60s on good days, but there was one day where my RHR was in the 95-105 range for a bit. Standing up and walking around brings my heart rate to the 105-120 range. I’ve been dealing with this for just over a week now (I originally got sick the second of May and had a somewhat mild but still spooky period of two weeks dealing with that). 
I got really scared when my HR was noticeably elevated that one day and went to the ER where an EKG, chest X-ray, and labs all came back normal except for signs of some dehydration. 
How long before this symptom went away (if at all) for people who experienced it? Any tips on how to deal with it? I just want life to go back to normal :(</t>
        </is>
      </c>
      <c r="D2102" t="n">
        <v>1</v>
      </c>
      <c r="E2102" t="n">
        <v>28</v>
      </c>
      <c r="F2102">
        <f>HYPERLINK("https://www.reddit.com/r/COVID19positive/comments/hdclb8/people_with_tachycardia_postcovidhow_long_before/")</f>
        <v/>
      </c>
      <c r="G2102" t="inlineStr">
        <is>
          <t>2020-06-21 12:12:08</t>
        </is>
      </c>
      <c r="H2102" t="inlineStr">
        <is>
          <t>Presumed Positive - From Doctor</t>
        </is>
      </c>
    </row>
    <row r="2103">
      <c r="A2103" t="inlineStr">
        <is>
          <t>hdd1dq</t>
        </is>
      </c>
      <c r="B2103" t="inlineStr">
        <is>
          <t>Confirmed positive test result - boyfriend negative</t>
        </is>
      </c>
      <c r="C2103" t="inlineStr">
        <is>
          <t>I tested positive for COVID 8 days ago. My boyfriend tested negative on the same day. He and I live together. I am showing symptoms and he isn’t. Do you think it’s possible that he got a false negative? Or just has a really good immune system? Or is just asymptomatic and has contracted it since the negative test result. 
What are everyone’s thoughts?</t>
        </is>
      </c>
      <c r="D2103" t="n">
        <v>1</v>
      </c>
      <c r="E2103" t="n">
        <v>5</v>
      </c>
      <c r="F2103">
        <f>HYPERLINK("https://www.reddit.com/r/COVID19positive/comments/hdd1dq/confirmed_positive_test_result_boyfriend_negative/")</f>
        <v/>
      </c>
      <c r="G2103" t="inlineStr">
        <is>
          <t>2020-06-21 12:37:28</t>
        </is>
      </c>
      <c r="H2103" t="inlineStr">
        <is>
          <t>Tested Positive - Me</t>
        </is>
      </c>
    </row>
    <row r="2104">
      <c r="A2104" t="inlineStr">
        <is>
          <t>hdd5b6</t>
        </is>
      </c>
      <c r="B2104" t="inlineStr">
        <is>
          <t>60-90 days into illness. Decided to go for a bike ride. Could finally breathe normally without SOB after 3 months</t>
        </is>
      </c>
      <c r="C2104" t="inlineStr">
        <is>
          <t>I've been miserably ill since March and today I decided to go for a bike ride. Not long, just a mile and I noticed that I had no SOB and could finally breathe normally. I've had chest tightness and feeling like something is stuck in My throat. 
Just wanted to share this to ignite some hope for all the long haulers on this sub. I'm by no means recovered, but I'm getting better.</t>
        </is>
      </c>
      <c r="D2104" t="n">
        <v>2</v>
      </c>
      <c r="E2104" t="n">
        <v>78</v>
      </c>
      <c r="F2104">
        <f>HYPERLINK("https://www.reddit.com/r/COVID19positive/comments/hdd5b6/6090_days_into_illness_decided_to_go_for_a_bike/")</f>
        <v/>
      </c>
      <c r="G2104" t="inlineStr">
        <is>
          <t>2020-06-21 12:44:00</t>
        </is>
      </c>
      <c r="H2104" t="inlineStr">
        <is>
          <t>Presumed Positive - From Doctor</t>
        </is>
      </c>
    </row>
    <row r="2105">
      <c r="A2105" t="inlineStr">
        <is>
          <t>hdduoh</t>
        </is>
      </c>
      <c r="B2105" t="inlineStr">
        <is>
          <t>For positive folks, how long until a negative test?</t>
        </is>
      </c>
      <c r="C2105" t="inlineStr">
        <is>
          <t>Juuuust curious.  How long after your exposure/symptoms/positive did you get a negative?  Still waiting on the neg?  I am obviously very interested in getting back to my family and have followed all guidelines, but husband wants that negative test!  So for y'all, when did it come?</t>
        </is>
      </c>
      <c r="D2105" t="n">
        <v>1</v>
      </c>
      <c r="E2105" t="n">
        <v>5</v>
      </c>
      <c r="F2105">
        <f>HYPERLINK("https://www.reddit.com/r/COVID19positive/comments/hdduoh/for_positive_folks_how_long_until_a_negative_test/")</f>
        <v/>
      </c>
      <c r="G2105" t="inlineStr">
        <is>
          <t>2020-06-21 13:25:39</t>
        </is>
      </c>
      <c r="H2105" t="inlineStr">
        <is>
          <t>Tested Positive - Me</t>
        </is>
      </c>
    </row>
    <row r="2106">
      <c r="A2106" t="inlineStr">
        <is>
          <t>hdf1s5</t>
        </is>
      </c>
      <c r="B2106" t="inlineStr">
        <is>
          <t>My friend has confirmed case of Corona, can I drop off soup at her doorstep without risk?</t>
        </is>
      </c>
      <c r="C2106" t="inlineStr">
        <is>
          <t>My friend found out yesterday she contracted the virus. I want to be nice and make soup for her. Can I safely drop soup off at her doorstep without knocking or ringing the doorbell? Just text and say hey your soup is waiting for you at your door? Any advice is appreciated</t>
        </is>
      </c>
      <c r="D2106" t="n">
        <v>1</v>
      </c>
      <c r="E2106" t="n">
        <v>7</v>
      </c>
      <c r="F2106">
        <f>HYPERLINK("https://www.reddit.com/r/COVID19positive/comments/hdf1s5/my_friend_has_confirmed_case_of_corona_can_i_drop/")</f>
        <v/>
      </c>
      <c r="G2106" t="inlineStr">
        <is>
          <t>2020-06-21 14:34:25</t>
        </is>
      </c>
      <c r="H2106" t="inlineStr">
        <is>
          <t>Tested Positive - Friends</t>
        </is>
      </c>
    </row>
    <row r="2107">
      <c r="A2107" t="inlineStr">
        <is>
          <t>hdf6u1</t>
        </is>
      </c>
      <c r="B2107" t="inlineStr">
        <is>
          <t>Confused 22M</t>
        </is>
      </c>
      <c r="C2107" t="inlineStr">
        <is>
          <t>My symptoms started March 1st. Started off with muscle aches and general malaise. Then later developed sinus aches ( pressure behind nose and eyes). Later I started waking up with extremely red eyes with crusties forming on them. As time went on I’ve had a variety of symptoms including burning skin sensations in my back, toes, feet, etc. I experienced low grade fever, random pains in random parts of the body, chills, nausea, diarrhea that consists of frequent loose stools all the while feeling very unwell( viral ickiness) . Here’s the confusing part, I haven’t actually tested positive for covid nor the antibodies. Almost 4 months in and I’ve had multiple other tests that all came back negative. Does anyone relate with any of these symptoms... what else could it possibly be?</t>
        </is>
      </c>
      <c r="D2107" t="n">
        <v>2</v>
      </c>
      <c r="E2107" t="n">
        <v>21</v>
      </c>
      <c r="F2107">
        <f>HYPERLINK("https://www.reddit.com/r/COVID19positive/comments/hdf6u1/confused_22m/")</f>
        <v/>
      </c>
      <c r="G2107" t="inlineStr">
        <is>
          <t>2020-06-21 14:42:20</t>
        </is>
      </c>
      <c r="H2107" t="inlineStr">
        <is>
          <t>Presumed Positive - From Doctor</t>
        </is>
      </c>
    </row>
    <row r="2108">
      <c r="A2108" t="inlineStr">
        <is>
          <t>hdfbs3</t>
        </is>
      </c>
      <c r="B2108" t="inlineStr">
        <is>
          <t>37m, Florida, COVID+, observations</t>
        </is>
      </c>
      <c r="C2108" t="inlineStr">
        <is>
          <t>COVID-19 Observations
Day 1 of symptoms was likely the 18th of June but I was likely exposed earlier. My knees, elbows, sternum, and lower back felt aggravated and inflamed. Pretty much warm all over but not feverish. I have a mild chest cough but I attrubute this cough to having a cigar for the first time in a long while. My eyes burn like I’ve been in chorine. Digestive system is fine just not as hungry as usual. Sleep has been tough because of the joint pain. This is the day I was tested. 
Day 2: feeling much better overall with the exception that my joints feel worse. Cough is gone but there feels like a tightening in my throat and it feels tight to breathe but not in a way that would have me panick. Since I haven’t had my results back, I attribute everything to working 2 jobs. 
Day 3: Cough is back with a little chest tightness but still no fever. Lots of fatigue and lack of appetite. I think I know what they mean when they describe a loss of smell or taste. You can still smell things and taste things but it’s on it’s lowest setting. Except for watermelon. My wife cut one up and it was an incredibly intense smell. Eyes still burn but more a tired, heavy burn. Joint pain won’t go away. Over time it has become less of pain and more of a uncomfortable feeling. Constant. 
Day 4: Happy Fathers Day. Officially tested positive. What hurt the most was informing my employers that my quarantine is official and won’t be coming in. Run down is the best feeling to describe and also a little bit spacey. Joint discomfort is constant but at this point, manageable with aspirin. Been hydrating in between cups of coffee. So not really hydrating at all. Appetite is about a thin as a sheet of wax paper but I’m forcing myself to eat. Still no fever, no headache. Did it already pass? Is the worst yet to come? Will I convince myself I’m sicker than I really am? Or worse that I’m healthier than I am. Interesting day. At least I get two weeks indoors with the misses.</t>
        </is>
      </c>
      <c r="D2108" t="n">
        <v>3</v>
      </c>
      <c r="E2108" t="n">
        <v>14</v>
      </c>
      <c r="F2108">
        <f>HYPERLINK("https://www.reddit.com/r/COVID19positive/comments/hdfbs3/37m_florida_covid_observations/")</f>
        <v/>
      </c>
      <c r="G2108" t="inlineStr">
        <is>
          <t>2020-06-21 14:50:17</t>
        </is>
      </c>
      <c r="H2108" t="inlineStr">
        <is>
          <t>Tested Positive - Me</t>
        </is>
      </c>
    </row>
    <row r="2109">
      <c r="A2109" t="inlineStr">
        <is>
          <t>hdfrym</t>
        </is>
      </c>
      <c r="B2109" t="inlineStr">
        <is>
          <t>Some Hope!</t>
        </is>
      </c>
      <c r="C2109" t="inlineStr">
        <is>
          <t>Hey All,
Day 95 (?) have been through the trenches - tachycardia, fatigue, sleep problems, GI nonsense, chest pain, SOB mostly being the lingering symptoms. Just want to ignite some hope in you all - Thursday (my day 91) had been my worst day in probably over a month.. absolutely awful GI day and was fatigued like no other, not to mention overall upset about getting sick again. What a disheartening feeling that was... I had been feeling much better the preceding couple of weeks and thought I was back to square one. Thing is Friday - Sunday I had planned a quick weekend getaway with my significant other, and after being locked up for 3 months I was not going to give up on that. So I went with the stipulation that we take it slow but also try to push me a bit out of my comfort zone to try reconditioning myself to "normalcy".
I had a great weekend y'all. I drove 2+ hours without issue, went on a small hike (nature walk really), walked around a good amount, was on a boat, ate whatever I wanted, lasted through a full day out of bed and kept the energy reasonably high. The only thing that being a long hauler kept me from was drinking alcohol (aside from one glass of wine with dinner).
The reason I'm posting this update is multi-faceted. One.. don't give up hoping. Like I said Thursday was genuinely my worst day in months and I was absolutely depressed that I'd fallen back to square one - I'd been through relapses before and they do get shorter and shorter, so no matter how bad it may seem trust your body to be working in your best interest. Two.. anxiety plays a roll in this. I know this seems to be taboo on this sub but returning to some sort of normalcy is good for you. I fully recognize that there are physical aspects to this virus that are cause all of us pain and suffering, but the fact that we've been locked in our homes for months wallowing isn't good for both our physical and mental health. Try to shake things up somehow!! Take your time getting there but push yourself within reason once you are.
Who knows what the upcoming days will bring (as if anyone knows) but this weekend was a HUGE victory for me, both physically and mentally, and I'm hoping that you are all able to share in some of my victories soon enough!</t>
        </is>
      </c>
      <c r="D2109" t="n">
        <v>5</v>
      </c>
      <c r="E2109" t="n">
        <v>28</v>
      </c>
      <c r="F2109">
        <f>HYPERLINK("https://www.reddit.com/r/COVID19positive/comments/hdfrym/some_hope/")</f>
        <v/>
      </c>
      <c r="G2109" t="inlineStr">
        <is>
          <t>2020-06-21 15:17:13</t>
        </is>
      </c>
      <c r="H2109" t="inlineStr">
        <is>
          <t>Presumed Positive - From Test</t>
        </is>
      </c>
    </row>
    <row r="2110">
      <c r="A2110" t="inlineStr">
        <is>
          <t>hdftne</t>
        </is>
      </c>
      <c r="B2110" t="inlineStr">
        <is>
          <t>Tested postive, but rather confused! I have no fever and still have all my senses. When does this go downhill!?!</t>
        </is>
      </c>
      <c r="C2110" t="inlineStr">
        <is>
          <t>On Thursday(June 18th), I had what I considered a pretty run-of-the-mill allergy/asthma attack. I'm very allergic to grass and Thursdays grass pollen count was very high. I woke up with a headache, short of breath (I have asthma set off by exercise, allergens, and smells but its well controlled via regular exercise, OTC meds, and a rescue inhaler I haven't touched in years), also had sinus pain and a sore throat, I was tired, but I had gone back to work this last week which means 5:10am wakeup instead of 7:30am. So I expected to feel a bit sluggish this week. Took my temp 3x as I do twice a day, no fever, and went to work! I took my "bad day" allergy meds (psuedoephedrine) and took my inhaler regularly to be safe. Left work early, took a 2hr nap, felt much better, but went through a drive-up Covid-19 test site just to be extra cautious. 
Felt perfectly fine Friday and Saturday even kayaked and climbed several flights of stairs. Sunday morning(today) got my results and was FLOORED to have them be positive. 
I've told work and will work from home as long as I'm able to work. I've also quarantined myself from my family and they are all going to be tested this week as well. 
I still don't have a fever! I still smell, taste, and as hungry as normal. 
I don't know what to expect and when! We've been really good at quarantining ourselves so I'm pretty sure I know when I was exposed (last Sunday). But, even if I presume I got sick the day prior to being tested... what am I looking at here?! I don't have a regular physician. I haven't even used my inhaler in over a year!! I workout 3x a week. I'm not overweight. Eat well. I haven't even had so much as a common cold in over 2yrs!
Thoughts? Suggestions? When does the shit hit the fan? I feel like I've over here just WAITING for things to go badly.</t>
        </is>
      </c>
      <c r="D2110" t="n">
        <v>1</v>
      </c>
      <c r="E2110" t="n">
        <v>28</v>
      </c>
      <c r="F2110">
        <f>HYPERLINK("https://www.reddit.com/r/COVID19positive/comments/hdftne/tested_postive_but_rather_confused_i_have_no/")</f>
        <v/>
      </c>
      <c r="G2110" t="inlineStr">
        <is>
          <t>2020-06-21 15:20:08</t>
        </is>
      </c>
      <c r="H2110" t="inlineStr">
        <is>
          <t>Tested Positive</t>
        </is>
      </c>
    </row>
    <row r="2111">
      <c r="A2111" t="inlineStr">
        <is>
          <t>hdix5d</t>
        </is>
      </c>
      <c r="B2111" t="inlineStr">
        <is>
          <t>Anyone exercise at all despite SOB</t>
        </is>
      </c>
      <c r="C2111" t="inlineStr">
        <is>
          <t>Is it safe to exercise? I'm a CDC checklist with every single symptom plus hair loss, peeling skin, and excessive thirst. 
My family has suggested some light exercise to ease depression and get my blood moving
I go on a 2 mile walk every evening (don't lecture me, I'm in a mask and separate from others). But I'm wondering if I should try some light weight lifting, maybe some sit ups / push ups etc (again at home and outside). Would this be dangerous? My blood oxygen has been no lower than 95 and my heart rate is steady.</t>
        </is>
      </c>
      <c r="D2111" t="n">
        <v>1</v>
      </c>
      <c r="E2111" t="n">
        <v>28</v>
      </c>
      <c r="F2111">
        <f>HYPERLINK("https://www.reddit.com/r/COVID19positive/comments/hdix5d/anyone_exercise_at_all_despite_sob/")</f>
        <v/>
      </c>
      <c r="G2111" t="inlineStr">
        <is>
          <t>2020-06-21 18:43:43</t>
        </is>
      </c>
      <c r="H2111" t="inlineStr">
        <is>
          <t>Tested Positive - Me</t>
        </is>
      </c>
    </row>
    <row r="2112">
      <c r="A2112" t="inlineStr">
        <is>
          <t>hdjawo</t>
        </is>
      </c>
      <c r="B2112" t="inlineStr">
        <is>
          <t>70 days in oximeter levels still fall below 95</t>
        </is>
      </c>
      <c r="C2112" t="inlineStr">
        <is>
          <t>Anybody have this happen to them? I got the virus back in late March and one of the things i noticed is when I would have lung flare ups my oximeter readings would drop by a few points. On my best days sitting idly my oximeter readings would be 97, now I'm going through yet another flare up in my lungs (will it ever end?), and my oximeter readings are dipping down into 94-93 range, this is of course accompanied by chest tightness and a little lung rattling, any body else can relate?
I'm really getting tired of this shit.</t>
        </is>
      </c>
      <c r="D2112" t="n">
        <v>1</v>
      </c>
      <c r="E2112" t="n">
        <v>13</v>
      </c>
      <c r="F2112">
        <f>HYPERLINK("https://www.reddit.com/r/COVID19positive/comments/hdjawo/70_days_in_oximeter_levels_still_fall_below_95/")</f>
        <v/>
      </c>
      <c r="G2112" t="inlineStr">
        <is>
          <t>2020-06-21 19:10:25</t>
        </is>
      </c>
      <c r="H2112" t="inlineStr">
        <is>
          <t>Tested Positive - Me</t>
        </is>
      </c>
    </row>
    <row r="2113">
      <c r="A2113" t="inlineStr">
        <is>
          <t>hdjiyh</t>
        </is>
      </c>
      <c r="B2113" t="inlineStr">
        <is>
          <t>Can COVID trigger certain genes? A month post recovery, I started experiencing the same signs as my mom and sister who have autoimmune conditions</t>
        </is>
      </c>
      <c r="C2113" t="inlineStr">
        <is>
          <t>Google is being shitty. 
I had a full panel and ANA test done and after I got abnormal results back, I went back for more tests. Positive, positive, positive.... 
Rheumatologists are booked up til 2021. It's been a few months now and the pain, fatigue, and weakness hasn't gone away. I was hopeful but now I am so depressed.</t>
        </is>
      </c>
      <c r="D2113" t="n">
        <v>1</v>
      </c>
      <c r="E2113" t="n">
        <v>1</v>
      </c>
      <c r="F2113">
        <f>HYPERLINK("https://www.reddit.com/r/COVID19positive/comments/hdjiyh/can_covid_trigger_certain_genes_a_month_post/")</f>
        <v/>
      </c>
      <c r="G2113" t="inlineStr">
        <is>
          <t>2020-06-21 19:25:50</t>
        </is>
      </c>
      <c r="H2113" t="inlineStr">
        <is>
          <t>Tested Positive</t>
        </is>
      </c>
    </row>
    <row r="2114">
      <c r="A2114" t="inlineStr">
        <is>
          <t>hdjorl</t>
        </is>
      </c>
      <c r="B2114" t="inlineStr">
        <is>
          <t>Severe Pain with COVID</t>
        </is>
      </c>
      <c r="C2114" t="inlineStr">
        <is>
          <t>Hello everyone! 
I’m about 6 days into COVID and the worst part is the random pain! It’s not like full body body aches, it changes by day. First two days of illness it was my left arm. Then my upper back and neck for a couple days. For the last 24-36 hours I have had the most severe low back pain I’ve ever felt. It’s the closest thing to labor I’ve ever experienced.
Did anyone else have this?</t>
        </is>
      </c>
      <c r="D2114" t="n">
        <v>1</v>
      </c>
      <c r="E2114" t="n">
        <v>9</v>
      </c>
      <c r="F2114">
        <f>HYPERLINK("https://www.reddit.com/r/COVID19positive/comments/hdjorl/severe_pain_with_covid/")</f>
        <v/>
      </c>
      <c r="G2114" t="inlineStr">
        <is>
          <t>2020-06-21 19:37:23</t>
        </is>
      </c>
      <c r="H2114" t="inlineStr">
        <is>
          <t>Tested Positive</t>
        </is>
      </c>
    </row>
    <row r="2115">
      <c r="A2115" t="inlineStr">
        <is>
          <t>hdkqg5</t>
        </is>
      </c>
      <c r="B2115" t="inlineStr">
        <is>
          <t>Husband’s coworker had an exposure and we’re freaking out</t>
        </is>
      </c>
      <c r="C2115" t="inlineStr">
        <is>
          <t>So my husband, John, worked with a guy Friday, Paul. They do construction type work so they only interacted outside in the Florida sun and only for a couple of hours. Then John drove Paul’s truck home while Paul drove some equipment home. 
Today we found out that Paul had a party last Wednesday and he said (it’s a quote) “the guy blew up my bathroom, said he wasn’t feeling good and figured it was from the food, then he left”. That guy ended up in the hospital Wednesday night and we all just found out this morning that he tested positive which means Paul had an exposure.
My husband and I are FREAKING out. We’re pretty sure Paul has it. He hasn’t shown any symptoms yet but neither of us would be surprised if the party group had a joint being passed around. Paul said the guy was only there for two or three hours but they all ate together and the guy was probably breathing on the food.  Paul is going to get tested Tuesday but again, he hasn’t been showing any symptoms. My husband and I are also both fine so far. Would two days after exposure be enough for Paul to become contagious? Everything I find says people are “most” contagious two days before the onset of symptoms. Right now we’re at two days and Paul doesn’t have symptoms (that we know of).
We’re both feeling very frustrated. I quit my restaurant job because I didn’t feel safe so my husband had to work but it’s a small company and there’s not a ton of interaction between employees. Other than that we’ve been staying home and being very cautious. We wear our masks if we do have to run errands, we’re not hanging out with our friends or family, we’re limiting grocery trips. It’s infuriating that we’re trying to be as cautious as we can and we still get risked because someone else had a fucking party during a pandemic. Not to mention Paul had a slew of health issues (severe diabetes being one of them) and Paul’s dad was recently diagnosed with COPD and congestive heart failure. If Paul gets sick (which we strongly believe he will) the virus could wipe out his whole family. Whyyyyy did he have a party?
My husband and I are going to get tested in a few days (wait for the virus to show up in our systems in case Paul was contagious) but I need some consolation. Does this seem like something we really need to worry about? My anxiety has already been off the charts and it’s even worse now.</t>
        </is>
      </c>
      <c r="D2115" t="n">
        <v>1</v>
      </c>
      <c r="E2115" t="n">
        <v>4</v>
      </c>
      <c r="F2115">
        <f>HYPERLINK("https://www.reddit.com/r/COVID19positive/comments/hdkqg5/husbands_coworker_had_an_exposure_and_were/")</f>
        <v/>
      </c>
      <c r="G2115" t="inlineStr">
        <is>
          <t>2020-06-21 20:51:56</t>
        </is>
      </c>
      <c r="H2115" t="inlineStr">
        <is>
          <t>Tested Positive - Friends</t>
        </is>
      </c>
    </row>
    <row r="2116">
      <c r="A2116" t="inlineStr">
        <is>
          <t>hdkumu</t>
        </is>
      </c>
      <c r="B2116" t="inlineStr">
        <is>
          <t>Anyone experience an asymptomatic case? Or if you were pre-symptomatic how long did it take for symptoms to develop?</t>
        </is>
      </c>
      <c r="C2116" t="inlineStr">
        <is>
          <t>My sister just tested positive for covid but me and my other sister live in the same apt and have had very close contact with her the past few days and none of us have symptoms. It’s been about maybe 8 days from the potential exposure and we got our results today. When would the symptoms come in? We all seem fine so far but we’ve isolated from each other to be safe. Any personal experiences help!</t>
        </is>
      </c>
      <c r="D2116" t="n">
        <v>1</v>
      </c>
      <c r="E2116" t="n">
        <v>8</v>
      </c>
      <c r="F2116">
        <f>HYPERLINK("https://www.reddit.com/r/COVID19positive/comments/hdkumu/anyone_experience_an_asymptomatic_case_or_if_you/")</f>
        <v/>
      </c>
      <c r="G2116" t="inlineStr">
        <is>
          <t>2020-06-21 21:00:25</t>
        </is>
      </c>
      <c r="H2116" t="inlineStr">
        <is>
          <t>Tested Positive - Family</t>
        </is>
      </c>
    </row>
    <row r="2117">
      <c r="A2117" t="inlineStr">
        <is>
          <t>hdkz7v</t>
        </is>
      </c>
      <c r="B2117" t="inlineStr">
        <is>
          <t>Still Contagious?</t>
        </is>
      </c>
      <c r="C2117" t="inlineStr">
        <is>
          <t>I tested positive on May 22. I went thru hell, it was a horrible experience, but I am way better now and very grateful for that. It's been more than a month since I got sick and I have been symptom free without fever, cough, phlegm, etc for 13 days. Am I still considered contagious?</t>
        </is>
      </c>
      <c r="D2117" t="n">
        <v>1</v>
      </c>
      <c r="E2117" t="n">
        <v>2</v>
      </c>
      <c r="F2117">
        <f>HYPERLINK("https://www.reddit.com/r/COVID19positive/comments/hdkz7v/still_contagious/")</f>
        <v/>
      </c>
      <c r="G2117" t="inlineStr">
        <is>
          <t>2020-06-21 21:09:26</t>
        </is>
      </c>
      <c r="H2117" t="inlineStr">
        <is>
          <t>Tested Positive - Me</t>
        </is>
      </c>
    </row>
    <row r="2118">
      <c r="A2118" t="inlineStr">
        <is>
          <t>hdmd9z</t>
        </is>
      </c>
      <c r="B2118" t="inlineStr">
        <is>
          <t>Long termers- continued isolation?</t>
        </is>
      </c>
      <c r="C2118" t="inlineStr">
        <is>
          <t>I got sick Feb 15 &amp;amp; still have symptoms (but no fever in a long time). I had a negative test a few weeks ago. My adult kids want me to come visit them as we haven't seen each other in 4 months.
When I was first sick, I started to feel better for a few days and was told "there is no way this is covid, don't worry about it" (thanks idiot doctor), so I saw all four of my kids and their dad's family for my son's birthday Feb 24. Based on how most respiratory viruses act, I didn't think I was contagious and I have had to cancel for that son's birthday almost every year recently because I've been sick and didn't want to let him down again.
Everyone in the household got sick to varying degrees over the next couple of weeks. (Yes, I feel like an idiot and asshole.) Nobody has been tested for antibodies yet, but my current doctor says she's pretty sure if they got sick after my visit, they probably had covid and have some immunity (but who the heck knows??).
What are everyone's thoughts on my seeing family? Should I continue to not see them, see them but wear a mask/distance &amp;amp; not have any physical contact or just assume we've all probably got at least temporary immunity and just act normal (which for us involves a lot of hugging and cooking together)? 
I'm worried:
* I could infect them because I'm still symptomatic
* They could reinfect me - my immune system isn't great so I'm worried I never made antibodies to covid 
* I could get exposed to a different virus and holy hell what a nightmare
They want me to move there for awhile, and the current plan is for me to be there half the week and at my partner's half the week (I've been here since I got sick), but maybe that is a stupid plan. Can I have what amounts to one household in two separate buildings?
Too brain dead to think straight.</t>
        </is>
      </c>
      <c r="D2118" t="n">
        <v>1</v>
      </c>
      <c r="E2118" t="n">
        <v>9</v>
      </c>
      <c r="F2118">
        <f>HYPERLINK("https://www.reddit.com/r/COVID19positive/comments/hdmd9z/long_termers_continued_isolation/")</f>
        <v/>
      </c>
      <c r="G2118" t="inlineStr">
        <is>
          <t>2020-06-21 22:50:25</t>
        </is>
      </c>
      <c r="H2118" t="inlineStr">
        <is>
          <t>Presumed Positive - From Doctor</t>
        </is>
      </c>
    </row>
    <row r="2119">
      <c r="A2119" t="inlineStr">
        <is>
          <t>hdmw37</t>
        </is>
      </c>
      <c r="B2119" t="inlineStr">
        <is>
          <t>All my family members are Covid19 positive. How does it feel?</t>
        </is>
      </c>
      <c r="C2119" t="inlineStr">
        <is>
          <t>I was admitted first due to high fever, chills and dry cough and I am a hemodialysis patient, Im so fragile. My family shows symptoms of no sense of taste and frequent coughs.
After 2 days my swab results came out positive. I directly instruct all of them to take the PCR swab test the next day. 5 of them are Covid19 positive😔
When their results came in they were immediately isolation at our local schools. They show little to no symptoms.
It feels so lonely in isolation already and knowing they too are positive makes me paranoid and down. I wish I let alone to be the victim. It feels the world comes to an end. It drains me and worries for my parents a lot.</t>
        </is>
      </c>
      <c r="D2119" t="n">
        <v>1</v>
      </c>
      <c r="E2119" t="n">
        <v>8</v>
      </c>
      <c r="F2119">
        <f>HYPERLINK("https://www.reddit.com/r/COVID19positive/comments/hdmw37/all_my_family_members_are_covid19_positive_how/")</f>
        <v/>
      </c>
      <c r="G2119" t="inlineStr">
        <is>
          <t>2020-06-21 23:29:46</t>
        </is>
      </c>
      <c r="H2119" t="inlineStr">
        <is>
          <t>Tested Positive</t>
        </is>
      </c>
    </row>
    <row r="2120">
      <c r="A2120" t="inlineStr">
        <is>
          <t>hdn1nc</t>
        </is>
      </c>
      <c r="B2120" t="inlineStr">
        <is>
          <t>Post-COVID: any change to your sense of smell/taste after recovering?</t>
        </is>
      </c>
      <c r="C2120" t="inlineStr">
        <is>
          <t>I was sick for about a month in April with pretty moderate symptoms. Many of the usual; headaches, body aches, chills, coughing, low grade fever, diarrhea, and loss of taste and smell.
I thought I was recovering fully, most symptoms have subsided. I still have stomach issues and my sense of smell has changed, which has been very scary and bothersome.
When my senses returned they seemed to be back to normal for awhile, about a month, then in June it changed! I can smell fully, but many of my beloved products/food have a weird/disgusting poisonous taste or smell. It is intolerable!! I have been trying to consume some of my favorite drinks/meals and I just feel sick to my stomach to the point of throwing up.
To clarify, I can smell/taste it all fully as before getting sick, but there is now an overpowering stench and taste over it. It is very hard for me to explain, as I don’t understand it myself. I have been dealing with this for about 3 weeks now. 
Please share if you have experienced anything similar, I feel alone and kind’ve crazy trying to explain this.
23 F 
In the STEM field, work in a lab</t>
        </is>
      </c>
      <c r="D2120" t="n">
        <v>1</v>
      </c>
      <c r="E2120" t="n">
        <v>12</v>
      </c>
      <c r="F2120">
        <f>HYPERLINK("https://www.reddit.com/r/COVID19positive/comments/hdn1nc/postcovid_any_change_to_your_sense_of_smelltaste/")</f>
        <v/>
      </c>
      <c r="G2120" t="inlineStr">
        <is>
          <t>2020-06-21 23:41:45</t>
        </is>
      </c>
      <c r="H2120" t="inlineStr">
        <is>
          <t>Tested Positive - Me</t>
        </is>
      </c>
    </row>
    <row r="2121">
      <c r="A2121" t="inlineStr">
        <is>
          <t>hdn5fj</t>
        </is>
      </c>
      <c r="B2121" t="inlineStr">
        <is>
          <t>Be careful - What I thought was a release appears to be reinfection.</t>
        </is>
      </c>
      <c r="C2121" t="inlineStr">
        <is>
          <t>I posted on this thread recently about what I thought was a relapse, but now evidence strongly suggests to me it was a reinfection.
Background: my husband and I had covid from late Feb through mid/late April (confirmed with a positive antibody test for my husband in early June.  My antibody test was negative, but 100% I had it too: we were sick at the same time and my symptoms were classic, including painful deep breathing, continuing low-grade fever, bad headaches, changed sense of smell, etc).
We were healthy from the end of April until June 12, when I experienced what I thought was a "blip".  Based on comments on this thread, I assumed I was having a relapse (headaches again, low-grade fever, weird smell experiences).  
However, one week after my symptoms started, my husband also fell sick-- as bad as he was during our first infection.  Given the circumstances of TWO people falling ill within one week of each other, I do not think it's likely we both had relapses coincidentally at the same time.  
More likely:  Either I relapsed, became contagious and gave it to him, or I caught it somewhere and gave it to him.
Be careful out there.  We were being pretty lax, assuming we were either immune or even that it could be beneficial to get more exposure to the virus (e.g., 'booster shots' for my husband's antibodies).  Apparently that wasn't a good strategy.</t>
        </is>
      </c>
      <c r="D2121" t="n">
        <v>1</v>
      </c>
      <c r="E2121" t="n">
        <v>1</v>
      </c>
      <c r="F2121">
        <f>HYPERLINK("https://www.reddit.com/r/COVID19positive/comments/hdn5fj/be_careful_what_i_thought_was_a_release_appears/")</f>
        <v/>
      </c>
      <c r="G2121" t="inlineStr">
        <is>
          <t>2020-06-21 23:49:55</t>
        </is>
      </c>
      <c r="H2121" t="inlineStr">
        <is>
          <t>Tested Positive - Family</t>
        </is>
      </c>
    </row>
    <row r="2122">
      <c r="A2122" t="inlineStr">
        <is>
          <t>hdn61f</t>
        </is>
      </c>
      <c r="B2122" t="inlineStr">
        <is>
          <t>Be careful - What I thought was a relapse appears to have been reinfection.</t>
        </is>
      </c>
      <c r="C2122" t="inlineStr">
        <is>
          <t>I posted on this thread recently about what I thought was a relapse, but now evidence strongly suggests to me it was a reinfection.
Background: my husband and I had covid from late Feb through mid/late April (confirmed with a positive antibody test for my husband in early June.  My antibody test was negative, but 100% I had it too: we were sick at the same time and my symptoms were classic, including painful deep breathing, continuing low-grade fever, bad headaches, changed sense of smell, etc).
We were healthy from the end of April until June 12, when I experienced what I thought was a "blip".  Based on comments on this thread, I assumed I was having a relapse (headaches again, low-grade fever, weird smell experiences).  
However, one week after my symptoms started, my husband also fell sick-- as bad as he was during our first infection.  Given the circumstances of TWO people falling ill within one week of each other, I do not think it's likely we both had relapses coincidentally at the same time.  
More likely:  Either I relapsed, became contagious and gave it to him, or I caught it somewhere and gave it to him.
Be careful out there.  We were being pretty lax, assuming we were either immune or even that it could be beneficial to get more exposure to the virus (e.g., 'booster shots' for my husband's antibodies).  Apparently that wasn't a good strategy.</t>
        </is>
      </c>
      <c r="D2122" t="n">
        <v>1</v>
      </c>
      <c r="E2122" t="n">
        <v>20</v>
      </c>
      <c r="F2122">
        <f>HYPERLINK("https://www.reddit.com/r/COVID19positive/comments/hdn61f/be_careful_what_i_thought_was_a_relapse_appears/")</f>
        <v/>
      </c>
      <c r="G2122" t="inlineStr">
        <is>
          <t>2020-06-21 23:51:13</t>
        </is>
      </c>
      <c r="H2122" t="inlineStr">
        <is>
          <t>Tested Positive - Family</t>
        </is>
      </c>
    </row>
    <row r="2123">
      <c r="A2123" t="inlineStr">
        <is>
          <t>hdrudn</t>
        </is>
      </c>
      <c r="B2123" t="inlineStr">
        <is>
          <t>So A colleague of mine who is covid-19 postive is back to work after 18 days isolation</t>
        </is>
      </c>
      <c r="C2123" t="inlineStr">
        <is>
          <t>He didn't test negative yet he was told by the hospital he is safe to be back to work as long as he is not showing symptoms he don't know if he's negative yet Am I safe to approach him ? I'm really surprised that he is allowed to be back to work and didn't test negative yet.</t>
        </is>
      </c>
      <c r="D2123" t="n">
        <v>1</v>
      </c>
      <c r="E2123" t="n">
        <v>9</v>
      </c>
      <c r="F2123">
        <f>HYPERLINK("https://www.reddit.com/r/COVID19positive/comments/hdrudn/so_a_colleague_of_mine_who_is_covid19_postive_is/")</f>
        <v/>
      </c>
      <c r="G2123" t="inlineStr">
        <is>
          <t>2020-06-22 05:55:28</t>
        </is>
      </c>
      <c r="H2123" t="inlineStr">
        <is>
          <t>Tested Positive - Friends</t>
        </is>
      </c>
    </row>
    <row r="2124">
      <c r="A2124" t="inlineStr">
        <is>
          <t>hdsiyq</t>
        </is>
      </c>
      <c r="B2124" t="inlineStr">
        <is>
          <t>First night I slept breathing like a baby by using this:</t>
        </is>
      </c>
      <c r="C2124" t="inlineStr">
        <is>
          <t>Hey guys, 
For the past week, I’ve had the most uncomfortable sleep due to COVID. Either I was coughing or my breathing was so bad, it would itch a cough, etc. 
I slept on my stomach last night, and I haven’t breathed better and clearer as our lungs are closer to our back, so breathing was so much easier.
Guys, I’ve been dying and this is the only thing that has helped. Ugh I hate covid</t>
        </is>
      </c>
      <c r="D2124" t="n">
        <v>1</v>
      </c>
      <c r="E2124" t="n">
        <v>7</v>
      </c>
      <c r="F2124">
        <f>HYPERLINK("https://www.reddit.com/r/COVID19positive/comments/hdsiyq/first_night_i_slept_breathing_like_a_baby_by/")</f>
        <v/>
      </c>
      <c r="G2124" t="inlineStr">
        <is>
          <t>2020-06-22 06:40:03</t>
        </is>
      </c>
      <c r="H2124" t="inlineStr">
        <is>
          <t>Tested Positive - Me</t>
        </is>
      </c>
    </row>
    <row r="2125">
      <c r="A2125" t="inlineStr">
        <is>
          <t>hdu5o5</t>
        </is>
      </c>
      <c r="B2125" t="inlineStr">
        <is>
          <t>Day 8 (Tested Positive)</t>
        </is>
      </c>
      <c r="C2125" t="inlineStr">
        <is>
          <t>Hi all,
Wanted to share my experience for posterity's sake, I guess, from Austin, Texas. Also wanted to see how many of you have experienced a second wave of symptoms.
**Day 1 -** I'd felt relatively fine, if not a bit worn down, so thought nothing of going on an intense hike and film shoot in the Texas Hill Country. The shoot involved a lot of steep hills. By the evening, I experienced the most intense body aches I've ever had. It felt as if I'd been suddenly stricken with severe arthritis throughout. Immobilizing back, neck, and head pain. A weird side effect was tingling shooting down to my arms and fingers. I really thought I'd slipped a few discs or something. When I finally got home (it was an effort even getting out of the car), I clocked a 101.5 temperature. I took aspirin because it was the only thing I had at home. The fever was pretty scary - shakes, chills, and awful dreams.
**Day 2 -** Woke up, clocked a 99.9 temp, slept all day and could still hardly move.
**Day 3 -** Finally got into a testing clinic where I waited for five hours (in my truck) and got the infamous brain poke. It was a rapid test, so I learned that I had it and alerted everyone I knew I had been in contact with.
One of the most annoying aspects of this whole thing are people asking "Where I thought I got it," which I understand, I guess, but my understanding is unless I'd been completely quarantined for two weeks prior to symptoms and went to \*one\* place or saw \*one\* person, it's impossible to know. I hadn't been to any bars or restaurants, had seen a few friends distanced, and visited HEB &amp;amp; gas stations a few times, masked &amp;amp; sanitized.
**Day 4 -** Fever finally broke overnight and my sheets were completely soaked. I've maintained a pretty good appetite, weirdly, throughout. Aches remained.
**Day 5 -** Since the fever broke, I made the mistake of getting up and moving around, cleaning up, etc. Bad move. Nosedove again in terms of energy and slept for the rest of the day. That night I noticed that some of those tingles were back again, which made it very difficult to sleep, though I was exhausted. Almost felt like restless leg syndrome...throughout my body.
One aspect I hate is that I can't read or focus on anything during this. My attention is terribly scattered. I've had serious brain fog throughout the entire experience, and would love to crank through all the books I have unread on my shelf during this, but the most I can muster is for episodes of Community &amp;amp; Justified.
**Day 6 -** Fatigues and aches back again. Not much to report. Napped all day.
**Day 7 -** Fatigues and aches present, slightly better. Took some Claritin D as allergies are horrible in Central Texas.
**Day 8 (today) -** Feel slightly normal? I've been dosing liposomal Vitamin C, D, &amp;amp; zinc pretty hard so hoping that's helped, along with staying super hydrated. I've heard that this is a crucial moment - to not overexert yourself though you may "feel" fine. Any advice for the next week?</t>
        </is>
      </c>
      <c r="D2125" t="n">
        <v>2</v>
      </c>
      <c r="E2125" t="n">
        <v>11</v>
      </c>
      <c r="F2125">
        <f>HYPERLINK("https://www.reddit.com/r/COVID19positive/comments/hdu5o5/day_8_tested_positive/")</f>
        <v/>
      </c>
      <c r="G2125" t="inlineStr">
        <is>
          <t>2020-06-22 08:14:27</t>
        </is>
      </c>
      <c r="H2125" t="inlineStr">
        <is>
          <t>Tested Positive - Me</t>
        </is>
      </c>
    </row>
    <row r="2126">
      <c r="A2126" t="inlineStr">
        <is>
          <t>hdu8dz</t>
        </is>
      </c>
      <c r="B2126" t="inlineStr">
        <is>
          <t>Positive Test Result on 6/19/2020 please read</t>
        </is>
      </c>
      <c r="C2126" t="inlineStr">
        <is>
          <t>So I’m a Nurse Practitioner in a ER I see many covid positive patients on a daily basis so I know where I got it prob. Anyways on 6/16-6/19 i started having very mild body aches and feelings of getting sick Friday on the 19th I got tested at work symptoms went away on 6/20 on 6/21 I was Told I was positive no symptoms today I have no symptoms. 
Am I out of the woods ? I’ve heard of people getting better then worse again but then they deteriorate any ideas ?
Thanks 🙏</t>
        </is>
      </c>
      <c r="D2126" t="n">
        <v>4</v>
      </c>
      <c r="E2126" t="n">
        <v>41</v>
      </c>
      <c r="F2126">
        <f>HYPERLINK("https://www.reddit.com/r/COVID19positive/comments/hdu8dz/positive_test_result_on_6192020_please_read/")</f>
        <v/>
      </c>
      <c r="G2126" t="inlineStr">
        <is>
          <t>2020-06-22 08:18:46</t>
        </is>
      </c>
      <c r="H2126" t="inlineStr">
        <is>
          <t>Tested Positive - Me</t>
        </is>
      </c>
    </row>
    <row r="2127">
      <c r="A2127" t="inlineStr">
        <is>
          <t>hdujra</t>
        </is>
      </c>
      <c r="B2127" t="inlineStr">
        <is>
          <t>New wave that I can’t explain</t>
        </is>
      </c>
      <c r="C2127" t="inlineStr">
        <is>
          <t>I had covid over a month ago and I recovered nicely. My symptoms started mild for a week then the respiratory symptoms started for a few days then I was fine except for the tachycardia that I had for about a month. 
Now I started working out again and I’ve been to work and I was feeling great. Last night I was working night shift and in the morning my mom who had covid called me and asked me to take her to the hospital. I wore N95 mask and my mom wore a mask too and the whole ride took about 15 minutes. 
Few hours later I got hit hard and my symptoms were so rapid that it got me confused. Started with a chest pain then diarrhea then shortness of breath, hangover like headache, runny nose, lost of appetite, chills, fatigue and insomnia. Basically I’m back to the peak again. 
Now I’m trying to understand what cause the symptoms to come back. I’m thinking either:
-working night shift then spending 8 hours at the hospital with my mom destroyed me and allowed my symptoms to come back. 
-another infection from being in a close contact with my mom, but that doesn’t explain how quickly my symptoms appeared. 
-another infection and it’s a coincidence that my symptoms decided to come out now. 
-just another wave and I have nothing to worry about. 
What’s the most likely scenario to you ? I’m self isolating and getting tested again in two days.</t>
        </is>
      </c>
      <c r="D2127" t="n">
        <v>3</v>
      </c>
      <c r="E2127" t="n">
        <v>13</v>
      </c>
      <c r="F2127">
        <f>HYPERLINK("https://www.reddit.com/r/COVID19positive/comments/hdujra/new_wave_that_i_cant_explain/")</f>
        <v/>
      </c>
      <c r="G2127" t="inlineStr">
        <is>
          <t>2020-06-22 08:35:47</t>
        </is>
      </c>
      <c r="H2127" t="inlineStr">
        <is>
          <t>Tested Positive</t>
        </is>
      </c>
    </row>
    <row r="2128">
      <c r="A2128" t="inlineStr">
        <is>
          <t>hduqyn</t>
        </is>
      </c>
      <c r="B2128" t="inlineStr">
        <is>
          <t>Have you told anyone you had COVID or recovered? What happened when you did?</t>
        </is>
      </c>
      <c r="C2128" t="inlineStr">
        <is>
          <t>I recovered from COVID, but only 2 friends know, my family doesn't. I had very very mild symptoms.
You know, when someone's had a cold and says they got better people are usually all oh great glad you're better, but I'm terrified people will be like oh my god leper nurse...</t>
        </is>
      </c>
      <c r="D2128" t="n">
        <v>1</v>
      </c>
      <c r="E2128" t="n">
        <v>4</v>
      </c>
      <c r="F2128">
        <f>HYPERLINK("https://www.reddit.com/r/COVID19positive/comments/hduqyn/have_you_told_anyone_you_had_covid_or_recovered/")</f>
        <v/>
      </c>
      <c r="G2128" t="inlineStr">
        <is>
          <t>2020-06-22 08:46:36</t>
        </is>
      </c>
      <c r="H2128" t="inlineStr">
        <is>
          <t>Tested Positive - Me</t>
        </is>
      </c>
    </row>
    <row r="2129">
      <c r="A2129" t="inlineStr">
        <is>
          <t>hdv1tc</t>
        </is>
      </c>
      <c r="B2129" t="inlineStr">
        <is>
          <t>Another Relapse?!</t>
        </is>
      </c>
      <c r="C2129" t="inlineStr">
        <is>
          <t>I’m at 90 days plus... thought I was better two weeks ago and got a lot of numbness and tingling mostly in my hands and feet. Someone on here suggested taking B12 and it helped in a few days and I felt better. NOW it seems I have Gastro symptoms. Did anyone else not  get Gastro symptoms until after three months in? I’m thinking maybe it’s caused by something else.</t>
        </is>
      </c>
      <c r="D2129" t="n">
        <v>2</v>
      </c>
      <c r="E2129" t="n">
        <v>28</v>
      </c>
      <c r="F2129">
        <f>HYPERLINK("https://www.reddit.com/r/COVID19positive/comments/hdv1tc/another_relapse/")</f>
        <v/>
      </c>
      <c r="G2129" t="inlineStr">
        <is>
          <t>2020-06-22 09:02:41</t>
        </is>
      </c>
      <c r="H2129" t="inlineStr">
        <is>
          <t>Presumed Positive - From Doctor</t>
        </is>
      </c>
    </row>
    <row r="2130">
      <c r="A2130" t="inlineStr">
        <is>
          <t>hdwt9s</t>
        </is>
      </c>
      <c r="B2130" t="inlineStr">
        <is>
          <t>Post Recovery Night Sweats</t>
        </is>
      </c>
      <c r="C2130" t="inlineStr">
        <is>
          <t>Anyone experience night sweats after recovery? I am almost 3 months out from when my fever ended and have recovered as far as I can tell without issues. The only thing that sucked after was the lingering fatigue and mental fog and that lasted maybe a month. 
I did some strenuous yard work yesterday in the heat and was pretty beat afterwards. Last night I felt pretty bad - Fatigued and just burned out. During the night I woke up with night sweats and couldn't sleep worth anything.   
Anyone experience the same in post recovery?</t>
        </is>
      </c>
      <c r="D2130" t="n">
        <v>5</v>
      </c>
      <c r="E2130" t="n">
        <v>19</v>
      </c>
      <c r="F2130">
        <f>HYPERLINK("https://www.reddit.com/r/COVID19positive/comments/hdwt9s/post_recovery_night_sweats/")</f>
        <v/>
      </c>
      <c r="G2130" t="inlineStr">
        <is>
          <t>2020-06-22 10:36:29</t>
        </is>
      </c>
      <c r="H2130" t="inlineStr">
        <is>
          <t>Presumed Positive - From Doctor</t>
        </is>
      </c>
    </row>
    <row r="2131">
      <c r="A2131" t="inlineStr">
        <is>
          <t>hdwv1b</t>
        </is>
      </c>
      <c r="B2131" t="inlineStr">
        <is>
          <t>Neighbor most definitely has covid19 but not respecting distancing</t>
        </is>
      </c>
      <c r="C2131" t="inlineStr">
        <is>
          <t>Neighbor tested for it and then he walked out of the house. He had the symptoms my friend had when he had it. Very tired, Weak body with aches, bad head aches, and sleeping all the time.   It's the land ladies son and I don't want to catch it. What should I do to tell her? He was looking pretty bad. He walked out a few times but then went back inside.  What should I do?</t>
        </is>
      </c>
      <c r="D2131" t="n">
        <v>0</v>
      </c>
      <c r="E2131" t="n">
        <v>10</v>
      </c>
      <c r="F2131">
        <f>HYPERLINK("https://www.reddit.com/r/COVID19positive/comments/hdwv1b/neighbor_most_definitely_has_covid19_but_not/")</f>
        <v/>
      </c>
      <c r="G2131" t="inlineStr">
        <is>
          <t>2020-06-22 10:38:57</t>
        </is>
      </c>
      <c r="H2131" t="inlineStr">
        <is>
          <t>Tested Positive - Friends</t>
        </is>
      </c>
    </row>
    <row r="2132">
      <c r="A2132" t="inlineStr">
        <is>
          <t>hdwwuh</t>
        </is>
      </c>
      <c r="B2132" t="inlineStr">
        <is>
          <t>Anybody being guilt tripped at work?</t>
        </is>
      </c>
      <c r="C2132" t="inlineStr">
        <is>
          <t>I was in the office for half a day when I started showing symptoms. At the time I didn’t know anybody that had the virus so I thought I just had a minor head cold. Long story short, I got tested and results came back positive.
A few of my coworkers told me outright that I put them at risk and now they are struggling to get tested since all the clinics are full. I feel incredibly guilty and I’m struggling now to live with the fact that I could have spread the virus. I would have NEVER gone in to work if I thought I had the virus but it can’t be helped now.
Upper management and my boss are all understanding about it and wish me a quick recovery but my immediate co workers are giving me the cold shoulder now.
Is anybody else dealing with this at work? I feel like I should start looking for another job since I don’t think they’ll ever see me as anything else but a spreader.</t>
        </is>
      </c>
      <c r="D2132" t="n">
        <v>2</v>
      </c>
      <c r="E2132" t="n">
        <v>14</v>
      </c>
      <c r="F2132">
        <f>HYPERLINK("https://www.reddit.com/r/COVID19positive/comments/hdwwuh/anybody_being_guilt_tripped_at_work/")</f>
        <v/>
      </c>
      <c r="G2132" t="inlineStr">
        <is>
          <t>2020-06-22 10:41:35</t>
        </is>
      </c>
      <c r="H2132" t="inlineStr">
        <is>
          <t>Tested Positive - Me</t>
        </is>
      </c>
    </row>
    <row r="2133">
      <c r="A2133" t="inlineStr">
        <is>
          <t>hdwzzn</t>
        </is>
      </c>
      <c r="B2133" t="inlineStr">
        <is>
          <t>Anxiety and COVID19</t>
        </is>
      </c>
      <c r="C2133" t="inlineStr">
        <is>
          <t>Are there any anxiety sufferers out there who have had massive anxiety attacks after testing positive for COVID19? 
I do not have anxiety around medical procedures/issues, but my anxiety does often manifest as chest/stomach pain. I have experienced a lot of this with my symptoms and I think it’s tricking my body into panic attacks. I’ve worked very hard this year to tackle my anxiety, point out triggers, and work through them. This anxiety just comes out of no where and leaves me panicked and wrecked with seemingly no cause. 
Please tell me I’m not the only one.</t>
        </is>
      </c>
      <c r="D2133" t="n">
        <v>1</v>
      </c>
      <c r="E2133" t="n">
        <v>13</v>
      </c>
      <c r="F2133">
        <f>HYPERLINK("https://www.reddit.com/r/COVID19positive/comments/hdwzzn/anxiety_and_covid19/")</f>
        <v/>
      </c>
      <c r="G2133" t="inlineStr">
        <is>
          <t>2020-06-22 10:46:11</t>
        </is>
      </c>
      <c r="H2133" t="inlineStr">
        <is>
          <t>Tested Positive - Me</t>
        </is>
      </c>
    </row>
    <row r="2134">
      <c r="A2134" t="inlineStr">
        <is>
          <t>hdx9qt</t>
        </is>
      </c>
      <c r="B2134" t="inlineStr">
        <is>
          <t>Feeling useless</t>
        </is>
      </c>
      <c r="C2134" t="inlineStr">
        <is>
          <t>I’m on day 12 since my symptoms started and it looks like I’m on my way to recovery. A silver lining I was looking forward to is that I would be able to donate my plasma and possibly help save a life. Now, I realize I can’t even do that, since I don’t meet the weight requirement.
I feel useless. People will be scared to be around me for a long time. I hope more research comes out soon about immunity, but even then, what can I do? I don’t have much money to go out and help the economy, anyway.</t>
        </is>
      </c>
      <c r="D2134" t="n">
        <v>2</v>
      </c>
      <c r="E2134" t="n">
        <v>5</v>
      </c>
      <c r="F2134">
        <f>HYPERLINK("https://www.reddit.com/r/COVID19positive/comments/hdx9qt/feeling_useless/")</f>
        <v/>
      </c>
      <c r="G2134" t="inlineStr">
        <is>
          <t>2020-06-22 11:00:30</t>
        </is>
      </c>
      <c r="H2134" t="inlineStr">
        <is>
          <t>Tested Positive - Me</t>
        </is>
      </c>
    </row>
    <row r="2135">
      <c r="A2135" t="inlineStr">
        <is>
          <t>hdyrv2</t>
        </is>
      </c>
      <c r="B2135" t="inlineStr">
        <is>
          <t>27F/ Covid + Question on Spouses</t>
        </is>
      </c>
      <c r="C2135" t="inlineStr">
        <is>
          <t>Hey y’all. 
Writing from Dallas, Texas. 10 days from first symptoms and four from positive nasal swab results- I had symptoms. My SO and I live together and after I tested positive he got tested and are waiting on results( he has no symptoms).  We’ve been separating but wondering what the next steps look like. If he’s positive can we stop quarantining? If it’s negative do we stay quarantined? What have other people been doing? Thanks!</t>
        </is>
      </c>
      <c r="D2135" t="n">
        <v>3</v>
      </c>
      <c r="E2135" t="n">
        <v>9</v>
      </c>
      <c r="F2135">
        <f>HYPERLINK("https://www.reddit.com/r/COVID19positive/comments/hdyrv2/27f_covid_question_on_spouses/")</f>
        <v/>
      </c>
      <c r="G2135" t="inlineStr">
        <is>
          <t>2020-06-22 12:16:41</t>
        </is>
      </c>
      <c r="H2135" t="inlineStr">
        <is>
          <t>Tested Positive - Me</t>
        </is>
      </c>
    </row>
    <row r="2136">
      <c r="A2136" t="inlineStr">
        <is>
          <t>hdza1b</t>
        </is>
      </c>
      <c r="B2136" t="inlineStr">
        <is>
          <t>22 YO female: my experience so far</t>
        </is>
      </c>
      <c r="C2136" t="inlineStr">
        <is>
          <t>I’m an active, healthy recent college grad and I work in the medical field.. Started getting symptoms about 5 days ago. I live in Idaho so everything is back open and we are now experiencing a spike in cases.. if anyone’s in my age group I’d love to hear your experience!! I’m beyond nervous. 
5 days ago: woke up with post nasal drip, a sore throat, and a pretty bad headache. Thought I was just getting a cold. I was fatigued too 
4 days ago: sore throat went away, experienced hot flashes and still a pretty bad headache. Sinuses started hurting so I took some DayQuil/NyQuil which helped 
3 days ago: felt pretty good, went on a bike ride and the only noticeable symptom was sinus pain when breathing through my nose... it was such a strange feeling, I had no congestion or headache... just a burning pain in my sinuses 
2 days ago: felt fine... maybe a little headache but that’s about it 
Yesterday: noticed that I was beginning to lose my sense of smell.. I opened a bottle of red wine and couldn’t smell a single thing. Didn’t want to freak myself out because I wasn’t having any other symptoms. No fever, no cough etc. 
Today: woke up at 4am and couldn’t fall back asleep. Decided to go get coffee and immediately realized I had completely lost my sense of taste and smell!!! I’ve been spraying perfume directly in front of my face and I smell absolutely nothing! When I eat food I can only feel the texture. It’s crazy. Had diarrhea for the first time and have been feeling slightly nauseous all day. Got tested a few hours ago and waiting on the results :(</t>
        </is>
      </c>
      <c r="D2136" t="n">
        <v>1</v>
      </c>
      <c r="E2136" t="n">
        <v>20</v>
      </c>
      <c r="F2136">
        <f>HYPERLINK("https://www.reddit.com/r/COVID19positive/comments/hdza1b/22_yo_female_my_experience_so_far/")</f>
        <v/>
      </c>
      <c r="G2136" t="inlineStr">
        <is>
          <t>2020-06-22 12:43:04</t>
        </is>
      </c>
      <c r="H2136" t="inlineStr">
        <is>
          <t>Presumed Positive - From Test</t>
        </is>
      </c>
    </row>
    <row r="2137">
      <c r="A2137" t="inlineStr">
        <is>
          <t>hdzvye</t>
        </is>
      </c>
      <c r="B2137" t="inlineStr">
        <is>
          <t>Anybody else have damaged smell?</t>
        </is>
      </c>
      <c r="C2137" t="inlineStr">
        <is>
          <t>I feel like my sense of smell isn't as strong as it once was.  I can still smell things, but they have to be close in proximity.  I had covid 3 months ago and lost my sense of smell.  I thinking it hasn't ever been the same.</t>
        </is>
      </c>
      <c r="D2137" t="n">
        <v>2</v>
      </c>
      <c r="E2137" t="n">
        <v>8</v>
      </c>
      <c r="F2137">
        <f>HYPERLINK("https://www.reddit.com/r/COVID19positive/comments/hdzvye/anybody_else_have_damaged_smell/")</f>
        <v/>
      </c>
      <c r="G2137" t="inlineStr">
        <is>
          <t>2020-06-22 13:15:29</t>
        </is>
      </c>
      <c r="H2137" t="inlineStr">
        <is>
          <t>Tested Positive - Me</t>
        </is>
      </c>
    </row>
    <row r="2138">
      <c r="A2138" t="inlineStr">
        <is>
          <t>he06hz</t>
        </is>
      </c>
      <c r="B2138" t="inlineStr">
        <is>
          <t>New subreddit</t>
        </is>
      </c>
      <c r="C2138" t="inlineStr">
        <is>
          <t>Hello there! 
A new subreddit on recovery has been created. I invite anyone who has fully recovered to write up your stories to lend positivity for fellow covid long haulers</t>
        </is>
      </c>
      <c r="D2138" t="n">
        <v>5</v>
      </c>
      <c r="E2138" t="n">
        <v>16</v>
      </c>
      <c r="F2138">
        <f>HYPERLINK("https://www.reddit.com/r/COVID19positive/comments/he06hz/new_subreddit/")</f>
        <v/>
      </c>
      <c r="G2138" t="inlineStr">
        <is>
          <t>2020-06-22 13:31:06</t>
        </is>
      </c>
      <c r="H2138" t="inlineStr">
        <is>
          <t>Presumed Positive - From Doctor</t>
        </is>
      </c>
    </row>
    <row r="2139">
      <c r="A2139" t="inlineStr">
        <is>
          <t>he0t6b</t>
        </is>
      </c>
      <c r="B2139" t="inlineStr">
        <is>
          <t>New caretaker to wife who is positive.</t>
        </is>
      </c>
      <c r="C2139" t="inlineStr">
        <is>
          <t>Posted this earlier in r/houston and wanted to inquire on what I should expect as a care taker?  I ordered a pulse oximeter and have a thermometer. She does have asthma...nothing serious in 7 years since I've been with her, maybe used inhaler 2 or 3 times...and is immune compromised with RA.  Flu usually kicks her a**, so just looking for what I need to look out for.  Any advice or help will be greatly appreciated. 
Just an update on wife who went to ER this morning. They did blood work, x ray, and breathing treatment. Waiting for COVID test to come back, but since she could breathe on her own (and hospital is overwhelmed) they sent her home. 99% sure she has it.  Prescribed 4 different drugs...pain meds, inhaler, antibiotic, and codeine cough medication.  Said she has a low grade fever and xray showed begining stage of COVID.  That she is going to get A LOT worse and feel like death over the next 2 weeks...at least. Not to go back to hospital unless she is in dire breathing distress. Quarantined in our room for 14 days, along with my son in his, niece in spare, and me on the couch.  Going out one last time to get her meds then it starts. All of us in separate rooms, wear mask if we cross each others paths. None of us other 3 have symptoms but getting, or will try to get, a thermometer today.  
Thi IS NOT a joke yall.  WEAR A MASK! Even being cautious she managed to get it. Already looks like death. Just glad she is home and keeping fingers crossed she doesnt have to get admitted.</t>
        </is>
      </c>
      <c r="D2139" t="n">
        <v>3</v>
      </c>
      <c r="E2139" t="n">
        <v>19</v>
      </c>
      <c r="F2139">
        <f>HYPERLINK("https://www.reddit.com/r/COVID19positive/comments/he0t6b/new_caretaker_to_wife_who_is_positive/")</f>
        <v/>
      </c>
      <c r="G2139" t="inlineStr">
        <is>
          <t>2020-06-22 14:05:06</t>
        </is>
      </c>
      <c r="H2139" t="inlineStr">
        <is>
          <t>Presumed Positive - From Doctor</t>
        </is>
      </c>
    </row>
    <row r="2140">
      <c r="A2140" t="inlineStr">
        <is>
          <t>he26rf</t>
        </is>
      </c>
      <c r="B2140" t="inlineStr">
        <is>
          <t>Symptoms going away after 3 days?</t>
        </is>
      </c>
      <c r="C2140" t="inlineStr">
        <is>
          <t>I've had hallmark symptoms for the last few days: low grade fever that worsens in the evening, dry cough, sore throat, bad tension headache, extreme fatigue. Now I'm pretty suddenly feeling a lot better on the evening of day 4. Still tired and have a slight headache, but compared to even a couple hours ago I feel so much better. Anyone else experience this? I know people's responses to the virus are all over the map, but it'd be good to hear from some others if this has happened to you and whether or not symptoms came back. Thanks!</t>
        </is>
      </c>
      <c r="D2140" t="n">
        <v>3</v>
      </c>
      <c r="E2140" t="n">
        <v>10</v>
      </c>
      <c r="F2140">
        <f>HYPERLINK("https://www.reddit.com/r/COVID19positive/comments/he26rf/symptoms_going_away_after_3_days/")</f>
        <v/>
      </c>
      <c r="G2140" t="inlineStr">
        <is>
          <t>2020-06-22 15:21:24</t>
        </is>
      </c>
      <c r="H2140" t="inlineStr">
        <is>
          <t>Tested Positive - Friends</t>
        </is>
      </c>
    </row>
    <row r="2141">
      <c r="A2141" t="inlineStr">
        <is>
          <t>he28sy</t>
        </is>
      </c>
      <c r="B2141" t="inlineStr">
        <is>
          <t>Fast food manager tested positive, getting a test later today. How likely is it that it spread throughout restaurant staff?</t>
        </is>
      </c>
      <c r="C2141" t="inlineStr">
        <is>
          <t>Absolutely terrified. I’ve only had this job for a couple weeks and of course this would happen. The person hasn’t been working for about a week but still. The rest of management is being intentionally vague and confusing as well. I walked out of my shift tonight because I was just told on the spot that someone had tested positive. I wasn’t even warned before coming in.</t>
        </is>
      </c>
      <c r="D2141" t="n">
        <v>5</v>
      </c>
      <c r="E2141" t="n">
        <v>17</v>
      </c>
      <c r="F2141">
        <f>HYPERLINK("https://www.reddit.com/r/COVID19positive/comments/he28sy/fast_food_manager_tested_positive_getting_a_test/")</f>
        <v/>
      </c>
      <c r="G2141" t="inlineStr">
        <is>
          <t>2020-06-22 15:24:30</t>
        </is>
      </c>
      <c r="H2141" t="inlineStr">
        <is>
          <t>Tested Positive - Friends</t>
        </is>
      </c>
    </row>
    <row r="2142">
      <c r="A2142" t="inlineStr">
        <is>
          <t>he2x4o</t>
        </is>
      </c>
      <c r="B2142" t="inlineStr">
        <is>
          <t>22F on Day 10 of symptoms!</t>
        </is>
      </c>
      <c r="C2142" t="inlineStr">
        <is>
          <t>So I tested positive a few days ago but I’ve had symptoms for about 10 days now. For a week I was experiencing a cough and fatigue, but for the past 3 days it has switched to headache and dizziness. Maybe dizziness isn’t the word, but it feels like a super lightheaded feeling. I hate it. Is anyone else having the dizziness or know anyone that has? I would take the cough over this symptom any day.</t>
        </is>
      </c>
      <c r="D2142" t="n">
        <v>2</v>
      </c>
      <c r="E2142" t="n">
        <v>7</v>
      </c>
      <c r="F2142">
        <f>HYPERLINK("https://www.reddit.com/r/COVID19positive/comments/he2x4o/22f_on_day_10_of_symptoms/")</f>
        <v/>
      </c>
      <c r="G2142" t="inlineStr">
        <is>
          <t>2020-06-22 16:03:21</t>
        </is>
      </c>
      <c r="H2142" t="inlineStr">
        <is>
          <t>Tested Positive - Me</t>
        </is>
      </c>
    </row>
    <row r="2143">
      <c r="A2143" t="inlineStr">
        <is>
          <t>he40wa</t>
        </is>
      </c>
      <c r="B2143" t="inlineStr">
        <is>
          <t>I tested positive on April 3rd, but I’m just now losing my taste and smell.</t>
        </is>
      </c>
      <c r="C2143" t="inlineStr">
        <is>
          <t>Which makes me believe that the April 3rd PCR test was a false positive. In mid-May, I had two negative PCRs and a negative antibody IgG test. 
I’ve had symptoms since the end of February (you can read through my previous posts if you’d like), but I never lost my sense of taste or smell. Today though, both senses seem kind of dull. My breakfast tasted bland, and I had to take a good whiff to smell my candle. 
I took another PCR test today, but I won’t get results for another seven days. I’m so worried, especially since my city’s hospitals are already at capacity.</t>
        </is>
      </c>
      <c r="D2143" t="n">
        <v>2</v>
      </c>
      <c r="E2143" t="n">
        <v>7</v>
      </c>
      <c r="F2143">
        <f>HYPERLINK("https://www.reddit.com/r/COVID19positive/comments/he40wa/i_tested_positive_on_april_3rd_but_im_just_now/")</f>
        <v/>
      </c>
      <c r="G2143" t="inlineStr">
        <is>
          <t>2020-06-22 17:10:35</t>
        </is>
      </c>
      <c r="H2143" t="inlineStr">
        <is>
          <t>Tested Positive - Me</t>
        </is>
      </c>
    </row>
    <row r="2144">
      <c r="A2144" t="inlineStr">
        <is>
          <t>he4vxd</t>
        </is>
      </c>
      <c r="B2144" t="inlineStr">
        <is>
          <t>Tested positive for COVID</t>
        </is>
      </c>
      <c r="C2144" t="inlineStr">
        <is>
          <t>I’m shocked. Like what the actual fuck. I don’t know what to do with myself. Is there like a COVID hotline where I can call and ask questions? What the hell im panicking.</t>
        </is>
      </c>
      <c r="D2144" t="n">
        <v>5</v>
      </c>
      <c r="E2144" t="n">
        <v>32</v>
      </c>
      <c r="F2144">
        <f>HYPERLINK("https://www.reddit.com/r/COVID19positive/comments/he4vxd/tested_positive_for_covid/")</f>
        <v/>
      </c>
      <c r="G2144" t="inlineStr">
        <is>
          <t>2020-06-22 18:04:25</t>
        </is>
      </c>
      <c r="H2144" t="inlineStr">
        <is>
          <t>Tested Positive - Me</t>
        </is>
      </c>
    </row>
    <row r="2145">
      <c r="A2145" t="inlineStr">
        <is>
          <t>he5n37</t>
        </is>
      </c>
      <c r="B2145" t="inlineStr">
        <is>
          <t>Anybody with lingering symptoms like SOB? Chest Pain?</t>
        </is>
      </c>
      <c r="C2145" t="inlineStr">
        <is>
          <t>Just feeling anxious and depressed again so kind of need someone to talk to.
So, I tested positive around May 7 and I got it from work (I work at a hospital in CA) I never had fever, my throat was itchy for a couple of months but never really had a bad cough or whatsoever, even before I got Covid my throat has been itchy. Anyways, for the first week I had extreme fatigue. I was also light headed a lot and would get headaches. I also have shortness of breath and it would lead to insomnia, I hated going to sleep. I was scared to go to sleep. Luckily I had a pulse oximeter and honestly, my o2 sat was always around 98-100. My doctor told me it sounds a lot like what I was feeling was mostly anxiety. I've never had anxiety before so I don't really know what it's like. 
On my second week, I was feeling better. Slowly was able to go to sleep on time.... but on the last few days I had SOB again and my heart rate would be high I could feel my heart beating when I sleep which gave me insomnia again. I also would get chest pain whenever that happens. 
Day 17 and 19 - Doctor advised to go get tested. So, I got tested again and both were negative (needed 2 for work) So of course, I was really happy. I would still get lightheaded, tired every once in a while. A week after I was feeling a bit better, I decided to walk everyday for an hour and get some vitamin d. Still took my multi-vitamins, vitamin C and vitamin D3 everyday. 
Unfortunately, I would still get SOB or palpitations like once or twice a week then I would fall into anxiety/depression so I decided to go my doctor to get blood test, chest x-ray and ECG done and good news is that my doctor said everything was great. So again... maybe anxiety. My doctor also ordered an antibody test but I was tested negative?
Yesterday, I had another episode of SOB and a little bit of chest pain. It's been over a month now so I checked my temp, Blood pressure, o2 sat and everything was good. Now, I just feel anxious and depressed again. My throat is starting to feel itchy again and been coughing sometimes at night so I told myself maybe I have COVID again. I am freaking out but I don't want to especially I am officially going back to work tomorrow.. which also freaks me out.
Thanks for reading this. It means a lot.</t>
        </is>
      </c>
      <c r="D2145" t="n">
        <v>3</v>
      </c>
      <c r="E2145" t="n">
        <v>32</v>
      </c>
      <c r="F2145">
        <f>HYPERLINK("https://www.reddit.com/r/COVID19positive/comments/he5n37/anybody_with_lingering_symptoms_like_sob_chest/")</f>
        <v/>
      </c>
      <c r="G2145" t="inlineStr">
        <is>
          <t>2020-06-22 18:52:36</t>
        </is>
      </c>
      <c r="H2145" t="inlineStr">
        <is>
          <t>Tested Positive</t>
        </is>
      </c>
    </row>
    <row r="2146">
      <c r="A2146" t="inlineStr">
        <is>
          <t>he5urm</t>
        </is>
      </c>
      <c r="B2146" t="inlineStr">
        <is>
          <t>People who recovered: how long did it take you to test negative twice?</t>
        </is>
      </c>
      <c r="C2146" t="inlineStr">
        <is>
          <t>I’m currently almost done with my 2 week quarantine (still battling fevers though). My doctor says I need to test negative twice before I can actually leave my house. He was saying it’s likely this won’t happen though...
People who have gone through this, how long did it take for you to get out of quarantine? Should I anticipate being inside longer?</t>
        </is>
      </c>
      <c r="D2146" t="n">
        <v>1</v>
      </c>
      <c r="E2146" t="n">
        <v>8</v>
      </c>
      <c r="F2146">
        <f>HYPERLINK("https://www.reddit.com/r/COVID19positive/comments/he5urm/people_who_recovered_how_long_did_it_take_you_to/")</f>
        <v/>
      </c>
      <c r="G2146" t="inlineStr">
        <is>
          <t>2020-06-22 19:06:17</t>
        </is>
      </c>
      <c r="H2146" t="inlineStr">
        <is>
          <t>Tested Positive - Me</t>
        </is>
      </c>
    </row>
    <row r="2147">
      <c r="A2147" t="inlineStr">
        <is>
          <t>he676n</t>
        </is>
      </c>
      <c r="B2147" t="inlineStr">
        <is>
          <t>Day 38 or 39 shits getting weird</t>
        </is>
      </c>
      <c r="C2147" t="inlineStr">
        <is>
          <t>So the past 5 days I've been having upper back pain and like hot flashes and I've just started getting  this bad cough like from deep inside and when I'm coughing I start vomiting  before this I was feeling  better for almost a week but day 33 it started up  what should I do?</t>
        </is>
      </c>
      <c r="D2147" t="n">
        <v>1</v>
      </c>
      <c r="E2147" t="n">
        <v>14</v>
      </c>
      <c r="F2147">
        <f>HYPERLINK("https://www.reddit.com/r/COVID19positive/comments/he676n/day_38_or_39_shits_getting_weird/")</f>
        <v/>
      </c>
      <c r="G2147" t="inlineStr">
        <is>
          <t>2020-06-22 19:28:29</t>
        </is>
      </c>
      <c r="H2147" t="inlineStr">
        <is>
          <t>Tested Positive - Me</t>
        </is>
      </c>
    </row>
    <row r="2148">
      <c r="A2148" t="inlineStr">
        <is>
          <t>he83pp</t>
        </is>
      </c>
      <c r="B2148" t="inlineStr">
        <is>
          <t>Experience: COVID+ and Pregnant</t>
        </is>
      </c>
      <c r="C2148" t="inlineStr">
        <is>
          <t>Format is jacked cuz I did this on my phone so this is a heads up and an apology for that mess. 
Both husband and I are 24 and I was 17+4 the day we got tested. I am now 20 weeks and had my ultrasound today (more on that at the bottom) and I just wanted to share both our experiences with this illness because I know so many people have had so many questions and concerns about it and what it means during pregnancy and otherwise and while I don't have the answers to the future I thought this may be reassuring or helpful to some people. 
May 26th
Exposure to COVID+ patient
June 3rd 
Husband: sore throat, headache 
Me: Fine
June 4th 
Husband: groggy, sore throat, coughing (minor) and lost sense of smell and taste by evening
Me: Fine (I did sneeze a ton this day but didn't think anything of it until later on)
June 5th (Test day)
Husband: woke up without taste and smell, sore throat, cough, voice started to get kinda froggy, started running a fever in the late evening(low grade 99), diarrhea
Me: Woke up feeling like I had allergies a heaviness in my chest like I needed to cough, post nasal drip, slight headache, diarrhea (typical pregnancy symptoms I had prior to this but also worth mentioning: (stuffed nose, nausea--threw up today for first time in awhile, fatigue)
June 6th 
Husband: cough, sore throat, no taste or smell, tired, low grade fever, stomach cramps 
Me: sore throat, wet cough, heavy feeling in chest, post nasal drip, sinus infection type burning pain, low grade fever, stomach cramps
June 7th (Test came back +)
Husband: tired, cough, sore throat, no fever, stomach cramps (slept 12 hours)
Me: insomnia, fatigued, cough, nose burns like I have a sinus infection, head pressure, lost taste and smell, stomach cramps, insomnia
Overall today both of us have felt better than yesterday 
June 8th 
Husband: cough, sore throat, fatigue (slept 13 hours) nasal congestion, no taste or smell
Me: insomnia, no taste or smell, sinus pain, head pressure, light cough, super stuffed nose, can't breathe when I sit back too much, nausea all day, thirsty
June 9th
Husband: fever 99.7, fatigue, cough, no smell (taste is back??), thirsty
Me: actually slept! Woke up feeling pretty decent, still fatigued, sinus pain, nasal and head congestion, dry eyes, cough, no taste or smell, thirsty, diarrhea
June 10th
Husband: lost about 6/7 pounds, slight cough, nasal congestion, no smell, fatigued, fever 99.0 (this was his best day so far, he played video games for a few hours and ate some normal foods)
Me: lost about 5/6 pounds, dry eyes, diarrhea, head and nasal congestion, no smell or taste, fatigued, slight cough, fever 100.4, nausea and vomiting (worst day I've had so far, felt awful from the moment I woke up)
June 11th
Husband: very slight cough, no taste no smell, fatigue, headache, nasal congestion
Me: woke up feeling good today, nasal congestion--cleared halfway through the day after use of sinus rinse, head congestion, diarrhea, no taste or smell, slight cough (seems almost resolved), nausea, fatigue
June 12
Husband: no smell, taste is back, nasal congestion
Me: slight cough, nausea, nasal and head congestion, no taste or smell, fatigue
June 13
Husband: nasal congestion, no smell (taste still slowly coming back)
Me: nausea, vomitting, diarrhea, no taste or smell, cough (back again?), nasal congestion, slight head congestion, fatigue 
June 14
Husband: diarrhea, no smell, fatigue
Me: no taste or smell, nasal congestion, small bit of head congestion, headache, slight cough, fatigue
June 15
Husband: no smell, headache, slight fatigue
Me: no taste or smell, nasal congestion, fatigue, slight cough, headache, stomach cramps, diarrhea
June 16
Husband: no smell, feeling pretty normal today 
Me: no taste or smell, slight nasal congestion on waking up/when laying, nausea, slight burning feeling in my chest with slight cough--when I need to clear phlegm
June 17
Husband: no smell
Me: no taste or smell, nausea, vomitting (seriously am I back in the first trimester?), nasal congestion on waking up/only when laying down
June 18
Husband: no smell
Me: taste is back! Maybe 30% or less of what I could taste before, no smell, headache (kinked neck most likely)
June 19 
Husband: Fine
Me: smell is back--maybe 50% or less than normal, taste is still probs around 30% and feel like I'm at 90% today 
June 22
Ultrasound, baby is looking super healthy, no issues with growth or anything else. Doctor did not seem too concerned about anything happening to the baby. He also told me we have a decent chance of having some sort of immunity for short term (he said until fall) but he doesn't know for sure, and that theres too much unknown but I still should be cautious and wear a mask etc (which is what we were planning anyway). Also I am still having fatigue and find it hard to do normal things at a normal level, standing/walking for more than an hour is really draining. The doctor told me this is normal especially since I'm pregnant and that I can just do what I am up to and basically take my time getting back to where I was and not to push it. 
If anyone has any questions about either of our experiences/exposure or about the baby I'd be happy to answer them. I know everyone seems to experience something different with this illness, but I just thought maybe this would be helpful to some people.</t>
        </is>
      </c>
      <c r="D2148" t="n">
        <v>1</v>
      </c>
      <c r="E2148" t="n">
        <v>8</v>
      </c>
      <c r="F2148">
        <f>HYPERLINK("https://www.reddit.com/r/COVID19positive/comments/he83pp/experience_covid_and_pregnant/")</f>
        <v/>
      </c>
      <c r="G2148" t="inlineStr">
        <is>
          <t>2020-06-22 21:40:59</t>
        </is>
      </c>
      <c r="H2148" t="inlineStr">
        <is>
          <t>Tested Positive</t>
        </is>
      </c>
    </row>
    <row r="2149">
      <c r="A2149" t="inlineStr">
        <is>
          <t>he8mdg</t>
        </is>
      </c>
      <c r="B2149" t="inlineStr">
        <is>
          <t>When to see doctor?</t>
        </is>
      </c>
      <c r="C2149" t="inlineStr">
        <is>
          <t>At what point do you see a doctor? I don’t have a primary care doc at the moment because I am in a new state and haven’t been yet. I actually have an appt on Friday which is purely out of coincidence 
I started feeling sick Tuesday, tested Wednesday because my coworker was sick and being tested. He was positive along with another. My results came back positive Sunday.   The first few days weren’t too bad.  Fri/sat were pretty shitty.  Normal symptom like headache/mild fever (101 at the most) although it felt much worse/sore throat from hell/body aches.   Today is the first day I kind of felt better but suddenly I am getting a fever again and developing a slight cough. I’m not sure if I am having any breathing trouble or if I am just paranoid?  I did buy an oximeter and my numbers have been fine 
I just don’t know if I am at the point I need medical attention?</t>
        </is>
      </c>
      <c r="D2149" t="n">
        <v>1</v>
      </c>
      <c r="E2149" t="n">
        <v>5</v>
      </c>
      <c r="F2149">
        <f>HYPERLINK("https://www.reddit.com/r/COVID19positive/comments/he8mdg/when_to_see_doctor/")</f>
        <v/>
      </c>
      <c r="G2149" t="inlineStr">
        <is>
          <t>2020-06-22 22:20:26</t>
        </is>
      </c>
      <c r="H2149" t="inlineStr">
        <is>
          <t>Tested Positive - Me</t>
        </is>
      </c>
    </row>
    <row r="2150">
      <c r="A2150" t="inlineStr">
        <is>
          <t>hebxbj</t>
        </is>
      </c>
      <c r="B2150" t="inlineStr">
        <is>
          <t>Covid-19 fun</t>
        </is>
      </c>
      <c r="C2150" t="inlineStr">
        <is>
          <t>Im here to warn you that Covid-19 is outdated and need to be updated to Covid-20.</t>
        </is>
      </c>
      <c r="D2150" t="n">
        <v>1</v>
      </c>
      <c r="E2150" t="n">
        <v>7</v>
      </c>
      <c r="F2150">
        <f>HYPERLINK("https://www.reddit.com/r/COVID19positive/comments/hebxbj/covid19_fun/")</f>
        <v/>
      </c>
      <c r="G2150" t="inlineStr">
        <is>
          <t>2020-06-23 03:09:16</t>
        </is>
      </c>
      <c r="H2150" t="inlineStr">
        <is>
          <t>Tested Positive - Me</t>
        </is>
      </c>
    </row>
    <row r="2151">
      <c r="A2151" t="inlineStr">
        <is>
          <t>heco13</t>
        </is>
      </c>
      <c r="B2151" t="inlineStr">
        <is>
          <t>Completely loss of taste and smell</t>
        </is>
      </c>
      <c r="C2151" t="inlineStr">
        <is>
          <t>I’m today at my day 100 of loss of taste and smell. I can’t taste food at all, same with everything i drink. For some reason, i «think» i taste things sometimes. For 2-3 weeks, everything tasted like chocolate cookies (i think it’s called phantom senses). The other week, everything tasted like some kind of bacon. It’s really weird, and i don’t know what to do now. Please let me know your hostory if you’ve been through the same/if you’re standing where i’m standing now.</t>
        </is>
      </c>
      <c r="D2151" t="n">
        <v>1</v>
      </c>
      <c r="E2151" t="n">
        <v>85</v>
      </c>
      <c r="F2151">
        <f>HYPERLINK("https://www.reddit.com/r/COVID19positive/comments/heco13/completely_loss_of_taste_and_smell/")</f>
        <v/>
      </c>
      <c r="G2151" t="inlineStr">
        <is>
          <t>2020-06-23 04:09:35</t>
        </is>
      </c>
      <c r="H2151" t="inlineStr">
        <is>
          <t>Tested Positive - Me</t>
        </is>
      </c>
    </row>
    <row r="2152">
      <c r="A2152" t="inlineStr">
        <is>
          <t>hecxwc</t>
        </is>
      </c>
      <c r="B2152" t="inlineStr">
        <is>
          <t>Should I get another test.</t>
        </is>
      </c>
      <c r="C2152" t="inlineStr">
        <is>
          <t>So I tested positive on the 16th of June. I’ve checked the government guidelines and also checked with my friend who work for track and trace, they both advised that I don’t need to have another test and I can go out on the 8th day if I have no fever.
I’m really interested on peoples takes on this. Should I book another test to double check I am safe to leave the house? Are different countries telling people different things?</t>
        </is>
      </c>
      <c r="D2152" t="n">
        <v>1</v>
      </c>
      <c r="E2152" t="n">
        <v>5</v>
      </c>
      <c r="F2152">
        <f>HYPERLINK("https://www.reddit.com/r/COVID19positive/comments/hecxwc/should_i_get_another_test/")</f>
        <v/>
      </c>
      <c r="G2152" t="inlineStr">
        <is>
          <t>2020-06-23 04:31:01</t>
        </is>
      </c>
      <c r="H2152" t="inlineStr">
        <is>
          <t>Tested Positive - Me</t>
        </is>
      </c>
    </row>
    <row r="2153">
      <c r="A2153" t="inlineStr">
        <is>
          <t>heg06b</t>
        </is>
      </c>
      <c r="B2153" t="inlineStr">
        <is>
          <t>Is it possible to catch covid19 twice?</t>
        </is>
      </c>
      <c r="C2153" t="inlineStr">
        <is>
          <t>I had it about a month ago. Retested negative after three weeks. Now I was exposed again. 
Am I at risk for catching it again?</t>
        </is>
      </c>
      <c r="D2153" t="n">
        <v>2</v>
      </c>
      <c r="E2153" t="n">
        <v>18</v>
      </c>
      <c r="F2153">
        <f>HYPERLINK("https://www.reddit.com/r/COVID19positive/comments/heg06b/is_it_possible_to_catch_covid19_twice/")</f>
        <v/>
      </c>
      <c r="G2153" t="inlineStr">
        <is>
          <t>2020-06-23 07:52:36</t>
        </is>
      </c>
      <c r="H2153" t="inlineStr">
        <is>
          <t>Tested Positive - Family</t>
        </is>
      </c>
    </row>
    <row r="2154">
      <c r="A2154" t="inlineStr">
        <is>
          <t>heggp4</t>
        </is>
      </c>
      <c r="B2154" t="inlineStr">
        <is>
          <t>Gaslighted and endangered by an infectious disease doctor on the 3 month anniversary of getting sick - a rant</t>
        </is>
      </c>
      <c r="C2154" t="inlineStr">
        <is>
          <t>Hey-o to my long-termies 👐 I am presumed positive by a physician whose asessment is that I had Covid and am presently enduring some kind of post-viral torture.  I tested negative twice and negative for antibodies once.  Negative for flu and strep, negative for tickborne diseases.  As of yesterday I have been through three months of hell and we're still not done here.  After three ER visits, two urgent care visits, one PCP visit, a smattering of cardiology visits and lab tests, I'm still here.  After suffocating shortness of breath, burning, heavy, painful lungs, near-fainting, sore throat, fevers, shaking chills, headaches, fatigue, nausea, burning eyes, severe leg pain and muscle weakness, kidney symptoms, brutal sinus pain and congestion, nausea, lack of appetite, 10lbs lost, dizziness, and now, unexplained chest and left arm pain with palpitations, sinus tachycardia, and POTS symptoms, I'm still here.  No treatments given. No hospitalization.  Just beasting this out at home. 
After all this, I thought the infectious disease doctor would be the appointment I had been waiting for. The "disease detectives" of medicine, I was told.  The people who must be thinking creatively about this novel virus - their time to shine.  No one else could explain the mystery of my 90 days of misery.  Well, I arrived at the practice, which was in a hospital, the place we're all trying not to go, the doctor listened to me for ten minutes, and then asked me to come into her office and stand at her computer (I had just explained to her that standing exacerbates my tachycardia and dizziness.) She proceeds to mansplain all of my previous lab results, the ones I already know about, condescendingly hammering on all the things that came back normal, glossing over the ones that didn't.  Glossing over the fact that I was in the ER three times because I was having uncontrollable tremors, near fainting, tachycardic, struggling to breathe.  She then says, "I don't think your symptoms are a sign of infection, active or otherwise.  You don't have Covid, you never did.  That's what the tests say."  I remind her of the prevalence of false negatives in Covid tests and the even more abysmal inaccuracies in the antibody tests.  She ignores this completely. 
"Have you considered anxiety?" she says.  I'm livid.  This not the first time this has been asked or implied and it won't be the last I'm sure.  Do you know how much anxiety I have left at this point?  Basically zero.  Every single day for three months, I've had to relinquish control and deeply accept that this thing just might kill me.  There were many nights when I simply couldn't be sure I would wake up in the morning.  And I had to shrug and go to sleep anyway.  The ER trips feel like old news now.  Last time I quietly sat and watched SpongeBob with a resting heart rate over 100 for hours. The doctors' appointments are like my full-time job.  I fear no results, at this point, because at least they are fucking information.  I'm probably calmer than I've been in years. Because freaking out constantly for three entire months would not have been sustainable, would not have been constructive, was not an option, nor an appealing one.  I understand anxiety, I have had it in the past.  This is not that.  Anxiety would be understandably exacerbated by these terrorizing symptoms, and, yet, I am calm.  I understand that anxiety, being a very real physiological condition, must be considered and ruled out, but this is not what they're doing.  Every doctor I've seen who has implied it does so as a little jab, a little bullying afterthought, not in the context of a line of questioning that comes from genuine clinical curiosity.. They can't explain what they are seeing so they try to scapegoat a plethora of real physical symptoms on a state of mental unrest that simply isn't there.
Does my heart rate now spike over 100 when I'm brushing my teeth because, after 30 years, I'm suddenly anxious that I'm doing it wrong?  Does my Fitbit congratulate me on earning "Zone minutes" @ 147 because, on this, the millionth occasion of standing outside talking to my neighbors for a minute, I am suddenly crippled with anxiety?
I didn't come for her to prove or validate that I had Covid - I recognize it is theoretically possible that I might or might not have, and I will probably never know or have proof either way.  I didn't come because I'm scared.  I came because I've had untreated and unexplained symptoms for a quarter of a year, I am debilitated, and my quality of life is unacceptable.  I came because my cardiologist feels my heart symptoms do not originate in the heart itself, and some kind of inflammation or other external factor is causing it to behave this way.  
As she's talking to me, THE INFECTIOUS DISEASE DOCTOR, her ONE flimsy surgical mask is falling off her face repeatedly. Slipping down under her nose. Sometimes she adjusts it with her hands, sometimes she leaves it there.  I finally interrupt her to tell her her mask is falling off her face.  "I know," she says, "it keeps doing that.  I don't know how to fix it."  No other PPE, no gloves.  I'm growing increasingly angry and uncomfortable as she talks to me in this enclosed space. She is not only wasting my time, invalidating my very real symptoms, and gaslighting me, she's endangering me while doing it.  She says I should follow up with cardiology (thanks, I'm already doing that,) and my PCP (who refused to see me until my textbook Covid symptoms had passed, then told me to go home and take Tylenol for my crippling leg pain.) She refuses to dignify the possibility of Covid (which my consulting physician says is frankly irresponsible and insane), refuses to acknowledge this could even be a post-viral condition of any kind, makes no recommendations and has no ideas.  She tells me she sees "nothing for her to do here."  I had waited so long for this appointment, and this is what I get.  Of course it is.  I'm in a hospital, trapped in an enclosed space with an ID doctor who isn't taking the most basic Covid safety precautions, who's telling me I have nothing and never did, who has no interest in even trying.  She seems to want to keep talking, but I get up and said, "well, I guess we're done here," and walk out.</t>
        </is>
      </c>
      <c r="D2154" t="n">
        <v>17</v>
      </c>
      <c r="E2154" t="n">
        <v>171</v>
      </c>
      <c r="F2154">
        <f>HYPERLINK("https://www.reddit.com/r/COVID19positive/comments/heggp4/gaslighted_and_endangered_by_an_infectious/")</f>
        <v/>
      </c>
      <c r="G2154" t="inlineStr">
        <is>
          <t>2020-06-23 08:18:01</t>
        </is>
      </c>
      <c r="H2154" t="inlineStr">
        <is>
          <t>Presumed Positive - From Doctor</t>
        </is>
      </c>
    </row>
    <row r="2155">
      <c r="A2155" t="inlineStr">
        <is>
          <t>hegvbg</t>
        </is>
      </c>
      <c r="B2155" t="inlineStr">
        <is>
          <t>Day 6 or 7</t>
        </is>
      </c>
      <c r="C2155" t="inlineStr">
        <is>
          <t>Hi my girlfriend and I tested positive for COVID recently and we are here to share our experience and get any advice from people who have had similar experiences. We are two 22 year olds who live pretty healthy lifestyles. I am a strength coach and I typically eat a fair amount of fruits and vegetables, and enough protein, carbs, and fats from good sources to feed a small village. I exercise 3-5 times a week. My girlfriend doesn’t eat as well/much as me, but by all means she doesn’t eat bad. She exercises 1-3 times a week. We never drink (only on birthdays or in Mexico) and the worst thing we do is smoke a little pot. I smoke very small amounts 2-3 times a week to help me eat and sleep, and once or twice a week I’ll actually smoke a whole joint or blunt. She may take  1-2 hits of however I am partaking 2-3 times a week. Here’s our timeline 
Wednesday she felt extra run down when we were working out that afternoon. I started to feel rundown that night while cooking dinner. Checked our temperatures and we were both below 98.6. Itchy throat, small headaches, and body aches by the end of the night.
Thursday we woke up fatigued with small headaches and the same body aches. Later in the day we started to get allergy like symptoms (nose kinda stuffy, &amp;amp; scratchy but not sore throat). We felt hot af but never ran a temp over 98.6. 
Friday the body aches started to fade but everything else was exactly the same. We decided to get tested. No new symptoms. We checked our temps almost by the hour and nothing above 98.6. 
Saturday exactly the same. We started to feel even more hot but our temperatures ranged between 96.2 and 98.7. No more body aches.
Sunday everything was exactly the same until the evening when we both started to kind of have a tight chest. Nothing crazy or painful, just felt a little tight. 
Monday morning no tight chest. We don’t really feel hot and we still haven’t ran a temperature over 98.6. She has a pretty bad headache. By the end of the night she had a tight chest again and she was really fatigued. She took a hot shower and the tight chest went away. Right before bed we noticed our taste and smell were gone.
Tuesday morning I feel fine other than fatigue and a dry nose/throat. She has dry nose/throat, very little chest tightness, and a minor headache. 
We’ve drank fluids constantly and we are getting plenty of good food in. Lots of sleep. If anyone has any advice or any questions lmk</t>
        </is>
      </c>
      <c r="D2155" t="n">
        <v>3</v>
      </c>
      <c r="E2155" t="n">
        <v>9</v>
      </c>
      <c r="F2155">
        <f>HYPERLINK("https://www.reddit.com/r/COVID19positive/comments/hegvbg/day_6_or_7/")</f>
        <v/>
      </c>
      <c r="G2155" t="inlineStr">
        <is>
          <t>2020-06-23 08:39:58</t>
        </is>
      </c>
      <c r="H2155" t="inlineStr">
        <is>
          <t>Tested Positive - Me</t>
        </is>
      </c>
    </row>
    <row r="2156">
      <c r="A2156" t="inlineStr">
        <is>
          <t>heh2w7</t>
        </is>
      </c>
      <c r="B2156" t="inlineStr">
        <is>
          <t>45 days after testing positive</t>
        </is>
      </c>
      <c r="C2156" t="inlineStr">
        <is>
          <t>Still don’t feel 100% and trying to stay off google so I don’t send myself into a tailspin of anxiety. It comes in waves, I’ll feel ok and then not and I’m wondering when it’ll be back to normal. Fortunately I recently was able to get back to work (from home) and trying to go anoint my normal routine. Any advice or experience?</t>
        </is>
      </c>
      <c r="D2156" t="n">
        <v>1</v>
      </c>
      <c r="E2156" t="n">
        <v>3</v>
      </c>
      <c r="F2156">
        <f>HYPERLINK("https://www.reddit.com/r/COVID19positive/comments/heh2w7/45_days_after_testing_positive/")</f>
        <v/>
      </c>
      <c r="G2156" t="inlineStr">
        <is>
          <t>2020-06-23 08:51:15</t>
        </is>
      </c>
      <c r="H2156" t="inlineStr">
        <is>
          <t>Tested Positive - Me</t>
        </is>
      </c>
    </row>
    <row r="2157">
      <c r="A2157" t="inlineStr">
        <is>
          <t>heh9qe</t>
        </is>
      </c>
      <c r="B2157" t="inlineStr">
        <is>
          <t>If you have tested positive and have gone to the hospital because of severe symptoms, at what point did you go or knew that you needed to go?</t>
        </is>
      </c>
      <c r="C2157" t="inlineStr">
        <is>
          <t>I am currently on day 7 of symptoms and isolation. Sometimes I feel so sick, I feel like I’m going to pass out and other times I feel completely fine. Last night I felt like I was going to pass out and throw up all at once, the feeling was HORRIBLE. I was in a cold sweat and felt like I couldn’t breath. I rode it out and eventually felt better. I’ve been at home, isolating in a separate room, taking all the precautions and my boyfriend is the one doing everything for me but I was wondering if anyone has had symptoms so severe that you’ve gone to the hospital during your isolation? And at what point did you say “ok I need to go”? What was it like and what did they do at the hospital for you?</t>
        </is>
      </c>
      <c r="D2157" t="n">
        <v>1</v>
      </c>
      <c r="E2157" t="n">
        <v>2</v>
      </c>
      <c r="F2157">
        <f>HYPERLINK("https://www.reddit.com/r/COVID19positive/comments/heh9qe/if_you_have_tested_positive_and_have_gone_to_the/")</f>
        <v/>
      </c>
      <c r="G2157" t="inlineStr">
        <is>
          <t>2020-06-23 09:01:23</t>
        </is>
      </c>
      <c r="H2157" t="inlineStr">
        <is>
          <t>Tested Positive - Me</t>
        </is>
      </c>
    </row>
    <row r="2158">
      <c r="A2158" t="inlineStr">
        <is>
          <t>heh9yb</t>
        </is>
      </c>
      <c r="B2158" t="inlineStr">
        <is>
          <t>Tested Positive Today: My Symptoms</t>
        </is>
      </c>
      <c r="C2158" t="inlineStr">
        <is>
          <t>Today I got my results back and I’ve tested positive. I had suspected I’d had it but to actually see it there in front of me made my heart drop. I don’t know how I got it. I want to share a timeline of my symptoms to maybe help others in some way. I’m a 24yo F in GA and I’m otherwise very healthy outside of a minor heart condition.
Day 1: Terrible migraine. Sudden cough. Stayed in bed all day.
Day 2: Felt like I’d been hit by a truck. Terrible migraines, body aches and weakness along with a fever of 101 that would not go down. Coughing still. Felt like a flu. Began isolation as I scheduled my test.
Day 3: Tested, waiting for results. Symptoms same as above. No energy at all. Cough is fading.
Day 4:  Symptoms same as above. Sudden loss of taste and smell about 80%. Sinus pain is worse and very painful in my nose. Coughing on and off. Appetite is suddenly very high and eating everything.
Day 5: Taste and smell is totally gone 100%. Pretty much have confirmed that I’m positive. Can’t even taste or smell garlic. Low grade fevers persist. Coughing has stopped. Nose has a burning sensation deep inside and forehead/eye area hurts BAD.
Day 6: Body aches wear off. Severe painful sinus infection develops.
Day 7: I make an appointment to see a Dr online for my sinus pain. Prescribed Amoxicillin. Started taking it that same day.
Day 8: Symptoms are stable, not getting better but not getting worse. I notice I can taste a little bit, but it’s very much still gone for the most part. Energy levels are better!
Day 9: Sinus pain is fading. Taste is coming back a tiny bit at a time. Energy levels are better, I can finally shower and wash my hair, yay!
Day 10 (today): Got my results.. Positive. Sinus pain on and off. I can smell my hair products and I can taste garlic. Taste/smell is back at maybe 30%. On and off shortness of breath. Lack of energy, I’m so tired. Low grade fever still.
This is the weirdest illness I’ve ever had. It’s very up and down... I’m so over it.. My thoughts are with anyone else going through this. I’ve been taking Tylenol, Vitamin C, and drinking garlic tea + as much water as I can along with resting.
I feel as though I have a mild case and I’m grateful for that, but I’m ready to get better.</t>
        </is>
      </c>
      <c r="D2158" t="n">
        <v>3</v>
      </c>
      <c r="E2158" t="n">
        <v>63</v>
      </c>
      <c r="F2158">
        <f>HYPERLINK("https://www.reddit.com/r/COVID19positive/comments/heh9yb/tested_positive_today_my_symptoms/")</f>
        <v/>
      </c>
      <c r="G2158" t="inlineStr">
        <is>
          <t>2020-06-23 09:01:40</t>
        </is>
      </c>
      <c r="H2158" t="inlineStr">
        <is>
          <t>Tested Positive - Me</t>
        </is>
      </c>
    </row>
    <row r="2159">
      <c r="A2159" t="inlineStr">
        <is>
          <t>hehgv5</t>
        </is>
      </c>
      <c r="B2159" t="inlineStr">
        <is>
          <t>Tested positive today was wondering what I could expect</t>
        </is>
      </c>
      <c r="C2159" t="inlineStr">
        <is>
          <t>This sucks I’m not coping with this well
 So far I have a mild cough, some chills and weird pain in my legs
Anything helps</t>
        </is>
      </c>
      <c r="D2159" t="n">
        <v>2</v>
      </c>
      <c r="E2159" t="n">
        <v>2</v>
      </c>
      <c r="F2159">
        <f>HYPERLINK("https://www.reddit.com/r/COVID19positive/comments/hehgv5/tested_positive_today_was_wondering_what_i_could/")</f>
        <v/>
      </c>
      <c r="G2159" t="inlineStr">
        <is>
          <t>2020-06-23 09:11:30</t>
        </is>
      </c>
      <c r="H2159" t="inlineStr">
        <is>
          <t>Tested Positive - Me</t>
        </is>
      </c>
    </row>
    <row r="2160">
      <c r="A2160" t="inlineStr">
        <is>
          <t>hei4j7</t>
        </is>
      </c>
      <c r="B2160" t="inlineStr">
        <is>
          <t>Pericarditis anyone?</t>
        </is>
      </c>
      <c r="C2160" t="inlineStr">
        <is>
          <t>I spent a couple of weeks symptom free. Now at around 60 days I started with a couple of symptoms again, complete loss of smell for the second time and tachycardia. 
The last 3 days I’ve had a resting heart rate of 90-110 that shoots up to 130 when I stand and walk to another room. If I walk up the stairs wearing my pulse ox it will read 90 the whole way up and once I get to the top to catch my breath it increases rapidly and takes nearly a minute to come back to around 90. Shortness of breath has emerged for about the same time and worsens when I eat or talk. Pulse ox is usually around 96.
I’ve always been mellow in the 60s(bpm) with low blood pressure, so this is new. 
Visited a cardiologist today. ECG was normal; had blood work done and an echo scheduled for tomorrow. He said he saw 5 people so far this week with the same thing (history of Covid19; rapid heart rate at rest that shots up to a high number with minimal exertion; new onset). 
I don’t know what I’m hoping for. All normal tests would make this an anxiety or ptsd issue with scary symptoms. If it is something serious then there would be a treatment for it, but that might include heart surgery.
I know everyone is different but wondering if this story sounds familiar to anyone.</t>
        </is>
      </c>
      <c r="D2160" t="n">
        <v>1</v>
      </c>
      <c r="E2160" t="n">
        <v>7</v>
      </c>
      <c r="F2160">
        <f>HYPERLINK("https://www.reddit.com/r/COVID19positive/comments/hei4j7/pericarditis_anyone/")</f>
        <v/>
      </c>
      <c r="G2160" t="inlineStr">
        <is>
          <t>2020-06-23 09:46:55</t>
        </is>
      </c>
      <c r="H2160" t="inlineStr">
        <is>
          <t>Tested Positive - Me</t>
        </is>
      </c>
    </row>
    <row r="2161">
      <c r="A2161" t="inlineStr">
        <is>
          <t>hei6c2</t>
        </is>
      </c>
      <c r="B2161" t="inlineStr">
        <is>
          <t>Should I get re-tested?</t>
        </is>
      </c>
      <c r="C2161" t="inlineStr">
        <is>
          <t>33 year old Male.  Originally got COVID late March.  First symptoms mild aches, headaches, and fatigue which I drummed up to cycling too hard the previous weekend.  Evening of Monday March 23rd I had a headache but also developed a temp and fever and chills.  Got tested April 2nd and tested positive.  Had a fever ranging from 99-103, headache, diarrhea, anxiety where I thought I couldn't breathe but my SPO2 was at 89-92, dry throat with a very intermittent cough, loss appetite, nausea, and brain fog during my recovery.  Recovery took 12 or so days but I actually tested negative on May 2.  Since then I have been feeling great and even start to cycle again and regained all my lost weight.  I have been ultra careful always sanitizing, wearing a mask, not touching my face but over the past 5 days or so I have had a light itchy scratchy throat, mild running nose in the morning or when I cycle, mild headache, and sore back and neck area.  My oxygen SPO2 is at 97-98 and my temp ranges from 97.8-98.5 depending on the time of the day.
&amp;amp;#x200B;
My first reaction is God, not COVID again but like I mentioned I just started biking again and actually have made some great gains.  I do cycle with a mask on which maybe is why my throat is so itchy combined now with the hotter weather in NY.  I did get a new bike it is more sporty so maybe that would explain my neck and back pain.  I work remotely and occasionally do grocery runs but wear masks, clean off all the touch points, wipe down any food/containers when I get home.  My wife is a nurse but also is very careful and actually gets tested twice a week and has been negative so far.
&amp;amp;#x200B;
Should I wait a day or two more to see if the mild symptoms go away or just try and get tested?
I guess then if I do get retested and are positive is this reinfection or reactivation?</t>
        </is>
      </c>
      <c r="D2161" t="n">
        <v>2</v>
      </c>
      <c r="E2161" t="n">
        <v>7</v>
      </c>
      <c r="F2161">
        <f>HYPERLINK("https://www.reddit.com/r/COVID19positive/comments/hei6c2/should_i_get_retested/")</f>
        <v/>
      </c>
      <c r="G2161" t="inlineStr">
        <is>
          <t>2020-06-23 09:49:31</t>
        </is>
      </c>
      <c r="H2161" t="inlineStr">
        <is>
          <t>Tested Positive - Me</t>
        </is>
      </c>
    </row>
    <row r="2162">
      <c r="A2162" t="inlineStr">
        <is>
          <t>hej18j</t>
        </is>
      </c>
      <c r="B2162" t="inlineStr">
        <is>
          <t>Conscious breathing</t>
        </is>
      </c>
      <c r="C2162" t="inlineStr">
        <is>
          <t>Hey everybody. I (27M, pretty athletic) felt some shortness of breath starting about two weeks ago. I assumed it was allergies or my lungs adjusting because I had quit smoking tobacco last month. Then last Tuesday I fainted after walking down the stairs. Since around then, I have to constantly breathe “manually.” It gets a little scary going to sleep at night and I’ve woken up a few times realizing I wasn’t breathing. I got a nasal swab test on Sunday, still waiting for results. But with the fainting, fatigue, and SOB I’m reasonably sure I have it.
I guess I’m just asking (or maybe begging) for some reassurance from someone who experienced it that this “conscious breathing” will go away in time. It’s so anxiety-inducing, I don’t think I will take autonomous breathing for granted ever again!
Sending love to anybody reading this. This is such a scary time and you guys have really helped me stay calm and informed. 
TLDR - can someone who experienced regular “manual/conscious breathing” tell me how long it lasted for and if they recovered? Thanks again</t>
        </is>
      </c>
      <c r="D2162" t="n">
        <v>2</v>
      </c>
      <c r="E2162" t="n">
        <v>17</v>
      </c>
      <c r="F2162">
        <f>HYPERLINK("https://www.reddit.com/r/COVID19positive/comments/hej18j/conscious_breathing/")</f>
        <v/>
      </c>
      <c r="G2162" t="inlineStr">
        <is>
          <t>2020-06-23 10:34:50</t>
        </is>
      </c>
      <c r="H2162" t="inlineStr">
        <is>
          <t>Presumed Positive - From Test</t>
        </is>
      </c>
    </row>
    <row r="2163">
      <c r="A2163" t="inlineStr">
        <is>
          <t>heje7u</t>
        </is>
      </c>
      <c r="B2163" t="inlineStr">
        <is>
          <t>Minimal Symptoms w/ Complete Loss of Smell (Aspirin “Cured” Me)</t>
        </is>
      </c>
      <c r="C2163" t="inlineStr">
        <is>
          <t>I remember 3 days before I started showing symptoms my fiancée had told me of her inability to smell. Fast forward 3 days and I have a slight fever, body aches which grew worse as time moved, and a migraine headache, which all somehow almost instantaneously disappeared after taking an large dose of aspirin? I now am wondering how effective aspirin might be in certain individuals with the virus considering the variety in severity. Am now positive with absolutely no sense of smell, can’t smell any cleaning chemicals, alcohols, soaps, fragrances, or even my own armpits (rip deodorant).</t>
        </is>
      </c>
      <c r="D2163" t="n">
        <v>1</v>
      </c>
      <c r="E2163" t="n">
        <v>9</v>
      </c>
      <c r="F2163">
        <f>HYPERLINK("https://www.reddit.com/r/COVID19positive/comments/heje7u/minimal_symptoms_w_complete_loss_of_smell_aspirin/")</f>
        <v/>
      </c>
      <c r="G2163" t="inlineStr">
        <is>
          <t>2020-06-23 10:54:05</t>
        </is>
      </c>
      <c r="H2163" t="inlineStr">
        <is>
          <t>Tested Positive - Me</t>
        </is>
      </c>
    </row>
    <row r="2164">
      <c r="A2164" t="inlineStr">
        <is>
          <t>hel9jv</t>
        </is>
      </c>
      <c r="B2164" t="inlineStr">
        <is>
          <t>Presumed positive but negative antibodies</t>
        </is>
      </c>
      <c r="C2164" t="inlineStr">
        <is>
          <t>Hello All. I was feeling cruddy (fatigue) and had a fever for three weeks in March. I wasn’t tested since at the time tests were only for the deathly ill. Anyways, I was given the antibody test last week and it came back negative (IgG). Is it possible I had it and no longer have antibodies? 
I was also deathly ill end of December and into January. I had pneumonia both lungs, asthma exacerbation, lung infections and couldn’t walk on my own without almost passing out due to low oxygen. I honestly thought I would die. I have never in my life been that sick before. I wasn’t able to walk long distances again until March. I tested negative to flu, strep, mono etc. they said it was a virus but didn’t know what it was for sure.</t>
        </is>
      </c>
      <c r="D2164" t="n">
        <v>0</v>
      </c>
      <c r="E2164" t="n">
        <v>6</v>
      </c>
      <c r="F2164">
        <f>HYPERLINK("https://www.reddit.com/r/COVID19positive/comments/hel9jv/presumed_positive_but_negative_antibodies/")</f>
        <v/>
      </c>
      <c r="G2164" t="inlineStr">
        <is>
          <t>2020-06-23 12:31:25</t>
        </is>
      </c>
      <c r="H2164" t="inlineStr">
        <is>
          <t>Presumed Positive - From Doctor</t>
        </is>
      </c>
    </row>
    <row r="2165">
      <c r="A2165" t="inlineStr">
        <is>
          <t>helj4v</t>
        </is>
      </c>
      <c r="B2165" t="inlineStr">
        <is>
          <t>Still positive after an entire month!</t>
        </is>
      </c>
      <c r="C2165" t="inlineStr">
        <is>
          <t>Hello people, I'm kind of worried about my situation and wanted to know if anyone else here went through something similar. I had covid 19 symptoms around 22-25th of the last month. The symptoms included fever, headache, coughs, general lethargy; so I went and got myself tested on 28th to see if I had the virus and the result came out to be positive. I was already in isolation and I extended it to 14 days more from the date of the result. The symptoms all but disappeared after 30th (8th day since the first onset of symptoms), except for my cough which would come and go on various days. The cough disappeared around 14th June and I waited 3 more days just to be sure and got a second test on 18th June which also gave back a positive result. I talked with a doctor who told me sometimes dead lung cells have the covid 19 genome attached to them and maybe your body has not been able to expel all the dead lung cells from the body which is why you are giving a positive test result again. I though okay, that doesn't sound like a big deal. But then three days later, the cough started again, but this time with phlegm. 
Now I have to get tested again because my workplace demands at least one negative test result before I can come back to work and I'm worried what the cause behind my returning cough may be. Is my body expelling those dead lung cells my doctor was telling me about? Is it something else? Is it okay to go and get myself tested after 14 days or not? 
I'd really appreciate if anyone could share their experience regarding this.</t>
        </is>
      </c>
      <c r="D2165" t="n">
        <v>1</v>
      </c>
      <c r="E2165" t="n">
        <v>9</v>
      </c>
      <c r="F2165">
        <f>HYPERLINK("https://www.reddit.com/r/COVID19positive/comments/helj4v/still_positive_after_an_entire_month/")</f>
        <v/>
      </c>
      <c r="G2165" t="inlineStr">
        <is>
          <t>2020-06-23 12:45:22</t>
        </is>
      </c>
      <c r="H2165" t="inlineStr">
        <is>
          <t>Tested Positive - Me</t>
        </is>
      </c>
    </row>
    <row r="2166">
      <c r="A2166" t="inlineStr">
        <is>
          <t>helr6h</t>
        </is>
      </c>
      <c r="B2166" t="inlineStr">
        <is>
          <t>Anxiety about possible Chronic Fatigue Syndrome- Does anyone else feel lie this?</t>
        </is>
      </c>
      <c r="C2166" t="inlineStr">
        <is>
          <t>On April 23rd, I (Female, 19) tested positive and for 2 weeks, I had the classic symptoms (fever, chills, body aches, stuffy nose, loss of taste/smell, and worst of all, brain fog). At the time, I still had online school so I didn't get to rest as much as I should have. I spent every waking hour doing school work and studying, hellbent on getting A's. I still got 7 hours of sleep, but I could,t really rest while awake due to the heavy workload. It also doesn't help that I did yard work on my second week of the illness. 2 months later, all the symptoms are gone except for one lingering symptom; brain fog. I may have relapsed due to returning to fitness too early and now get physically fatigued easily and now have shortness of breath. I feel completely hopeless right now, since even simple, menial tasks leave me wanting to take a nap. I like to read, but I have to take constant breaks,  I now take an hour to read 20 pages, with breaks. I can't even draw without feeling like my head slightly hurts and I end up taking a break. I'm worried that I may have CFS, and if I actually do have CFS, I honestly don't know if I could live that way. I like to be active, and i'm a workaholic who places all their self worth into their grades. If all I could do was rest all day long, I would spiral into depression. In 2 months, I have to return to college. My school is on a hill, and if I'm still out of breath from stuff like a 10 minute walk, just walking the campus might kill me. And if my mental fatigue remains, I won't be able to continue nursing school. It just isn't possible. With the heavy workload and all that stress, I would break down quickly. I just don't know what to do anymore. My parents don't believe me and they keep saying it's all in my head-which it is, but nothing in my control. Why on earth would I let such a thing impact me.</t>
        </is>
      </c>
      <c r="D2166" t="n">
        <v>3</v>
      </c>
      <c r="E2166" t="n">
        <v>30</v>
      </c>
      <c r="F2166">
        <f>HYPERLINK("https://www.reddit.com/r/COVID19positive/comments/helr6h/anxiety_about_possible_chronic_fatigue_syndrome/")</f>
        <v/>
      </c>
      <c r="G2166" t="inlineStr">
        <is>
          <t>2020-06-23 12:57:18</t>
        </is>
      </c>
      <c r="H2166" t="inlineStr">
        <is>
          <t>Tested Positive - Me</t>
        </is>
      </c>
    </row>
    <row r="2167">
      <c r="A2167" t="inlineStr">
        <is>
          <t>helu1o</t>
        </is>
      </c>
      <c r="B2167" t="inlineStr">
        <is>
          <t>Day 7, feeling worse and worried</t>
        </is>
      </c>
      <c r="C2167" t="inlineStr">
        <is>
          <t>Hi friends, one week in and I’ve had pretty mild symptoms so far. Mostly headache, sore throat, fever from 99.5 to 100. Tested on Friday and have some times where I feel great and sometimes where I feel terrible. Right now I feel terrible and I’m getting worried that my chest feels tighter. My pulse ox is 97-98. I know I’m at the critical time where things can turn worse. Can anyone provide any insight on going from mild to hospital? I don’t think my anxiety will help but that’s why I’m reaching out. Good luck to everyone!</t>
        </is>
      </c>
      <c r="D2167" t="n">
        <v>2</v>
      </c>
      <c r="E2167" t="n">
        <v>13</v>
      </c>
      <c r="F2167">
        <f>HYPERLINK("https://www.reddit.com/r/COVID19positive/comments/helu1o/day_7_feeling_worse_and_worried/")</f>
        <v/>
      </c>
      <c r="G2167" t="inlineStr">
        <is>
          <t>2020-06-23 13:01:23</t>
        </is>
      </c>
      <c r="H2167" t="inlineStr">
        <is>
          <t>Tested Positive - Me</t>
        </is>
      </c>
    </row>
    <row r="2168">
      <c r="A2168" t="inlineStr">
        <is>
          <t>hemm1y</t>
        </is>
      </c>
      <c r="B2168" t="inlineStr">
        <is>
          <t>Still forced to isolate after coming home from isolation</t>
        </is>
      </c>
      <c r="C2168" t="inlineStr">
        <is>
          <t>Ugh, I just need to vent. It’s been 13 days since the onset of my symptoms, and I haven’t had any symptoms the past few days. I haven’t had a fever this entire time. I _finally_ got discharged from the isolation facility I was staying at today and was so excited to go home. Isolation really took a toll on my mental health, and I was excited to finally see my family and dog again. I was excited to just see humans again.
Immediately upon returning home, I was asked by my family to wear a mask around the house and isolate in my room for another 4-5 days. They want me to get another covid test and isolate until I get my results back. I’m just so tired of isolation and having people scared to be around me. Obviously, I will get the test done and isolate as they requested. I understand their concerns, and I don’t want to put them at risk, either. 
I’m just so fucking exhausted and stressed. I just got home and need to unpack, but I also have to turn in an essay by tonight. I have no desk to do my work on. My room and bed is a mess from having to pack in a rush. I also have a quiz tomorrow that I need to study for, and I’m starting up working at my internship from home again on Thursday. I just need a break.</t>
        </is>
      </c>
      <c r="D2168" t="n">
        <v>1</v>
      </c>
      <c r="E2168" t="n">
        <v>9</v>
      </c>
      <c r="F2168">
        <f>HYPERLINK("https://www.reddit.com/r/COVID19positive/comments/hemm1y/still_forced_to_isolate_after_coming_home_from/")</f>
        <v/>
      </c>
      <c r="G2168" t="inlineStr">
        <is>
          <t>2020-06-23 13:43:18</t>
        </is>
      </c>
      <c r="H2168" t="inlineStr">
        <is>
          <t>Tested Positive - Me</t>
        </is>
      </c>
    </row>
    <row r="2169">
      <c r="A2169" t="inlineStr">
        <is>
          <t>hemqas</t>
        </is>
      </c>
      <c r="B2169" t="inlineStr">
        <is>
          <t>COVID and pets</t>
        </is>
      </c>
      <c r="C2169" t="inlineStr">
        <is>
          <t>Does anybody have any experiences with the virus and pets? I have 2 cats and I would hate for them to catch my virus. It would be difficult for me to lock them up all day and nobody would want to take care of them since they could be contagious. I looked it up online but it seems there’s no definite answer wether or not they can get it from humans.
Any advice on keeping your pets safe while recovering from the virus?</t>
        </is>
      </c>
      <c r="D2169" t="n">
        <v>2</v>
      </c>
      <c r="E2169" t="n">
        <v>17</v>
      </c>
      <c r="F2169">
        <f>HYPERLINK("https://www.reddit.com/r/COVID19positive/comments/hemqas/covid_and_pets/")</f>
        <v/>
      </c>
      <c r="G2169" t="inlineStr">
        <is>
          <t>2020-06-23 13:49:44</t>
        </is>
      </c>
      <c r="H2169" t="inlineStr">
        <is>
          <t>Tested Positive - Me</t>
        </is>
      </c>
    </row>
    <row r="2170">
      <c r="A2170" t="inlineStr">
        <is>
          <t>heoco7</t>
        </is>
      </c>
      <c r="B2170" t="inlineStr">
        <is>
          <t>I may be trapped in isolation until allergy season is over.</t>
        </is>
      </c>
      <c r="C2170" t="inlineStr">
        <is>
          <t>I thought I would get released from isolation today when my case worker from the health department called me. I've been over all the fatigue, headaches, and body aches for a week now. My only symptoms are a runny, stuffy nose and occasional cough from the drainage. I began showing symptoms on the 30th of last month and tested positive on the 5th. 
I told him I thought it was just allergies, so I was told to take allergy medicine and if it was cleared up when he calls in two days I'll be released. If not I will have to take another test. I'm already on two allergy medications year round, so it looks like I'll have to get scheduled for a test and wait to get the results back. It took a week the first time, and now that we have a new surge and apparently only one lab for the entire state who knows how long this will take.
I thought it was just allergies before I tested positive, so maybe my overly cautious health department is right. That phone call was just such an unexpected disappointment.</t>
        </is>
      </c>
      <c r="D2170" t="n">
        <v>1</v>
      </c>
      <c r="E2170" t="n">
        <v>4</v>
      </c>
      <c r="F2170">
        <f>HYPERLINK("https://www.reddit.com/r/COVID19positive/comments/heoco7/i_may_be_trapped_in_isolation_until_allergy/")</f>
        <v/>
      </c>
      <c r="G2170" t="inlineStr">
        <is>
          <t>2020-06-23 15:16:19</t>
        </is>
      </c>
      <c r="H2170" t="inlineStr">
        <is>
          <t>Tested Positive - Me</t>
        </is>
      </c>
    </row>
    <row r="2171">
      <c r="A2171" t="inlineStr">
        <is>
          <t>heoml2</t>
        </is>
      </c>
      <c r="B2171" t="inlineStr">
        <is>
          <t>Covid headache?</t>
        </is>
      </c>
      <c r="C2171" t="inlineStr">
        <is>
          <t>I'm on day 7 after testing positive and have had a constant headache the whole time. Tylenol and ice packs seem to be no help. has anyone else had this same issue or found any sort of relief?</t>
        </is>
      </c>
      <c r="D2171" t="n">
        <v>1</v>
      </c>
      <c r="E2171" t="n">
        <v>5</v>
      </c>
      <c r="F2171">
        <f>HYPERLINK("https://www.reddit.com/r/COVID19positive/comments/heoml2/covid_headache/")</f>
        <v/>
      </c>
      <c r="G2171" t="inlineStr">
        <is>
          <t>2020-06-23 15:31:14</t>
        </is>
      </c>
      <c r="H2171" t="inlineStr">
        <is>
          <t>Tested Positive - Me</t>
        </is>
      </c>
    </row>
    <row r="2172">
      <c r="A2172" t="inlineStr">
        <is>
          <t>heoqtt</t>
        </is>
      </c>
      <c r="B2172" t="inlineStr">
        <is>
          <t>Possible relapse after 3 months?</t>
        </is>
      </c>
      <c r="C2172" t="inlineStr">
        <is>
          <t>Hey guys, 21F here who was presumed positive by my doctor back in mid-March. Originally I had a quite mild case but just very odd symptoms, had never really felt like that before. I had a phlegmy cough for a few weeks and super intense body aches for two days along with a burning skin sensation, though my temperature never read as a fever. Along with all that I lost my appetite for about a week, and my sense of smell and taste was significantly diminished. I also had some pretty serious IBS type symptoms which I had never experienced before and was suddenly intolerant to coffee which is still no fun :( All in all it was pretty manageable and I only felt really crappy during the two days of body aches. I spent the next couple months feeling pretty good physically aside from some really heightened anxiety about the whole COVID situation, but I am on medication for that now which seems to be working nicely. I got back into skateboarding regularly and never experienced any tachycardia or lung problems. 
Flash forward to now: For the past few weeks I have been dealing with pretty annoying GERD/acid reflux symptoms I think. It started a few weeks ago with intermittent heartburn. I started cutting down on all acidic food in general, sleeping with my head propped up etc., and all of that seemed to be helping. Last week I developed some pretty severe mucus in my throat to the point where I constantly felt I needed to clear my throat but nothing would come up. That has now shifted down into my lungs I think. The past few days I have been feeling mild shortness of breath with an intermittent productive cough, as well as occasional burning pains in my chest - can’t quite tell if it’s the same heartburn pains or something different. I also haven’t had much of an appetite again, although it’s different than last time. I’m finding now that I’m just forgetting to eat because my stomach isn’t sending me those “hunger signals” whereas with my presumed infection in March I was totally repulsed by the idea of food and could barely force myself to eat. Once I remember to eat now, I’m fine and have no problems keeping it down. I also have still had no fever. So sorry for this wall of text, I’m just confused and my doctors haven’t been much help. Does this sound like a possible relapse with more respiratory symptoms? Or does it just seem like I’ve developed a kind of post-viral GERD or something? I’ve never dealt with acid reflux before so I’m not sure if these are all standard symptoms or if it’s pointing more towards COVID.</t>
        </is>
      </c>
      <c r="D2172" t="n">
        <v>1</v>
      </c>
      <c r="E2172" t="n">
        <v>17</v>
      </c>
      <c r="F2172">
        <f>HYPERLINK("https://www.reddit.com/r/COVID19positive/comments/heoqtt/possible_relapse_after_3_months/")</f>
        <v/>
      </c>
      <c r="G2172" t="inlineStr">
        <is>
          <t>2020-06-23 15:37:36</t>
        </is>
      </c>
      <c r="H2172" t="inlineStr">
        <is>
          <t>Presumed Positive - From Doctor</t>
        </is>
      </c>
    </row>
    <row r="2173">
      <c r="A2173" t="inlineStr">
        <is>
          <t>hepxmq</t>
        </is>
      </c>
      <c r="B2173" t="inlineStr">
        <is>
          <t>Got tested today at my nearest COVID-19 center</t>
        </is>
      </c>
      <c r="C2173" t="inlineStr">
        <is>
          <t>All my symptoms started on Saturday
Day 1: I thought that my allergies were acting up because I started with a post nasal drip.
Day 2: still had the post nasal drip but I started to develop a cough with phlegm.
Day 3:  minimal cough with phlegm but I started to feel tired like my eyes were burning. (I associated this with drinking the night before)
Day 4: started getting chills, checked my temperate and it was running at 101.2. The chills come and ago about every 30 seconds. Still have a lot of phlegm. Went to my nearest COVID-19 testing site and got tested. Now I’m just waiting to hear if I’m negative or not.
My question is, most people complain about a dry cough, do you all believe this could be associated to something else?</t>
        </is>
      </c>
      <c r="D2173" t="n">
        <v>1</v>
      </c>
      <c r="E2173" t="n">
        <v>8</v>
      </c>
      <c r="F2173">
        <f>HYPERLINK("https://www.reddit.com/r/COVID19positive/comments/hepxmq/got_tested_today_at_my_nearest_covid19_center/")</f>
        <v/>
      </c>
      <c r="G2173" t="inlineStr">
        <is>
          <t>2020-06-23 16:44:58</t>
        </is>
      </c>
      <c r="H2173" t="inlineStr">
        <is>
          <t>Presumed Positive - From Test</t>
        </is>
      </c>
    </row>
    <row r="2174">
      <c r="A2174" t="inlineStr">
        <is>
          <t>herkfu</t>
        </is>
      </c>
      <c r="B2174" t="inlineStr">
        <is>
          <t>News for long haulers</t>
        </is>
      </c>
      <c r="C2174" t="inlineStr">
        <is>
          <t>" We think  Covid 19 causes this picture that we are calling an " Infectious Vasculitis " . So there's an acute infection , and then there's an inflammation stage, that occurs in the blood vessels . Depending on which blood vessels are affected , then determines what types of residual and long lasting symptoms people have "
- Dr Jennifer Ashton , ABC News Chief  Medical Correspondent</t>
        </is>
      </c>
      <c r="D2174" t="n">
        <v>1</v>
      </c>
      <c r="E2174" t="n">
        <v>15</v>
      </c>
      <c r="F2174">
        <f>HYPERLINK("https://www.reddit.com/r/COVID19positive/comments/herkfu/news_for_long_haulers/")</f>
        <v/>
      </c>
      <c r="G2174" t="inlineStr">
        <is>
          <t>2020-06-23 18:28:09</t>
        </is>
      </c>
      <c r="H2174" t="inlineStr">
        <is>
          <t>Presumed Positive - From Doctor</t>
        </is>
      </c>
    </row>
    <row r="2175">
      <c r="A2175" t="inlineStr">
        <is>
          <t>hern5m</t>
        </is>
      </c>
      <c r="B2175" t="inlineStr">
        <is>
          <t>day 8/9 of symptoms, bad anxiety pls help</t>
        </is>
      </c>
      <c r="C2175" t="inlineStr">
        <is>
          <t>I started showing symptoms Monday (June 15) with a low grade fever (99). Next day my fever stayed the same but I could not stop vomiting along with diarrhea. Vomiting got so bad I went to the ER because I was dehydrated. Fever stayed at 98. They prescribed me anti nausea medicine that i’ve been taking since last Wednesday and i’ve been able to keep things down but i’ve started getting pain in my back and random pain in my stomach and lungs? idk if its anxiety but i think i’m able to breathe right but sometimes it hurts. I’m on day 8/9 of showing symptoms can anyone tell me if they think I will get worse? or if i will begin to recover? Some other minor symptoms like ringing ears and dizziness have gotten better in the past two days. Someone please help me. Im also scared the nausea will come back once I run out of pills.</t>
        </is>
      </c>
      <c r="D2175" t="n">
        <v>1</v>
      </c>
      <c r="E2175" t="n">
        <v>30</v>
      </c>
      <c r="F2175">
        <f>HYPERLINK("https://www.reddit.com/r/COVID19positive/comments/hern5m/day_89_of_symptoms_bad_anxiety_pls_help/")</f>
        <v/>
      </c>
      <c r="G2175" t="inlineStr">
        <is>
          <t>2020-06-23 18:32:53</t>
        </is>
      </c>
      <c r="H2175" t="inlineStr">
        <is>
          <t>Tested Positive - Me</t>
        </is>
      </c>
    </row>
    <row r="2176">
      <c r="A2176" t="inlineStr">
        <is>
          <t>hes07i</t>
        </is>
      </c>
      <c r="B2176" t="inlineStr">
        <is>
          <t>Tested Positive - Got results today</t>
        </is>
      </c>
      <c r="C2176" t="inlineStr">
        <is>
          <t>Hi, I recently got tested and it came back. It looks like i’m asymptomatic and i don’t really know when i can see how i can tell if i’m getting better or not bc i’m not having the symptoms. I did go to the dr bc i thought i had strep(swollen and tender tonsils and very tired) and they gave me medicine for tonsillitis bc i didn’t test positive for strep. my tonsillitis is gone has been since the 11th. i only recently got tested bc my mother was pushing for me to get it done just to be sure. I was completely convinced i didn’t have it and i just had weird strep. i don’t really know what exactly to do here bc i have no symptoms right now and it could be a false positive so i don’t know how worried I should be? Any advice is helpful</t>
        </is>
      </c>
      <c r="D2176" t="n">
        <v>1</v>
      </c>
      <c r="E2176" t="n">
        <v>9</v>
      </c>
      <c r="F2176">
        <f>HYPERLINK("https://www.reddit.com/r/COVID19positive/comments/hes07i/tested_positive_got_results_today/")</f>
        <v/>
      </c>
      <c r="G2176" t="inlineStr">
        <is>
          <t>2020-06-23 18:56:55</t>
        </is>
      </c>
      <c r="H2176" t="inlineStr">
        <is>
          <t>Tested Positive - Me</t>
        </is>
      </c>
    </row>
    <row r="2177">
      <c r="A2177" t="inlineStr">
        <is>
          <t>hes14j</t>
        </is>
      </c>
      <c r="B2177" t="inlineStr">
        <is>
          <t>36 hours into 14 day quarantine</t>
        </is>
      </c>
      <c r="C2177" t="inlineStr">
        <is>
          <t>Wife got call today...test came back negative. They are thinking false negative. Wheezing through night, chest pain, persistent headache, and coughing. She was picking up room and laundry, against my advice, and about passed out.  She is a workaholic who hasnt stopped all day, and we just got into it because she hasnt been taking meds, nor telling me when she takes tylenol, which is a fever reducer. So no idea if she has fever or not.  O2 has been steady 97-98 all day with elevated heart rate hovering around 75-80.
I am crazy stressed. Told her work doesn't matter they will survive. Family matters and we wont survive if she dies.  Grim...I know.
I am just venting. Just wear a mask how hard is that?  Stay home don't go out. Don't get comfortable like we did hanging with a small group of people.  If you get this, and are lucky enough to come home, stick to the plan they tell you.  She looks worse than last night and am trying not to think about it.</t>
        </is>
      </c>
      <c r="D2177" t="n">
        <v>1</v>
      </c>
      <c r="E2177" t="n">
        <v>2</v>
      </c>
      <c r="F2177">
        <f>HYPERLINK("https://www.reddit.com/r/COVID19positive/comments/hes14j/36_hours_into_14_day_quarantine/")</f>
        <v/>
      </c>
      <c r="G2177" t="inlineStr">
        <is>
          <t>2020-06-23 18:58:29</t>
        </is>
      </c>
      <c r="H2177" t="inlineStr">
        <is>
          <t>Presumed Positive - From Doctor</t>
        </is>
      </c>
    </row>
    <row r="2178">
      <c r="A2178" t="inlineStr">
        <is>
          <t>hesjp6</t>
        </is>
      </c>
      <c r="B2178" t="inlineStr">
        <is>
          <t>Got my positive results today. Here is my executive in case it helps anyone</t>
        </is>
      </c>
      <c r="C2178" t="inlineStr">
        <is>
          <t xml:space="preserve">
Symptoms started June 14, 33F, no underlying conditions
Day 1- Headache, diarrhea 
Day 2- diarrhea, sore throat, nasal congestion, diminished sense of taste and smell
Day 3 - Sore throat, nasal congestion, diminished sense of taste and smell
Day 4-  Sore throat, post nasal drip, diminished sense of taste and smell, sore back
Day 5- Got tested -pressure in ears, no taste or smell, throat hurts randomly 
Day 6-no taste or smell, slight nasal congestion, slight pressure in ears
Day 7- no taste or smell, slight nasal congestion, slight pressure in ears, no appetite
Day 8- limited smell and taste, slight tickle at bottom of my throat, diarrhea, no appetite
Day 9- Limited smell and taste, tickle in my throat giving me the urge to cough once every few hours, diarrhea once this morning, lack of energy, very limited appetite (ate once) started taking Vitamin C and D and Zinc
Day 10- lack of smell and taste, lack of appetite (ate once), small bit of nausea that went away after a nap</t>
        </is>
      </c>
      <c r="D2178" t="n">
        <v>1</v>
      </c>
      <c r="E2178" t="n">
        <v>14</v>
      </c>
      <c r="F2178">
        <f>HYPERLINK("https://www.reddit.com/r/COVID19positive/comments/hesjp6/got_my_positive_results_today_here_is_my/")</f>
        <v/>
      </c>
      <c r="G2178" t="inlineStr">
        <is>
          <t>2020-06-23 19:32:06</t>
        </is>
      </c>
      <c r="H2178" t="inlineStr">
        <is>
          <t>Tested Positive - Me</t>
        </is>
      </c>
    </row>
    <row r="2179">
      <c r="A2179" t="inlineStr">
        <is>
          <t>hesozw</t>
        </is>
      </c>
      <c r="B2179" t="inlineStr">
        <is>
          <t>48 days positive and still struggling.</t>
        </is>
      </c>
      <c r="C2179" t="inlineStr">
        <is>
          <t>What started out as a fever turned into extreme body aches, a throat that felt like acid was poured down it and the inability to breath. I am a 26yo/F with a few pre existing immune issues and severe asthma . My fever lasted 42 days and it was a living hell for weeks. I started feeling better for about a week and a few days ago I just started regressing. My head is pounding, I’m nauseous and my cough sounds like a barking seal. I also have a really new fun symptom, both my hips hurt so bad I can barely walk. I received a call from the health department checking on me and when I told them
About the joint issues they just said “that’s actually been a very common complaint” has anyone else had this issue. I’m just overly frustrated that 6 weeks in and I’m still not getting better. I want to go back to work but at the same time am terrified that I will get this virus again. The unknowns are scary with this virus because it feels like everyone is just winging it.</t>
        </is>
      </c>
      <c r="D2179" t="n">
        <v>1</v>
      </c>
      <c r="E2179" t="n">
        <v>24</v>
      </c>
      <c r="F2179">
        <f>HYPERLINK("https://www.reddit.com/r/COVID19positive/comments/hesozw/48_days_positive_and_still_struggling/")</f>
        <v/>
      </c>
      <c r="G2179" t="inlineStr">
        <is>
          <t>2020-06-23 19:41:43</t>
        </is>
      </c>
      <c r="H2179" t="inlineStr">
        <is>
          <t>Tested Positive - Me</t>
        </is>
      </c>
    </row>
    <row r="2180">
      <c r="A2180" t="inlineStr">
        <is>
          <t>hetpfs</t>
        </is>
      </c>
      <c r="B2180" t="inlineStr">
        <is>
          <t>3 months later can’t take hot shower</t>
        </is>
      </c>
      <c r="C2180" t="inlineStr">
        <is>
          <t>I tested positive in March, was really sick, much better now, ( still have rash and fatigue) but does anyone else (who tested positive please) feel hot water drastically more than they used to? I have my showers on tepid now because the temps I used to use feel like they are burning my skin.</t>
        </is>
      </c>
      <c r="D2180" t="n">
        <v>1</v>
      </c>
      <c r="E2180" t="n">
        <v>4</v>
      </c>
      <c r="F2180">
        <f>HYPERLINK("https://www.reddit.com/r/COVID19positive/comments/hetpfs/3_months_later_cant_take_hot_shower/")</f>
        <v/>
      </c>
      <c r="G2180" t="inlineStr">
        <is>
          <t>2020-06-23 20:50:34</t>
        </is>
      </c>
      <c r="H2180" t="inlineStr">
        <is>
          <t>Tested Positive - Me</t>
        </is>
      </c>
    </row>
    <row r="2181">
      <c r="A2181" t="inlineStr">
        <is>
          <t>hetpgx</t>
        </is>
      </c>
      <c r="B2181" t="inlineStr">
        <is>
          <t>My symptoms</t>
        </is>
      </c>
      <c r="C2181" t="inlineStr">
        <is>
          <t>I tested positive on the 22nd but I’ve had symptoms since before then ( for about 5 days to be exact ). It started off with a ridiculous headache that wouldn’t go away no matter what I took. I also had a low grade fever as well. My fever is still ongoing and spiked to about 102.4 last night. Its gone down since then and is around 100.9 the last time I checked. I have diarrhea, body aches specifically in my back some stomach pain, a constant cough, and I’ve also experienced nausea a few times as well. I’ve been trying to remain as active as I can through all of this and take Tylenol and immune boosters while also keeping myself hydrated. Forcing myself to eat since I have a loss of appetite.</t>
        </is>
      </c>
      <c r="D2181" t="n">
        <v>1</v>
      </c>
      <c r="E2181" t="n">
        <v>6</v>
      </c>
      <c r="F2181">
        <f>HYPERLINK("https://www.reddit.com/r/COVID19positive/comments/hetpgx/my_symptoms/")</f>
        <v/>
      </c>
      <c r="G2181" t="inlineStr">
        <is>
          <t>2020-06-23 20:50:38</t>
        </is>
      </c>
      <c r="H2181" t="inlineStr">
        <is>
          <t>Tested Positive - Me</t>
        </is>
      </c>
    </row>
    <row r="2182">
      <c r="A2182" t="inlineStr">
        <is>
          <t>heuzb6</t>
        </is>
      </c>
      <c r="B2182" t="inlineStr">
        <is>
          <t>covid is unstoppable</t>
        </is>
      </c>
      <c r="C2182" t="inlineStr">
        <is>
          <t>Folks,
This virus is unreasonablly contagious. There is no way to put it. 
I tested positive last week. My curiosity and boredom backfired at me and literally weekend one of stepping out of quarantine I ended up getting it. Living in ornage county California , I can tell you that beaches, public places, restaurants, bars have never been more crowded. It's crazy how little people care about covid. Most of friends had not been in quarantine all year and called me out saying how nothing has hapnd to them all these months. I was cautious and did step out for workouts but avoided large gatherings and bars. After things reopened, I stepped out for a weekend. Looking at how packed at the public places were and people not even wearing masks, I thought I was over cautious. Few days later I tested positive. I was unlucky and experienced symptoms 4 days after. 
Day 1 - energy level low and slight body pain. Mild dry coughing. Ordered test kit that night. 
Day 2 - body ache is getting worse. Chills and mild cough. Getting feverish. Got tested. 
Day 3 - rough night with crazy sweating. Changed shirts 4 times. Bodyaches continue and are bad. Coughing has stopped. Chest feels bit heavy when taking deep breath. Got a call in the night from a doctor about being positive. I wasn't surprised but my heart dropped. 
Day 4 - woke up and had vomiting. Weakness and fever was gone. Body ache was better and I could walk and function well. Went to the ER after vomiting and got tests done for x-ray and blood work. Came back ok. 
Day 5 - had more sweating at night but less than previous two nights. I noticed diarrhea which lasted all day. No fever or cough. Bodyaches continue but not as bad. Felt headache towards the night. 
Day 6 - pounding headaches. Feeling weak, mild bodyache. Dizzy. Eyes are itching. 
Day 7 ( today) - headaches have been consistent. Every step I take my head hurts. Energy is better. Still experiencing bodyaches and eye is itching. Been feeling lightly like coughing wants to come back. 
I have been taking Tylenol and NyQuil all along. Didn't get any prescription. Recovery has been slow and feels like I just can't trust this virus. Each day has been something new. I am doing my best to rest and homecare. 
This virus has destroyed our world. I'd not now, it's possible I would have had it soon. Only way to avoid is to continue quarantine life and doing what you have been asked with mask, diet, social distance. There is no alternative. Contamination is inevitable and you are walking on eggshells. I wish I had not let my guard down just for a weekend. I am hoping I walk away from this a changed person with a changed mindset and improved rationale about not challenging your odds. It can be you next! Please don't let your guard down. If this thing has long term effects on body, it obviously isn't worth it. My best wishes with you all. If this virus had started in any country other than China, the world would not be in this situation. They have destroyed more than we can measure at this time.</t>
        </is>
      </c>
      <c r="D2182" t="n">
        <v>1</v>
      </c>
      <c r="E2182" t="n">
        <v>115</v>
      </c>
      <c r="F2182">
        <f>HYPERLINK("https://www.reddit.com/r/COVID19positive/comments/heuzb6/covid_is_unstoppable/")</f>
        <v/>
      </c>
      <c r="G2182" t="inlineStr">
        <is>
          <t>2020-06-23 22:24:21</t>
        </is>
      </c>
      <c r="H2182" t="inlineStr">
        <is>
          <t>Tested Positive - Me</t>
        </is>
      </c>
    </row>
    <row r="2183">
      <c r="A2183" t="inlineStr">
        <is>
          <t>hevc55</t>
        </is>
      </c>
      <c r="B2183" t="inlineStr">
        <is>
          <t>Azithromycin for pneumonia</t>
        </is>
      </c>
      <c r="C2183" t="inlineStr">
        <is>
          <t>Doctor explained to me I’m taking Azithromycin to avoid a bacterial infection from my current pneumonia. I have no coughs or fever; my understanding from research and reading is that we are working to avoid this pneumonia from becoming bacterial...am i correct? Also I am now having crazy heart beats... I was washing dishes and it went up to 152 just to crash at 68 in a few seconds when I sat down. Please someone out there help me as I am scared at this point!</t>
        </is>
      </c>
      <c r="D2183" t="n">
        <v>1</v>
      </c>
      <c r="E2183" t="n">
        <v>5</v>
      </c>
      <c r="F2183">
        <f>HYPERLINK("https://www.reddit.com/r/COVID19positive/comments/hevc55/azithromycin_for_pneumonia/")</f>
        <v/>
      </c>
      <c r="G2183" t="inlineStr">
        <is>
          <t>2020-06-23 22:50:02</t>
        </is>
      </c>
      <c r="H2183" t="inlineStr">
        <is>
          <t>Tested Positive - Me</t>
        </is>
      </c>
    </row>
    <row r="2184">
      <c r="A2184" t="inlineStr">
        <is>
          <t>hevkig</t>
        </is>
      </c>
      <c r="B2184" t="inlineStr">
        <is>
          <t>Anything to maintain a dry cough?</t>
        </is>
      </c>
      <c r="C2184" t="inlineStr">
        <is>
          <t>Currently my entire family has it however me (23) and younger brother (21) are doing perfectly fine and almost out of it. However my mom (49) and dad (58) can’t shake off the dry cough. They are doing fine as well, they can breathe perfectly fine but they both have a constant cough and some chest pain. They are both about a week in since testing positive and I know it won’t go away immediately but is there anything they can take to try to suppress the cough?</t>
        </is>
      </c>
      <c r="D2184" t="n">
        <v>1</v>
      </c>
      <c r="E2184" t="n">
        <v>2</v>
      </c>
      <c r="F2184">
        <f>HYPERLINK("https://www.reddit.com/r/COVID19positive/comments/hevkig/anything_to_maintain_a_dry_cough/")</f>
        <v/>
      </c>
      <c r="G2184" t="inlineStr">
        <is>
          <t>2020-06-23 23:07:25</t>
        </is>
      </c>
      <c r="H2184" t="inlineStr">
        <is>
          <t>Tested Positive - Family</t>
        </is>
      </c>
    </row>
    <row r="2185">
      <c r="A2185" t="inlineStr">
        <is>
          <t>hevt2s</t>
        </is>
      </c>
      <c r="B2185" t="inlineStr">
        <is>
          <t>Roommate etiquette - responsible but I think I’m positive. Roommate is guilt tripping extremely hard.</t>
        </is>
      </c>
      <c r="C2185" t="inlineStr">
        <is>
          <t>I went kayaking with my best friend and I think I might have gotten covid. It’s day 6 and I finally had a sore throat and cough. I’m hoping it won’t get much worse and I’ll be the lucky few. 
I literally haven’t left my room other to shower and wear a mask inside now. The moment my friend tested positive I informed my roommate. Honestly, I almost regret doing so before my actual test tomorrow. 
What’s the proper protocol in this situation? He immediately left to another house of his that he rents out but I feel like he’s guilt tripping me incredibly hard (maybe I’m just anxiety ridden and paranoid). The cheapest Airbnb for 2 weeks is over $1,300 and I can’t really afford that. I feel strange living in his house being the person at fault for his exposure when he’s inconvenienced somewhere else that has been losing power due to wild fires. 
Should I be putting this on my credit card and leaving so he can return? I feel like this is going to ruin our roommate relationship and I’m definitely going to be on the lookout for studio apartments in the next few months.</t>
        </is>
      </c>
      <c r="D2185" t="n">
        <v>1</v>
      </c>
      <c r="E2185" t="n">
        <v>9</v>
      </c>
      <c r="F2185">
        <f>HYPERLINK("https://www.reddit.com/r/COVID19positive/comments/hevt2s/roommate_etiquette_responsible_but_i_think_im/")</f>
        <v/>
      </c>
      <c r="G2185" t="inlineStr">
        <is>
          <t>2020-06-23 23:25:50</t>
        </is>
      </c>
      <c r="H2185" t="inlineStr">
        <is>
          <t>Presumed Positive - From Test</t>
        </is>
      </c>
    </row>
    <row r="2186">
      <c r="A2186" t="inlineStr">
        <is>
          <t>heweb1</t>
        </is>
      </c>
      <c r="B2186" t="inlineStr">
        <is>
          <t>Not as asymptomatic as I thought? (Day 12?)</t>
        </is>
      </c>
      <c r="C2186" t="inlineStr">
        <is>
          <t>Hey guys, F 21 from FL here. For context, I’m immunocompromised (genetic and from medication), overweight, huge family history of heart issues, and suffering from intense anxiety &amp;amp; panic attacks.
I tested positive for COVID on 6/13 and Saturday will be my 3rd week of infection (at least as far as I’m aware- I have no idea when I got it and testing took a week for results so I’m using 6/13 as a “minimum” starting date). I’d assumed I was asymptomatic up until this week. 
The weirdest thing started up- the inside of my nose started burning? It feels like the buildup right before you sneeze without the payoff. It’s continued on and off for a few days. I’ve also been feeling a dry, almost burning feeling in my chest as well. It’s not necessarily hard to breathe, but it’s definitely not comfortable. No coughing, thankfully.
These symptoms had me thinking about an odd feeling I’ve been having throughout this month- I’ve had the most random, short bursts of high blood pressure and fast heart rate, followed by an almost disturbingly more mellow beat once it passes, like nothing happened. It sounds weird, but I’ve seen a few other people mention cardiac issues as well so it has me thinking. Slight chest pain + fast BPM usually accompanies my more intense panic attacks, but this is just so different. Maybe it’s just stress, but I can’t help but be suspicious. Has anyone else experienced this?
I just moved to this area, so I don’t really have a primary to turn to as of rn if things get too weird. The ER seems intense for anything other than absolutely life threatening moments, so I’m kind of at a loss for now. Thankfully my roommates are helping me through it, but there’s only so much anyone can do. ¯\_(ツ)_/¯
Sorry this is all kind of disjointed, I’m still coming to terms with all this. 
Hoping everyone is doing alright or will recover soon. 💕</t>
        </is>
      </c>
      <c r="D2186" t="n">
        <v>1</v>
      </c>
      <c r="E2186" t="n">
        <v>0</v>
      </c>
      <c r="F2186">
        <f>HYPERLINK("https://www.reddit.com/r/COVID19positive/comments/heweb1/not_as_asymptomatic_as_i_thought_day_12/")</f>
        <v/>
      </c>
      <c r="G2186" t="inlineStr">
        <is>
          <t>2020-06-24 00:12:19</t>
        </is>
      </c>
      <c r="H2186" t="inlineStr">
        <is>
          <t>Tested Positive - Me</t>
        </is>
      </c>
    </row>
    <row r="2187">
      <c r="A2187" t="inlineStr">
        <is>
          <t>hewowd</t>
        </is>
      </c>
      <c r="B2187" t="inlineStr">
        <is>
          <t>No one is safe</t>
        </is>
      </c>
      <c r="C2187" t="inlineStr">
        <is>
          <t>22yr old healthy human
Had to go back to work May 28th due to having to pay my bills.
June 23rd got tested due to sister getting tested positive of having been in contact with it. And came out positive to have been in contact with it...
I knew this shit was going to be inevitable but I was not ready for it because I'm an idiot.
Can't go back to work and people have to complain to the government just to extend unemployment money, because they would rather see people die than to stop the flow of piece of shit money!
I just want to vomit out my frustration on here, so please take my cursing with a grain of salt I'm just frustrated. 
What now, should I just sit on my ass and beg Trump for money to feed myself with? 
I would like to hear what others are doing.</t>
        </is>
      </c>
      <c r="D2187" t="n">
        <v>1</v>
      </c>
      <c r="E2187" t="n">
        <v>7</v>
      </c>
      <c r="F2187">
        <f>HYPERLINK("https://www.reddit.com/r/COVID19positive/comments/hewowd/no_one_is_safe/")</f>
        <v/>
      </c>
      <c r="G2187" t="inlineStr">
        <is>
          <t>2020-06-24 00:35:46</t>
        </is>
      </c>
      <c r="H2187" t="inlineStr">
        <is>
          <t>Tested Positive</t>
        </is>
      </c>
    </row>
    <row r="2188">
      <c r="A2188" t="inlineStr">
        <is>
          <t>heyeuq</t>
        </is>
      </c>
      <c r="B2188" t="inlineStr">
        <is>
          <t>Questions</t>
        </is>
      </c>
      <c r="C2188" t="inlineStr">
        <is>
          <t>I started feeling sick on 6/1 and I took a test on 6/5 and have yet to receive my results for it. I got impatient and went to a different place and took at test on 6/20 and I got my results yesterday and I tested positive. How long will it be until I test negative? I’m still feeling a bit of chest tightness and I have a slight cough. Anxiety of trying to recover from this thing is getting the best of me. If anyone has any tips please let me know.</t>
        </is>
      </c>
      <c r="D2188" t="n">
        <v>1</v>
      </c>
      <c r="E2188" t="n">
        <v>3</v>
      </c>
      <c r="F2188">
        <f>HYPERLINK("https://www.reddit.com/r/COVID19positive/comments/heyeuq/questions/")</f>
        <v/>
      </c>
      <c r="G2188" t="inlineStr">
        <is>
          <t>2020-06-24 03:05:30</t>
        </is>
      </c>
      <c r="H2188" t="inlineStr">
        <is>
          <t>Tested Positive - Me</t>
        </is>
      </c>
    </row>
    <row r="2189">
      <c r="A2189" t="inlineStr">
        <is>
          <t>hez0fg</t>
        </is>
      </c>
      <c r="B2189" t="inlineStr">
        <is>
          <t>Experiencing post-COVID Autonomic Dysfunction?</t>
        </is>
      </c>
      <c r="C2189" t="inlineStr">
        <is>
          <t>I’m (27F) on day 101 and I’m still dealing with ear pain, headaches and feeling super dizzy when I stand up. The doctor has now referred me to a cardiologist to look into autonomic dysfunction. 
Im wondering if anyone else in a similar position is dealing with problems with their nervous system too?</t>
        </is>
      </c>
      <c r="D2189" t="n">
        <v>1</v>
      </c>
      <c r="E2189" t="n">
        <v>126</v>
      </c>
      <c r="F2189">
        <f>HYPERLINK("https://www.reddit.com/r/COVID19positive/comments/hez0fg/experiencing_postcovid_autonomic_dysfunction/")</f>
        <v/>
      </c>
      <c r="G2189" t="inlineStr">
        <is>
          <t>2020-06-24 03:58:42</t>
        </is>
      </c>
      <c r="H2189" t="inlineStr">
        <is>
          <t>Tested Positive - Me</t>
        </is>
      </c>
    </row>
    <row r="2190">
      <c r="A2190" t="inlineStr">
        <is>
          <t>hezdui</t>
        </is>
      </c>
      <c r="B2190" t="inlineStr">
        <is>
          <t>I’m positive and partner is negative</t>
        </is>
      </c>
      <c r="C2190" t="inlineStr">
        <is>
          <t>I have been working for a covid crisis team so have to have frequent tests. Two weeks ago on Monday I came back positive, I was instructed to get another test by work the following Monday and now that has come back positive too. My partner has come back negative both times? 
I have had no symptoms except a sour taste in my mouth just before I got tested the first time. 
Any thoughts on how my partner hasn’t caught it yet? He has not been isolating from me in the house. 
I just want to get out in nature but looking like another two weeks of quarantine atm.</t>
        </is>
      </c>
      <c r="D2190" t="n">
        <v>1</v>
      </c>
      <c r="E2190" t="n">
        <v>29</v>
      </c>
      <c r="F2190">
        <f>HYPERLINK("https://www.reddit.com/r/COVID19positive/comments/hezdui/im_positive_and_partner_is_negative/")</f>
        <v/>
      </c>
      <c r="G2190" t="inlineStr">
        <is>
          <t>2020-06-24 04:29:57</t>
        </is>
      </c>
      <c r="H2190" t="inlineStr">
        <is>
          <t>Tested Positive - Me</t>
        </is>
      </c>
    </row>
    <row r="2191">
      <c r="A2191" t="inlineStr">
        <is>
          <t>hezklh</t>
        </is>
      </c>
      <c r="B2191" t="inlineStr">
        <is>
          <t>Trouble sleeping</t>
        </is>
      </c>
      <c r="C2191" t="inlineStr">
        <is>
          <t>Anyone else tested positive for COVID and is having a hard time getting good, restful sleep? I sleep for a bit but wake up thirsty or sweating or feeling impotent cause I want to sleep a full 8 hours but can’t.</t>
        </is>
      </c>
      <c r="D2191" t="n">
        <v>1</v>
      </c>
      <c r="E2191" t="n">
        <v>4</v>
      </c>
      <c r="F2191">
        <f>HYPERLINK("https://www.reddit.com/r/COVID19positive/comments/hezklh/trouble_sleeping/")</f>
        <v/>
      </c>
      <c r="G2191" t="inlineStr">
        <is>
          <t>2020-06-24 04:45:00</t>
        </is>
      </c>
      <c r="H2191" t="inlineStr">
        <is>
          <t>Tested Positive - Me</t>
        </is>
      </c>
    </row>
    <row r="2192">
      <c r="A2192" t="inlineStr">
        <is>
          <t>hf00hl</t>
        </is>
      </c>
      <c r="B2192" t="inlineStr">
        <is>
          <t>No igM or igG antibodies</t>
        </is>
      </c>
      <c r="C2192" t="inlineStr">
        <is>
          <t>Been ill for 7 weeks, just had a antibody test for igM and igG.....negative, how is my body ever going to be able to clear this virus without antibodies?</t>
        </is>
      </c>
      <c r="D2192" t="n">
        <v>1</v>
      </c>
      <c r="E2192" t="n">
        <v>11</v>
      </c>
      <c r="F2192">
        <f>HYPERLINK("https://www.reddit.com/r/COVID19positive/comments/hf00hl/no_igm_or_igg_antibodies/")</f>
        <v/>
      </c>
      <c r="G2192" t="inlineStr">
        <is>
          <t>2020-06-24 05:18:40</t>
        </is>
      </c>
      <c r="H2192" t="inlineStr">
        <is>
          <t>Tested Positive - Me</t>
        </is>
      </c>
    </row>
    <row r="2193">
      <c r="A2193" t="inlineStr">
        <is>
          <t>hf04w2</t>
        </is>
      </c>
      <c r="B2193" t="inlineStr">
        <is>
          <t>Hospital isolation effect</t>
        </is>
      </c>
      <c r="C2193" t="inlineStr">
        <is>
          <t>In my 15 days of isolation admitted at the hospital I get some weird reaction to my body and mental health. I dont get to see often people inside my room. They just came in for triage and giving me antibiotics. 
There comes a time i just cant sleep the whole night and i feel so anxious and paranoid every time i wake up at dawn. Sleeping an hour seems like sleeping the whole 8 hours. Thats when i realized something was wrong inside my head. I get to have nightmares, dreaming of people i dont know and they are bubbled inside my head and anytime would blow up. There are instances that i even think of who i am and what i did inside the hospital room, i think i lost my since of focus and well being. 
I feel so scared of the effects of isolation. In my whole life i dont believe in depression or mental health. Random people who experience this makes me think they are weak. Now, that i find myself almost depressed I start to feel that its true ans not a joke.
To overcome everything on depression and Covid19 i ask nurses a lil time for them to talk to me. I cant get enough talking on the phone video calling from friends and family. The hardest part of being positivs is being isolated with no one to care for you but your own. Hows your isolation affected you?</t>
        </is>
      </c>
      <c r="D2193" t="n">
        <v>1</v>
      </c>
      <c r="E2193" t="n">
        <v>17</v>
      </c>
      <c r="F2193">
        <f>HYPERLINK("https://www.reddit.com/r/COVID19positive/comments/hf04w2/hospital_isolation_effect/")</f>
        <v/>
      </c>
      <c r="G2193" t="inlineStr">
        <is>
          <t>2020-06-24 05:27:42</t>
        </is>
      </c>
      <c r="H2193" t="inlineStr">
        <is>
          <t>Tested Positive - Me</t>
        </is>
      </c>
    </row>
    <row r="2194">
      <c r="A2194" t="inlineStr">
        <is>
          <t>hf28ri</t>
        </is>
      </c>
      <c r="B2194" t="inlineStr">
        <is>
          <t>After COVID..</t>
        </is>
      </c>
      <c r="C2194" t="inlineStr">
        <is>
          <t>Hi! 
So I tested positive and now I’m negative for three weeks now. I’ve been having my heart pounding out of my chest and high resting heart rate. Along with dizziness sometimes. 
My main concern is everyone In the covid group I’m in on Facebook also has these issues after having covid. And they get mad if it’s brushed off as anxiety. I know I have anxiety and panic so bad normally. So I’m scared it’s like done something to my heart or maybe everyone has anxiety and they don’t realize it cause they haven’t had it before. 
Idk what tests i should be getting or what others experiences are with their heart pounding but is anyone else scared</t>
        </is>
      </c>
      <c r="D2194" t="n">
        <v>3</v>
      </c>
      <c r="E2194" t="n">
        <v>31</v>
      </c>
      <c r="F2194">
        <f>HYPERLINK("https://www.reddit.com/r/COVID19positive/comments/hf28ri/after_covid/")</f>
        <v/>
      </c>
      <c r="G2194" t="inlineStr">
        <is>
          <t>2020-06-24 07:44:20</t>
        </is>
      </c>
      <c r="H2194" t="inlineStr">
        <is>
          <t>Tested Positive - Me</t>
        </is>
      </c>
    </row>
    <row r="2195">
      <c r="A2195" t="inlineStr">
        <is>
          <t>hf2oh6</t>
        </is>
      </c>
      <c r="B2195" t="inlineStr">
        <is>
          <t>I think I actually beat this thing!</t>
        </is>
      </c>
      <c r="C2195" t="inlineStr">
        <is>
          <t>Day 22, M19, I have practically no symptoms! I hope I’m not jumping the gun by saying I’m better but I’ve kind of tested my body and it’s reacted well. I have drank caffeine and alcohol, which many people say is a cause for relapse, and have been okay. I’m still a little scared to try working out but I’m gonna give it a shot this week. The only noticeable thing I have a problem with is feeling tired throughout the day. I really hope this is the last of it. To the long haulers here, I really hope you guys start to get better. I’ve been reading this sub for awhile and the thing that comforted me is that so many people are having these long term issues that doctors won’t be able to ignore it and hopefully we all get some answers soon. If I do happen to relapse, you bet your ass I’ll be back. Good luck and best wishes for everyone!!</t>
        </is>
      </c>
      <c r="D2195" t="n">
        <v>3</v>
      </c>
      <c r="E2195" t="n">
        <v>8</v>
      </c>
      <c r="F2195">
        <f>HYPERLINK("https://www.reddit.com/r/COVID19positive/comments/hf2oh6/i_think_i_actually_beat_this_thing/")</f>
        <v/>
      </c>
      <c r="G2195" t="inlineStr">
        <is>
          <t>2020-06-24 08:09:55</t>
        </is>
      </c>
      <c r="H2195" t="inlineStr">
        <is>
          <t>Tested Positive - Me</t>
        </is>
      </c>
    </row>
    <row r="2196">
      <c r="A2196" t="inlineStr">
        <is>
          <t>hf3kg5</t>
        </is>
      </c>
      <c r="B2196" t="inlineStr">
        <is>
          <t>Day 90 - last remaining symptom</t>
        </is>
      </c>
      <c r="C2196" t="inlineStr">
        <is>
          <t>Hi everyone, 
Just hit day 90 and my remaining symptom is a feeling of breathlessness that comes and goes randomly during the day as if I'm not getting enough oxygen, it's relieved slightly when I breath through my mouth rather than my nose. Do any long-haulers still have this as a remaining symptom/any advice? My O2 saturation levels are good (constantly 96% +)
I haven't had chest pain for 2 weeks and no fatigue either, when I do overexert it does exacerbate my breathing issues however. 
Let me know and all the best!</t>
        </is>
      </c>
      <c r="D2196" t="n">
        <v>3</v>
      </c>
      <c r="E2196" t="n">
        <v>18</v>
      </c>
      <c r="F2196">
        <f>HYPERLINK("https://www.reddit.com/r/COVID19positive/comments/hf3kg5/day_90_last_remaining_symptom/")</f>
        <v/>
      </c>
      <c r="G2196" t="inlineStr">
        <is>
          <t>2020-06-24 08:59:29</t>
        </is>
      </c>
      <c r="H2196" t="inlineStr">
        <is>
          <t>Tested Positive - Me</t>
        </is>
      </c>
    </row>
    <row r="2197">
      <c r="A2197" t="inlineStr">
        <is>
          <t>hf4hmu</t>
        </is>
      </c>
      <c r="B2197" t="inlineStr">
        <is>
          <t>Day 5 of symptoms- just fatigued ?</t>
        </is>
      </c>
      <c r="C2197" t="inlineStr">
        <is>
          <t>I am curious if anyone has had a similar experience as I have so far. I posted a few days ago asking if this presented as a sinus infection/cold like illness in anyone and got a lot of “yes”. I found out today I am in fact positive.
It started for me Friday as a sore throat, low low grade fever, and congestion. This lasted till about Sunday afternoon. Since then my only symptom (minus no smell) has just been bad fatigue. I have been sleeping 12 hours and just wake up still tired.  Does this mean I am on the back end of this if I have no more classic “sick” symptoms? Should the fatigue subside soon? I know a lot of people have been battling it for awhile.</t>
        </is>
      </c>
      <c r="D2197" t="n">
        <v>1</v>
      </c>
      <c r="E2197" t="n">
        <v>5</v>
      </c>
      <c r="F2197">
        <f>HYPERLINK("https://www.reddit.com/r/COVID19positive/comments/hf4hmu/day_5_of_symptoms_just_fatigued/")</f>
        <v/>
      </c>
      <c r="G2197" t="inlineStr">
        <is>
          <t>2020-06-24 09:47:18</t>
        </is>
      </c>
      <c r="H2197" t="inlineStr">
        <is>
          <t>Tested Positive - Me</t>
        </is>
      </c>
    </row>
    <row r="2198">
      <c r="A2198" t="inlineStr">
        <is>
          <t>hf61bh</t>
        </is>
      </c>
      <c r="B2198" t="inlineStr">
        <is>
          <t>Will it get worse?</t>
        </is>
      </c>
      <c r="C2198" t="inlineStr">
        <is>
          <t>Hi guys, I (21F) officially tested positive today and I’m on day 11 of my symptoms but I’ve gotten better the past few days. My main symptom was really bad sinus headaches but they finally went away yesterday and I got my sense of smell back on day 10 around 1 AM after losing it on day 4. I was just wondering if it’ll continue to get better or it there’s a chance it’ll get worse?</t>
        </is>
      </c>
      <c r="D2198" t="n">
        <v>1</v>
      </c>
      <c r="E2198" t="n">
        <v>4</v>
      </c>
      <c r="F2198">
        <f>HYPERLINK("https://www.reddit.com/r/COVID19positive/comments/hf61bh/will_it_get_worse/")</f>
        <v/>
      </c>
      <c r="G2198" t="inlineStr">
        <is>
          <t>2020-06-24 11:08:01</t>
        </is>
      </c>
      <c r="H2198" t="inlineStr">
        <is>
          <t>Tested Positive - Me</t>
        </is>
      </c>
    </row>
    <row r="2199">
      <c r="A2199" t="inlineStr">
        <is>
          <t>hf82ur</t>
        </is>
      </c>
      <c r="B2199" t="inlineStr">
        <is>
          <t>Been 39 or 40 days can I go back to my family??</t>
        </is>
      </c>
      <c r="C2199" t="inlineStr">
        <is>
          <t>Hey I wanted to know if I can go back back to my wife and 49 day old son I haven't been with them since 39 or 40 days due my test coming back positive  since it's been around 40 days can I go back to them or should  I keep self isolating?  I keep getting  relapse my diarrhea stopped a  few days ago then started up yesterday</t>
        </is>
      </c>
      <c r="D2199" t="n">
        <v>3</v>
      </c>
      <c r="E2199" t="n">
        <v>18</v>
      </c>
      <c r="F2199">
        <f>HYPERLINK("https://www.reddit.com/r/COVID19positive/comments/hf82ur/been_39_or_40_days_can_i_go_back_to_my_family/")</f>
        <v/>
      </c>
      <c r="G2199" t="inlineStr">
        <is>
          <t>2020-06-24 12:52:37</t>
        </is>
      </c>
      <c r="H2199" t="inlineStr">
        <is>
          <t>Tested Positive - Me</t>
        </is>
      </c>
    </row>
    <row r="2200">
      <c r="A2200" t="inlineStr">
        <is>
          <t>hf8ldg</t>
        </is>
      </c>
      <c r="B2200" t="inlineStr">
        <is>
          <t>Is there any recommendation for timeframe around getting an antibody test?</t>
        </is>
      </c>
      <c r="C2200" t="inlineStr">
        <is>
          <t>I went on a road trip with three friends. A few days after getting home, all three tested positive.  I live with one of them too and was in the house with him for 2 days before he had symptoms and a couple days after his symptoms started. I got tested the same day he did, which was a week ago, and came back negative. I just got another test this morning and am waiting for results, but I have no symptoms and I'm quarantining in a different house alone. If my test is negative again and I never experience any symptoms is it recommended that I get an antibody test, and how long should I wait before doing one?</t>
        </is>
      </c>
      <c r="D2200" t="n">
        <v>1</v>
      </c>
      <c r="E2200" t="n">
        <v>11</v>
      </c>
      <c r="F2200">
        <f>HYPERLINK("https://www.reddit.com/r/COVID19positive/comments/hf8ldg/is_there_any_recommendation_for_timeframe_around/")</f>
        <v/>
      </c>
      <c r="G2200" t="inlineStr">
        <is>
          <t>2020-06-24 13:19:00</t>
        </is>
      </c>
      <c r="H2200" t="inlineStr">
        <is>
          <t>Tested Positive - Friends</t>
        </is>
      </c>
    </row>
    <row r="2201">
      <c r="A2201" t="inlineStr">
        <is>
          <t>hf92jp</t>
        </is>
      </c>
      <c r="B2201" t="inlineStr">
        <is>
          <t>Is anyone having nightmares?</t>
        </is>
      </c>
      <c r="C2201" t="inlineStr">
        <is>
          <t>I’ve been having the most terrifying fever dreams. I feel like the virus is actually fucking with me in my sleep. It’s like taunting me almost. There’s always a predatory character in the dream who I cannot escape. I also had a dream where my brother said he is going to miss me &amp;amp; I feel like it’s telling me I’m going to die</t>
        </is>
      </c>
      <c r="D2201" t="n">
        <v>1</v>
      </c>
      <c r="E2201" t="n">
        <v>56</v>
      </c>
      <c r="F2201">
        <f>HYPERLINK("https://www.reddit.com/r/COVID19positive/comments/hf92jp/is_anyone_having_nightmares/")</f>
        <v/>
      </c>
      <c r="G2201" t="inlineStr">
        <is>
          <t>2020-06-24 13:43:10</t>
        </is>
      </c>
      <c r="H2201" t="inlineStr">
        <is>
          <t>Tested Positive - Me</t>
        </is>
      </c>
    </row>
    <row r="2202">
      <c r="A2202" t="inlineStr">
        <is>
          <t>hf9fvq</t>
        </is>
      </c>
      <c r="B2202" t="inlineStr">
        <is>
          <t>For those of you who have lost and/or regained your sense of taste/smell</t>
        </is>
      </c>
      <c r="C2202" t="inlineStr">
        <is>
          <t>Hi! 
I am currently on day 7 of symptoms, and around day 2 I completely lost all sense of taste and smell.
I know this is a super common symptom but I guess I underestimated how much it actually sucks. The only think I can even remotely taste is salt. I’m just wondering how other people found motivation to eat? I haven’t been feeling hungry either which is making it even more difficult. 
Also if you’ve regained your sense of taste/smell, what day of your symptoms did that happen? I feel like being stuck in my house plus not being able to enjoy food is going to make me lose my mind. 
Thank you in advance!</t>
        </is>
      </c>
      <c r="D2202" t="n">
        <v>1</v>
      </c>
      <c r="E2202" t="n">
        <v>17</v>
      </c>
      <c r="F2202">
        <f>HYPERLINK("https://www.reddit.com/r/COVID19positive/comments/hf9fvq/for_those_of_you_who_have_lost_andor_regained/")</f>
        <v/>
      </c>
      <c r="G2202" t="inlineStr">
        <is>
          <t>2020-06-24 14:03:33</t>
        </is>
      </c>
      <c r="H2202" t="inlineStr">
        <is>
          <t>Tested Positive - Me</t>
        </is>
      </c>
    </row>
    <row r="2203">
      <c r="A2203" t="inlineStr">
        <is>
          <t>hfblfu</t>
        </is>
      </c>
      <c r="B2203" t="inlineStr">
        <is>
          <t>Thank you to this sub. My story. 14 weeks.</t>
        </is>
      </c>
      <c r="C2203" t="inlineStr">
        <is>
          <t>I posted this on facebook trying to shine light on those of us who been sick for weeks and weeks. Reading through this sub the past 3 months had made feel less alone so thank you, truly. No one seems to understand that I'm not the only one. How can we be heard?
(Changed names for privacy)
(Second half is something that's been circulating fbook bringing awareness to autoimmune diseases) 
*
*
*
*
I will never be able to forget that loneliness. 
This is very long. I don't really expect anyone to read it all. It's more of a release for me.
I know I shared this before. 
But I want to update y'all .
I tested positive mid march for Covid.
 This. shit. Is. No joke.
This morning I finally received word i can rejoin society. I have been isolated for 14 weeks.
I will start first with what that does mentally. 
*
*
*
It destroys you. I have never felt so alone. I've had depression on and off for years but this is something else. I honestly don't know how to put it in words. Within the first couple weeks there's nothing left to binge watch, I had almost no energy for any other kind of hobby or past time. My home became a prison. The highlight of each week was getting enough energy to sit in the sun for 10 minutes before I had to lay back down. My highlight each week was seeing Kirsten or Mitchell when they dropped off food. After 2 months I finally started getting some energy back and the major symptoms were dissolving. I would feel great for a day then dip back for 6. Better for 2 dip back for 6. My hope would rise only to be crushed. 
*
*
*
*
I was lucky though. I made it through. Only 2 trips to the ER. 
Physical symptoms. 
The first 3 weeks were terrifying. I slept 16+ hours everyday. I eventually tried to sleep only when Chris was awake. He would check on me every hour.i was afraid to sleep when he was asleep.
It felt like I was breathing through a cheese cloth. I would have to pause twice going up the stairs to catch my breath. I had a few episodes of being so out of it I could barely talk.
My chest burned and ached. So many migraines. Cough that made my eyes water. Chills. My neck ached. My back ached. I couldn't think straight. My stomach was always in knots. I could barely eat. I dry heaved I puked. I cried in pain on the toilet. I shook. I was dizzy. I was nauseous. 
I literally went to bed thinking I might not wake up.
*
*
*
Food....
I could only handle oatmeal, toast and applesauce for 6?8? 10? Weeks.
That's tormenting enough. On top of isolation.
I've lost at least 10 lbs.
*
*
*
I've cried so much.
I saw a picture of a new niece that's 3 months now and I haven't met her yet. I cried.
I saw my family gathering. I cried.
I see my friends living life and having fun. I cried.
I see the world moving past me outside. I cry.
I see my neighbors have friends over. I cry.
My family got to see my nieces. I cried.
I see people traveling, camping, kayaking, hiking, swimming.....
I see people walking around without a mask as if nothing ever happened. I just want to scream! I see my own friends and family on facebook acting like this is all some sort of scam. 
Are you f***ing kidding me.
But it's not over. I can be around people again. But I will always have chronic fatigue. I will always get migraines. I will always have joint pain. I will always have stomach problems. I've lost hair. My nails are garbage. My skin sucks. My lungs still burn from time to time. My sternum still aches. My blood pressure still is too low or too high. My temperature still wavers. And who knows yet if there are lasting problems from covid. And who knows if next week or in a few days I'll be out on my couch again.
I will always have people not believe me. Always be annoyed that I'm in pain. Be annoyed that I'm talking about it once again. Be annoyed I can't get over it. Or on the other hand, people think I can't handle certain things. I'm to frail. Can't hire me because I get too sick too much.
And I will never be able to forget that loneliness. 
__
*
*
*
*
__
It's not just about you. 
For those who think Coronavirus is not so bad and you will get over it like a cold...you may but others you likely know &amp;amp; love may not. 
Quick lesson about autoimmune diseases. It takes an average of three years and five doctors for a person to get a proper diagnosis of an autoimmune disease. It is a disease where instead of your white blood cells protecting your body from invaders, they turn around and attack your cells, tissues and organs. Chronic fatigue is another symptom. It is not a cold or the flu, you will never get better, and even a nap will not help. Just eating a salad and hitting the gym won’t slim your face or get the pounds off. Sleeping 10 hours doesn’t leave you well rested, ever. The last minute changes in plans because that “just got ran over” feeling never makes appointments, it just walks in whenever you aren’t ready. Painful joints, muscles and bones, dry skin, breaking hair, hair loss, mood swings, and depression are just the tip of the iceberg. You are also prone to having multiple autoimmune diseases, they typically come in pairs of two. You easily catch viral and bacterial infections. You have days where no matter how hard you try, you just can’t smile for anyone.
I urge you to think twice before passing judgment and thinking our nation is overreacting to the extra measures being taken to curb the spread of this virus. YOU might be able to recover from it no problem however, carry it to someone with an autoimmune disease and that individual won’t be as lucky.
I am watching the ones who will take the time to read this entire post and react. Please, in honor of someone who is fighting Rheumatoid Arthritis, POTS, MCAD, Sjogren's, Scleroderma, Hashimoto Disease, Ankylosing Spondylitis, Fibromyalgia, Lupus, Cancer, Sarcoidosis, Hepatitis, Raynauld's Syndrome, Diabetes, Mold Illness, Celiac, CROHN’S, Ulcerative Colitis, Pemphigus, SPS, MS, PBC, Psoriatic Arthritis, CIDP, MMN And GPA, copy and paste to your page and reply "DONE" on mine.
Edit: formatting</t>
        </is>
      </c>
      <c r="D2203" t="n">
        <v>1</v>
      </c>
      <c r="E2203" t="n">
        <v>24</v>
      </c>
      <c r="F2203">
        <f>HYPERLINK("https://www.reddit.com/r/COVID19positive/comments/hfblfu/thank_you_to_this_sub_my_story_14_weeks/")</f>
        <v/>
      </c>
      <c r="G2203" t="inlineStr">
        <is>
          <t>2020-06-24 16:07:12</t>
        </is>
      </c>
      <c r="H2203" t="inlineStr">
        <is>
          <t>Tested Positive - Me</t>
        </is>
      </c>
    </row>
    <row r="2204">
      <c r="A2204" t="inlineStr">
        <is>
          <t>hfbom5</t>
        </is>
      </c>
      <c r="B2204" t="inlineStr">
        <is>
          <t>aspirin maybe helping ?!</t>
        </is>
      </c>
      <c r="C2204" t="inlineStr">
        <is>
          <t>im making my girlfriend who is positive , a tea with one lime sliced into 4, one lemon sliced into 4, ginger , half a cinnamon stick. after you pour in a cup , add honey and one soluble aspirin 325. and it’s been helping her. she’s been drinking vitamin C packets, vitamin D pills</t>
        </is>
      </c>
      <c r="D2204" t="n">
        <v>1</v>
      </c>
      <c r="E2204" t="n">
        <v>6</v>
      </c>
      <c r="F2204">
        <f>HYPERLINK("https://www.reddit.com/r/COVID19positive/comments/hfbom5/aspirin_maybe_helping/")</f>
        <v/>
      </c>
      <c r="G2204" t="inlineStr">
        <is>
          <t>2020-06-24 16:14:15</t>
        </is>
      </c>
      <c r="H2204" t="inlineStr">
        <is>
          <t>Tested Positive - Family</t>
        </is>
      </c>
    </row>
    <row r="2205">
      <c r="A2205" t="inlineStr">
        <is>
          <t>hfbwni</t>
        </is>
      </c>
      <c r="B2205" t="inlineStr">
        <is>
          <t>For those of you who have been scared to work out once you started feeling better, I just completed a CrossFit workout on day 9 of having covid. Read about my results:</t>
        </is>
      </c>
      <c r="C2205" t="inlineStr">
        <is>
          <t>So I’ve been on my own personal cocktail of 500mg of vitamin C a day, 500mg of Tylenol when the pain or fever showed up and multivitamins every day.
Every day there was a new symptom I had to deal with until day 8.
On day 8 the only symptom I was showing was a small cough and tiny aches. 
On day 9 all I had was a small cough. 
So today (day 10) I tried to complete a CrossFit workout. 
I went about 50% max effort, nothing crazy and almost immediately felt my muscles in my legs begin to cramp and then tire out. The strain was intense despite the easy workout. 
And then after the workout the small cough was more present with deep breaths. Nearly every deep breath I coughed. 
In conclusion, I didn’t die, but I definitely need to take it easier even going 50%.
You can work out, just start small and slow and build yourself into it. My symptoms haven’t regressed, but I felt them more immediately after.</t>
        </is>
      </c>
      <c r="D2205" t="n">
        <v>2</v>
      </c>
      <c r="E2205" t="n">
        <v>7</v>
      </c>
      <c r="F2205">
        <f>HYPERLINK("https://www.reddit.com/r/COVID19positive/comments/hfbwni/for_those_of_you_who_have_been_scared_to_work_out/")</f>
        <v/>
      </c>
      <c r="G2205" t="inlineStr">
        <is>
          <t>2020-06-24 16:30:41</t>
        </is>
      </c>
      <c r="H2205" t="inlineStr">
        <is>
          <t>Tested Positive - Me</t>
        </is>
      </c>
    </row>
    <row r="2206">
      <c r="A2206" t="inlineStr">
        <is>
          <t>hfceyl</t>
        </is>
      </c>
      <c r="B2206" t="inlineStr">
        <is>
          <t>SARS-CoV2 antibody present, however standard range is negative</t>
        </is>
      </c>
      <c r="C2206" t="inlineStr">
        <is>
          <t>Hi, I just got my test results and it says I have the antibodies present, but it says my standard range is negative. I'm not entirely sure what this means. Can I have some input?</t>
        </is>
      </c>
      <c r="D2206" t="n">
        <v>1</v>
      </c>
      <c r="E2206" t="n">
        <v>12</v>
      </c>
      <c r="F2206">
        <f>HYPERLINK("https://www.reddit.com/r/COVID19positive/comments/hfceyl/sarscov2_antibody_present_however_standard_range/")</f>
        <v/>
      </c>
      <c r="G2206" t="inlineStr">
        <is>
          <t>2020-06-24 17:13:53</t>
        </is>
      </c>
      <c r="H2206" t="inlineStr">
        <is>
          <t>Presumed Positive - From Test</t>
        </is>
      </c>
    </row>
    <row r="2207">
      <c r="A2207" t="inlineStr">
        <is>
          <t>hfchli</t>
        </is>
      </c>
      <c r="B2207" t="inlineStr">
        <is>
          <t>I no longer feel alone...</t>
        </is>
      </c>
      <c r="C2207" t="inlineStr">
        <is>
          <t>I'm so glad I found this group! I felt like my symptoms were so drastically different than the textbook ones the medical community and media keeps hammering, and seeing a lot of the same symptoms here from others, that I experienced, is oddly reassuring. 
I am a presumed positive from my physician. I was ineligible for local testing due to lack of adequate testing supplies in my area at the time and my lack of "classic symptoms"; no fever and no severe cough. Even with a doctor's order, I was denied a test. 
My presumed point of contraction was likely an adult niece who had recently returned from extended travel with stops in Japan and New Zealand on February 26th. Her immediate family had a "mild crud" that everyone assumed was a cold shortly after her arrival home. We celebrated a family birthday with a big family dinner on March 6th. My symptoms started March 9th.
Day 1: runny nose, sinus pain/headache, lots of post-nasal drip, and heart beating really hard for no reason (March 9)
Day 2: even more post-nasal drip, if I sleep on my back it runs into my lungs, my throat and the fleshy glandular area under my tongue feels weird and swelled, absolute lack of appetite, lethargy, still hard beating heart, 99.1 temp (March 10)
Days 3, 4, &amp;amp; 5: awful headache when waking (Advil doesn't touch it), post-nasal drip continues to feel like I'm drowning, glands in neck and under jaw feel swelled, throat weirdness continues, absolutely no appetite and am forcing myself to eat, increased lethargy, hard beating heart, shortness of breath for any slight exertion, I dry cough occasionally due to a rattly itchy feeling in my lungs, occasionally I bring up stuff, I shiver because I feel so cold, yet no fever, my toes discolor like I got chillblains again (March 11-13)
Days 5 &amp;amp; 6: sinus drainage continues, glands in neck and under tongue make me have a dry mouth, like I have little to no saliva, trying to swallow thick sinus drainage is exhausting, hard heartbeat continues as does shortness of breath, temp got to 99.5 both days, sleep is difficult due to feeling short of breath and anxiety surrounding that, dry cough is infrequent, but still there, still cold off and on (March 14 &amp;amp; 15)
Day 7: post-nasal drip seems a bit lighter, I'm not as out of breath, and my appetite has returned a little, I'm actually hungry but the idea of eating is still a turn-off, my throat and glands feel less swelled but more irritated, flashlight inspection of my throat reveals multiple miniscule papules covering soft palate and back of throat with redness, coughing infrequently (March 16)
Day 8: a bit more energy in spurts, but I still need to rest more often than usual, finally enough energy to play with my kid a bit and do much neglected chores rather than hold the couch down, I'm actually hungry and desire food for the first time, I don't feel out of breath walking to the bathroom, hard beating heart is mostly gone, not as much drainage and its thinner, but airways feel dry and irritated, I actually have saliva today, only occasional dry cough, no fever (March 17)
Day 9: not as much sinus drainage, hard heartbeat is back, as is dry mouth, papules in throat are reduced, moderate lung congestion, appetite is off and slight headache (March 18)
Day 10: woke up with awful diarrhea and wet with sweat, throat feels weirdly swelled again, saliva feels thick and slimy, short of breath doing minimal activity, not hungry again, some lung congestion, most annoying symptom is the sensation of my lungs being sunburned (March 19)
Day 11 to about Day 65 (mid-May): same symptoms come and go, increasingly minor in intensity and duration, and frequency between "attacks" is becoming more infrequent 
By June I can finally walk to our mailbox, which is at the top of a hill, without needing a breather due to feeling like I'm going to pass out from lack of oxygen.
I feel compelled to get an antibody test, just to satisfy my personal curiosity, but I'm not sure if it's worth it after reading the antibodies only last so long. Plus insurance doesn't want to pay for it and I don't really have $150 in throw-away money. Anyone with personal experience still having antibodies after 3 months?</t>
        </is>
      </c>
      <c r="D2207" t="n">
        <v>1</v>
      </c>
      <c r="E2207" t="n">
        <v>14</v>
      </c>
      <c r="F2207">
        <f>HYPERLINK("https://www.reddit.com/r/COVID19positive/comments/hfchli/i_no_longer_feel_alone/")</f>
        <v/>
      </c>
      <c r="G2207" t="inlineStr">
        <is>
          <t>2020-06-24 17:20:41</t>
        </is>
      </c>
      <c r="H2207" t="inlineStr">
        <is>
          <t>Presumed Positive - From Doctor</t>
        </is>
      </c>
    </row>
    <row r="2208">
      <c r="A2208" t="inlineStr">
        <is>
          <t>hfcqls</t>
        </is>
      </c>
      <c r="B2208" t="inlineStr">
        <is>
          <t>Can I be hypoxic at this moment? And not know it</t>
        </is>
      </c>
      <c r="C2208" t="inlineStr">
        <is>
          <t>I tested positive on the 18th June. I had been sick for 10 days prior to testing. The rsason I went to test was my blood oxygen reading was 78 on the pulse oximeter. And I was experiencing severe SOB. after a day of being on supplemental oxygen, the SpO2 reading stated around 93. I was on the oxygen machine everyday for 1 hour /2hours. Well today, my oxygen reading is 99. But I have slurred speech, bit of confusion. I'm noticing a lot about 'happy hypoxia' and now I'm afraid. Is it possible to be hypoxic with a high SpO2 reading. My lungs have also been making crackling sounds when I breathe. Please please I'm desperate, I feel warm all over too and nervous. Could the crackling and wheezing be pneumonia?</t>
        </is>
      </c>
      <c r="D2208" t="n">
        <v>1</v>
      </c>
      <c r="E2208" t="n">
        <v>16</v>
      </c>
      <c r="F2208">
        <f>HYPERLINK("https://www.reddit.com/r/COVID19positive/comments/hfcqls/can_i_be_hypoxic_at_this_moment_and_not_know_it/")</f>
        <v/>
      </c>
      <c r="G2208" t="inlineStr">
        <is>
          <t>2020-06-24 17:39:12</t>
        </is>
      </c>
      <c r="H2208" t="inlineStr">
        <is>
          <t>Tested Positive - Me</t>
        </is>
      </c>
    </row>
    <row r="2209">
      <c r="A2209" t="inlineStr">
        <is>
          <t>hfdk6x</t>
        </is>
      </c>
      <c r="B2209" t="inlineStr">
        <is>
          <t>If you have asthma and had COVID, what was your experience?</t>
        </is>
      </c>
      <c r="C2209" t="inlineStr">
        <is>
          <t>I (23F) was showing symptoms on Monday and got a positive test result on Tuesday. I’m already beginning to feel tightness in my chest and slight wheezing when I breath. I don’t have asthma but my boyfriend (24M) who had been staying with me for over a week does and now has COVID as well. He’s back in his hometown now because we do long distance but I’m worried because of how severe his asthma is. I want to tell him of things that could help ease his symptoms and I just want to hear from other people that have asthma and were able to get through it because I’m so worried about him. Thank you!</t>
        </is>
      </c>
      <c r="D2209" t="n">
        <v>1</v>
      </c>
      <c r="E2209" t="n">
        <v>10</v>
      </c>
      <c r="F2209">
        <f>HYPERLINK("https://www.reddit.com/r/COVID19positive/comments/hfdk6x/if_you_have_asthma_and_had_covid_what_was_your/")</f>
        <v/>
      </c>
      <c r="G2209" t="inlineStr">
        <is>
          <t>2020-06-24 18:35:49</t>
        </is>
      </c>
      <c r="H2209" t="inlineStr">
        <is>
          <t>Tested Positive</t>
        </is>
      </c>
    </row>
    <row r="2210">
      <c r="A2210" t="inlineStr">
        <is>
          <t>hfdnwx</t>
        </is>
      </c>
      <c r="B2210" t="inlineStr">
        <is>
          <t>Just got my results</t>
        </is>
      </c>
      <c r="C2210" t="inlineStr">
        <is>
          <t>I started having very mild symptoms on Monday. Just nausea, loss of appetite, mild headache and oral temperature of 100.4. It didn’t seem like a big deal to me, but I work in healthcare so I had to report it and get tested. I even felt silly for saying anything because I felt so much better the next day. Just found out I’m positive a couple hours ago, and I’m still a little shocked. 
Today I have had body aches and a mild temperature. I cough maybe once every 5 minutes so nothing serious as far as respiratory symptoms go. Emotionally though, I’m not doing too well. 
I have so many mixed emotions. I know that this virus can become severe very quickly and my symptoms just started a few days ago. It worries me that the worst could be yet to come. I’ve always struggled with anxiety so I’m trying not to think of the worst and just stay positive but it’s hard. 
I’m also at home with my boyfriend and our two cats, and I feel so guilty knowing that I may have infected them already. Our apartment is really small so we can’t really quarantine from each other, and he says it won’t make a difference at this point. It’s just a mess. Does anyone have any advice for me as far as staying positive, healthy and distracted while I’m in quarantine? 
I’m trying not to let my mind wander to the worst possible outcome but it’s hard when I have so much time on my hands. Sorry for the long post guys. Stay safe!</t>
        </is>
      </c>
      <c r="D2210" t="n">
        <v>1</v>
      </c>
      <c r="E2210" t="n">
        <v>25</v>
      </c>
      <c r="F2210">
        <f>HYPERLINK("https://www.reddit.com/r/COVID19positive/comments/hfdnwx/just_got_my_results/")</f>
        <v/>
      </c>
      <c r="G2210" t="inlineStr">
        <is>
          <t>2020-06-24 18:42:35</t>
        </is>
      </c>
      <c r="H2210" t="inlineStr">
        <is>
          <t>Tested Positive - Me</t>
        </is>
      </c>
    </row>
    <row r="2211">
      <c r="A2211" t="inlineStr">
        <is>
          <t>hfeg5d</t>
        </is>
      </c>
      <c r="B2211" t="inlineStr">
        <is>
          <t>Fatigue...</t>
        </is>
      </c>
      <c r="C2211" t="inlineStr">
        <is>
          <t>It's been 4 weeks since I had my first symptom. Tested positive. I feel like I've mostly healed from the fever and cough but I still have this lingering feeling of fatigue. I get tired unnaturally fast. Standing up drains me, showers drain me. I went cycling today and got tired within a mile. Anyone else feel this weeks after being sick?</t>
        </is>
      </c>
      <c r="D2211" t="n">
        <v>1</v>
      </c>
      <c r="E2211" t="n">
        <v>24</v>
      </c>
      <c r="F2211">
        <f>HYPERLINK("https://www.reddit.com/r/COVID19positive/comments/hfeg5d/fatigue/")</f>
        <v/>
      </c>
      <c r="G2211" t="inlineStr">
        <is>
          <t>2020-06-24 19:33:48</t>
        </is>
      </c>
      <c r="H2211" t="inlineStr">
        <is>
          <t>Tested Positive - Me</t>
        </is>
      </c>
    </row>
    <row r="2212">
      <c r="A2212" t="inlineStr">
        <is>
          <t>hfeuxq</t>
        </is>
      </c>
      <c r="B2212" t="inlineStr">
        <is>
          <t>Covid 19 with no fever?</t>
        </is>
      </c>
      <c r="C2212" t="inlineStr">
        <is>
          <t>Hi everyone! I have been quarantined since 3/14 and I live in the greater Boston area. I work as an esthetician and one week ago (6/15) we had a back to work orientation where we went over guidelines and such. There was one woman who “doesn’t believe in wearing a mask” and had to asked to put one on and the kept repeatedly uncovering her nose. She was sat next to me, I was wearing a mask. On Saturday (6/20) in the evening I became extremely fatigued, lightheaded, body aches and having a hard time catching my breath. My thermometer was broken so not sure if I initially had a fever. I thought it was from the heat bc I’m very sensitive to hot temps. However all symptoms have continued including severe nausea, loss of appetite and now a small dry cough and some tightness feeling in my chest. The only symptom I don’t have is a fever (got a thermometer Monday 6/22). Has anyone been tested positive and didn’t have a fever at least at the beginning? I’m worried bc I’ll feel better for a couple hours and then it’ll hit me again and just wipe me out. My test results won’t be back in until next week but I’m getting more nervous because two other women at the orientation came down with similar symptoms as of Sunday and Monday and had to get tested as well. I’m also so dizzy. There’s so much pressure in my head and I constantly am hearing what sounds like someone is knocking on my door but literally no one else (just my boyfriend bc he has been with me so he is quarantined again with me but he has no symptoms) can hear it. I have bad allergies and take allergy meds daily and have a history of getting walking pneumonia pretty frequently.</t>
        </is>
      </c>
      <c r="D2212" t="n">
        <v>1</v>
      </c>
      <c r="E2212" t="n">
        <v>12</v>
      </c>
      <c r="F2212">
        <f>HYPERLINK("https://www.reddit.com/r/COVID19positive/comments/hfeuxq/covid_19_with_no_fever/")</f>
        <v/>
      </c>
      <c r="G2212" t="inlineStr">
        <is>
          <t>2020-06-24 20:02:01</t>
        </is>
      </c>
      <c r="H2212" t="inlineStr">
        <is>
          <t>Presumed Positive - From Doctor</t>
        </is>
      </c>
    </row>
    <row r="2213">
      <c r="A2213" t="inlineStr">
        <is>
          <t>hffm42</t>
        </is>
      </c>
      <c r="B2213" t="inlineStr">
        <is>
          <t>My 3 year old tested positive, and I am 33 weeks pregnant.</t>
        </is>
      </c>
      <c r="C2213" t="inlineStr">
        <is>
          <t>I guess I'm just looking for any advice. I haven't spoken to my son's pediatrician yet. I will be tested this Friday. Most of the information I found from a Google search is about prevention, not treatment. 
My son only got the test because he had a surgery scheduled for Friday. I was only told to quarantine, not what to look lout for. My son's only symptom was a low grade fever last Wednesday, and Thursday. He has acted like his normal, overactive, loud happy self since the date I suspect he was infected. 
I'm just freaked out and hoping for some reassurance, or better advice than what I received so far.</t>
        </is>
      </c>
      <c r="D2213" t="n">
        <v>1</v>
      </c>
      <c r="E2213" t="n">
        <v>49</v>
      </c>
      <c r="F2213">
        <f>HYPERLINK("https://www.reddit.com/r/COVID19positive/comments/hffm42/my_3_year_old_tested_positive_and_i_am_33_weeks/")</f>
        <v/>
      </c>
      <c r="G2213" t="inlineStr">
        <is>
          <t>2020-06-24 20:55:59</t>
        </is>
      </c>
      <c r="H2213" t="inlineStr">
        <is>
          <t>Tested Positive - Family</t>
        </is>
      </c>
    </row>
    <row r="2214">
      <c r="A2214" t="inlineStr">
        <is>
          <t>hffmq4</t>
        </is>
      </c>
      <c r="B2214" t="inlineStr">
        <is>
          <t>three months, almost to the day after i started getting sick...</t>
        </is>
      </c>
      <c r="C2214" t="inlineStr">
        <is>
          <t>...i tested positive a second time. 
i was set to go back to work in the office one day a week on july 6th. my new PCP doctor suggested i get a follow up test. i got the swab june 16, and just got my results today that i’m still testing positive. 
i got sick on march 23rd-24th. i originally tested positive april 1, and was not instructed to get a follow up test or antibody test by urgent care i was tested through. i’m not sure why this was the case, i’m assuming because of the lack of available testing at that point. i have not had any symptoms in at least two months. 
has anyone else experienced this? my mental health is starting to take a beating at this point. i’m so frustrated, angry with myself, and i feel “dirty” if that makes sense.</t>
        </is>
      </c>
      <c r="D2214" t="n">
        <v>1</v>
      </c>
      <c r="E2214" t="n">
        <v>10</v>
      </c>
      <c r="F2214">
        <f>HYPERLINK("https://www.reddit.com/r/COVID19positive/comments/hffmq4/three_months_almost_to_the_day_after_i_started/")</f>
        <v/>
      </c>
      <c r="G2214" t="inlineStr">
        <is>
          <t>2020-06-24 20:57:17</t>
        </is>
      </c>
      <c r="H2214" t="inlineStr">
        <is>
          <t>Tested Positive - Me</t>
        </is>
      </c>
    </row>
    <row r="2215">
      <c r="A2215" t="inlineStr">
        <is>
          <t>hffoa7</t>
        </is>
      </c>
      <c r="B2215" t="inlineStr">
        <is>
          <t>Tested positive, zero symptoms – will it last?</t>
        </is>
      </c>
      <c r="C2215" t="inlineStr">
        <is>
          <t>I was tested on Monday. Not because I was feeling at all sick, but as an abundance-of-caution tactic to safely take an overnight trip with others this coming weekend.
Three days later, much to my surprise, my test has come back positive. I still have no symptoms at all and feel totally healthy. My story alone goes to show that people can really never be sure that they aren't carrying the virus, and that a strategy like mine before seeing friends or family is a good idea.  
With regards to suffering through symptoms, am I out of the woods yet? No way to know how long has passed since contracting the virus, but I'm entering day 4 since a positive test with no sign of any yet. Is this common? Have many others had symptoms kick in later in their isolation window?</t>
        </is>
      </c>
      <c r="D2215" t="n">
        <v>1</v>
      </c>
      <c r="E2215" t="n">
        <v>8</v>
      </c>
      <c r="F2215">
        <f>HYPERLINK("https://www.reddit.com/r/COVID19positive/comments/hffoa7/tested_positive_zero_symptoms_will_it_last/")</f>
        <v/>
      </c>
      <c r="G2215" t="inlineStr">
        <is>
          <t>2020-06-24 21:00:25</t>
        </is>
      </c>
      <c r="H2215" t="inlineStr">
        <is>
          <t>Tested Positive - Me</t>
        </is>
      </c>
    </row>
    <row r="2216">
      <c r="A2216" t="inlineStr">
        <is>
          <t>hffrix</t>
        </is>
      </c>
      <c r="B2216" t="inlineStr">
        <is>
          <t>Long haulers - PTSD?</t>
        </is>
      </c>
      <c r="C2216" t="inlineStr">
        <is>
          <t>11 weeks in. Anyone thinking they might have PTSD coming on? Nervous, anxious, can’t sleep, if subject of virus comes up I get extremely agitated and vent in a trance-like state. Don’t even realize myself getting so worked up. I’m getting a little panicky going back to this sub.</t>
        </is>
      </c>
      <c r="D2216" t="n">
        <v>1</v>
      </c>
      <c r="E2216" t="n">
        <v>21</v>
      </c>
      <c r="F2216">
        <f>HYPERLINK("https://www.reddit.com/r/COVID19positive/comments/hffrix/long_haulers_ptsd/")</f>
        <v/>
      </c>
      <c r="G2216" t="inlineStr">
        <is>
          <t>2020-06-24 21:07:08</t>
        </is>
      </c>
      <c r="H2216" t="inlineStr">
        <is>
          <t>Presumed Positive - From Doctor</t>
        </is>
      </c>
    </row>
    <row r="2217">
      <c r="A2217" t="inlineStr">
        <is>
          <t>hfhm5s</t>
        </is>
      </c>
      <c r="B2217" t="inlineStr">
        <is>
          <t>Covid positive</t>
        </is>
      </c>
      <c r="C2217" t="inlineStr">
        <is>
          <t>I’m 19 and I tested positive for covid two days ago. I got tested because I traveled and to return to my home I had to get tested apart of the new mandate. I didn’t expect that I was sick, but before my results came back I did have the worst back pain I ever had, I could hardly sleep. The night before tonight I felt horrible feverish and not even in my body. Today I feel less feverish but I can start to feel a tickle in the back of my throat. I have an anxiety disorder and that is definitely not helping. I’d love to hear other people’s diagnoses and their symptoms and what they went through. (:</t>
        </is>
      </c>
      <c r="D2217" t="n">
        <v>1</v>
      </c>
      <c r="E2217" t="n">
        <v>0</v>
      </c>
      <c r="F2217">
        <f>HYPERLINK("https://www.reddit.com/r/COVID19positive/comments/hfhm5s/covid_positive/")</f>
        <v/>
      </c>
      <c r="G2217" t="inlineStr">
        <is>
          <t>2020-06-25 00:06:50</t>
        </is>
      </c>
      <c r="H2217" t="inlineStr">
        <is>
          <t>Tested Positive</t>
        </is>
      </c>
    </row>
    <row r="2218">
      <c r="A2218" t="inlineStr">
        <is>
          <t>hfif6n</t>
        </is>
      </c>
      <c r="B2218" t="inlineStr">
        <is>
          <t>Results came back positive for Covid-19</t>
        </is>
      </c>
      <c r="C2218" t="inlineStr">
        <is>
          <t>Hi all.
Just curious if some of you experiencing the same symptoms:
-No sense of taste and smell
-Vision slightly blurry when focusing on close objects such as my phone.
-Burning sensation in my nose as if water went up there except its burning the whole day.
-Burning sensation on my back and under arms</t>
        </is>
      </c>
      <c r="D2218" t="n">
        <v>1</v>
      </c>
      <c r="E2218" t="n">
        <v>4</v>
      </c>
      <c r="F2218">
        <f>HYPERLINK("https://www.reddit.com/r/COVID19positive/comments/hfif6n/results_came_back_positive_for_covid19/")</f>
        <v/>
      </c>
      <c r="G2218" t="inlineStr">
        <is>
          <t>2020-06-25 01:19:05</t>
        </is>
      </c>
      <c r="H2218" t="inlineStr">
        <is>
          <t>Tested Positive - Me</t>
        </is>
      </c>
    </row>
    <row r="2219">
      <c r="A2219" t="inlineStr">
        <is>
          <t>hfikku</t>
        </is>
      </c>
      <c r="B2219" t="inlineStr">
        <is>
          <t>[26M] Felt better. Got tested for antibodies [NEGATIVE], next day went for a run and relapsed again</t>
        </is>
      </c>
      <c r="C2219" t="inlineStr">
        <is>
          <t>So I have been sick since end of Feb. I was sure this is just normal cold, but I keep being sick. I have a lingering sore throat and produce phlegm.
A month ago, after considering having coronavirus I have decided to stop exercising. I was slowly feeling better and better and after exactly one month, I decided to go for a run. I felt a little bit bad, but OK, next day I went again and then the next day I got tested for antibodies (igg and igm) at my company's office. My result was negative.
Today, 2 days after last run and 1 day after the test, I feel sick again. Strong sore throat and increased phlegm production, headache and general malaise.
What the hell is this thing? I have no antibodies, but I have never been sick for 4 months+ before??? I feel like this thing is eating my body, I am losing muscle and gaining fat and I can't even control this with exercise because then I feel even worse.... This is hell</t>
        </is>
      </c>
      <c r="D2219" t="n">
        <v>1</v>
      </c>
      <c r="E2219" t="n">
        <v>27</v>
      </c>
      <c r="F2219">
        <f>HYPERLINK("https://www.reddit.com/r/COVID19positive/comments/hfikku/26m_felt_better_got_tested_for_antibodies/")</f>
        <v/>
      </c>
      <c r="G2219" t="inlineStr">
        <is>
          <t>2020-06-25 01:33:28</t>
        </is>
      </c>
      <c r="H2219" t="inlineStr">
        <is>
          <t>Tested Positive - Friends</t>
        </is>
      </c>
    </row>
    <row r="2220">
      <c r="A2220" t="inlineStr">
        <is>
          <t>hfm0pz</t>
        </is>
      </c>
      <c r="B2220" t="inlineStr">
        <is>
          <t>How do I know when I can break quarantine?</t>
        </is>
      </c>
      <c r="C2220" t="inlineStr">
        <is>
          <t>I have read conflicting things and I’m not being followed by a doctor so I’m just winging all of this. I have 2 small children I would love to be with again and I’m sure my husband needs a break by now. My symptoms have been extremely mild, mostly diarrhea, no appetite, occasional headache, and loss of smell and taste. I’m on day 12 of symptoms and I got my positive test 6/18. Am I contagious until I get a negative test result? When should I retest?</t>
        </is>
      </c>
      <c r="D2220" t="n">
        <v>1</v>
      </c>
      <c r="E2220" t="n">
        <v>14</v>
      </c>
      <c r="F2220">
        <f>HYPERLINK("https://www.reddit.com/r/COVID19positive/comments/hfm0pz/how_do_i_know_when_i_can_break_quarantine/")</f>
        <v/>
      </c>
      <c r="G2220" t="inlineStr">
        <is>
          <t>2020-06-25 06:24:10</t>
        </is>
      </c>
      <c r="H2220" t="inlineStr">
        <is>
          <t>Tested Positive - Me</t>
        </is>
      </c>
    </row>
    <row r="2221">
      <c r="A2221" t="inlineStr">
        <is>
          <t>hfmwmv</t>
        </is>
      </c>
      <c r="B2221" t="inlineStr">
        <is>
          <t>Post-covid 19 symptoms that I'm experiencing. Am I alone?</t>
        </is>
      </c>
      <c r="C2221" t="inlineStr">
        <is>
          <t>I've been cleared for two months now, but I still have weird joint pain, mostly in my hands, sometimes my knees, and very strangely, the balls of my feet. 
My anosmia (loss of taste and smell) is probably only at 90% recovery.   
My tiredness is also a big issue. I can go out for a few hours, do some shopping and so forth, and the next day I'm wiped out. I feel like I've run a marathon. 
Then I'll be fine the next day. 
The joint pains and the tiredness seem to go away and then be back the next week. No normal recovery. It's like this virus is still lurking, just flaring things up from time to time. 
I'm hoping I don't have arthritis as a result of this.</t>
        </is>
      </c>
      <c r="D2221" t="n">
        <v>1</v>
      </c>
      <c r="E2221" t="n">
        <v>32</v>
      </c>
      <c r="F2221">
        <f>HYPERLINK("https://www.reddit.com/r/COVID19positive/comments/hfmwmv/postcovid_19_symptoms_that_im_experiencing_am_i/")</f>
        <v/>
      </c>
      <c r="G2221" t="inlineStr">
        <is>
          <t>2020-06-25 07:20:28</t>
        </is>
      </c>
      <c r="H2221" t="inlineStr">
        <is>
          <t>Tested Positive - Me</t>
        </is>
      </c>
    </row>
    <row r="2222">
      <c r="A2222" t="inlineStr">
        <is>
          <t>hfnn9v</t>
        </is>
      </c>
      <c r="B2222" t="inlineStr">
        <is>
          <t>Recovered from a moderate case with asthma</t>
        </is>
      </c>
      <c r="C2222" t="inlineStr">
        <is>
          <t>Several months ago I had covid-19 what starterd as a very very dry cough turned into basically a month of sickness very long-term fevers that wouldn't break etc I fortunately didn't have to be on a ventilator but was very close to it. After recovery I have had a constant wheeze ever since. I just wanted to see as anyone else with asthma experienced this after having covid-19?</t>
        </is>
      </c>
      <c r="D2222" t="n">
        <v>1</v>
      </c>
      <c r="E2222" t="n">
        <v>6</v>
      </c>
      <c r="F2222">
        <f>HYPERLINK("https://www.reddit.com/r/COVID19positive/comments/hfnn9v/recovered_from_a_moderate_case_with_asthma/")</f>
        <v/>
      </c>
      <c r="G2222" t="inlineStr">
        <is>
          <t>2020-06-25 08:04:59</t>
        </is>
      </c>
      <c r="H2222" t="inlineStr">
        <is>
          <t>Tested Positive</t>
        </is>
      </c>
    </row>
    <row r="2223">
      <c r="A2223" t="inlineStr">
        <is>
          <t>hfoifw</t>
        </is>
      </c>
      <c r="B2223" t="inlineStr">
        <is>
          <t>Roommate tested positive last week</t>
        </is>
      </c>
      <c r="C2223" t="inlineStr">
        <is>
          <t>I have an interesting situation to say the least. My roommate tested positive last week and thankfully I'm in the UK at the moment as my father was recently diagnosed with stomach cancer and went over to visit before his surgery. I am coming back to the US tomorrow and I plan to stay at a friend's place until my roommate tests negative and then we will have the apartment professionally cleaned/sanitized shortly before I return. How long should I wait to go back to the apartment after he tests negative and have the apartment cleaned? We unfortunately share a bathroom which is where the greatest danger would be I think. Any advice is appreciated.</t>
        </is>
      </c>
      <c r="D2223" t="n">
        <v>1</v>
      </c>
      <c r="E2223" t="n">
        <v>6</v>
      </c>
      <c r="F2223">
        <f>HYPERLINK("https://www.reddit.com/r/COVID19positive/comments/hfoifw/roommate_tested_positive_last_week/")</f>
        <v/>
      </c>
      <c r="G2223" t="inlineStr">
        <is>
          <t>2020-06-25 08:53:44</t>
        </is>
      </c>
      <c r="H2223" t="inlineStr">
        <is>
          <t>Tested Positive - Friends</t>
        </is>
      </c>
    </row>
    <row r="2224">
      <c r="A2224" t="inlineStr">
        <is>
          <t>hfpure</t>
        </is>
      </c>
      <c r="B2224" t="inlineStr">
        <is>
          <t>Tested positive. No smell or taste for 8 days, no other symptoms. How long?</t>
        </is>
      </c>
      <c r="C2224" t="inlineStr">
        <is>
          <t>So for the last 8 days now, I haven't been able to smell or taste anything. The 3rd day I went for a nasal swab which I'm still waiting on the results for. I went for a blood test today with immediate results and it turned out to be positive.
Now I can't for 2 more weeks, will miss out on $3k in tips from not working, so I'm pissed.
But I'm also super depressed about not being to smell or taste anything. Just wondering how long if ever it takes for this symptom to go away.</t>
        </is>
      </c>
      <c r="D2224" t="n">
        <v>1</v>
      </c>
      <c r="E2224" t="n">
        <v>10</v>
      </c>
      <c r="F2224">
        <f>HYPERLINK("https://www.reddit.com/r/COVID19positive/comments/hfpure/tested_positive_no_smell_or_taste_for_8_days_no/")</f>
        <v/>
      </c>
      <c r="G2224" t="inlineStr">
        <is>
          <t>2020-06-25 10:07:35</t>
        </is>
      </c>
      <c r="H2224" t="inlineStr">
        <is>
          <t>Tested Positive - Me</t>
        </is>
      </c>
    </row>
    <row r="2225">
      <c r="A2225" t="inlineStr">
        <is>
          <t>hfpv4q</t>
        </is>
      </c>
      <c r="B2225" t="inlineStr">
        <is>
          <t>I TESTED NEGATIVE!!</t>
        </is>
      </c>
      <c r="C2225" t="inlineStr">
        <is>
          <t>This feels like a milestone! After 4 weeks, I tested negative. I am still recovering from some post-viral symptoms like SOB, some random chest pain, fatigue, and some head pressure, but there is finally a light at the end of the tunnel.</t>
        </is>
      </c>
      <c r="D2225" t="n">
        <v>1</v>
      </c>
      <c r="E2225" t="n">
        <v>7</v>
      </c>
      <c r="F2225">
        <f>HYPERLINK("https://www.reddit.com/r/COVID19positive/comments/hfpv4q/i_tested_negative/")</f>
        <v/>
      </c>
      <c r="G2225" t="inlineStr">
        <is>
          <t>2020-06-25 10:08:05</t>
        </is>
      </c>
      <c r="H2225" t="inlineStr">
        <is>
          <t>Tested Positive - Me</t>
        </is>
      </c>
    </row>
    <row r="2226">
      <c r="A2226" t="inlineStr">
        <is>
          <t>hfqo9e</t>
        </is>
      </c>
      <c r="B2226" t="inlineStr">
        <is>
          <t>Living with people who are careless about Covid</t>
        </is>
      </c>
      <c r="C2226" t="inlineStr">
        <is>
          <t>I live with my bf and his mom. His sister had suspected she had Covid on June 19. Between then and now June 25 she let her kids come over to this house where I live with their grandma (my bfs mom) she ended up testing positive yesterday. I’m so frustrated with their lack of selfishness and no regard for others. I went to test as well yesterday, even if I test positive I’m stuck and will quarantine because those kids were here just yesterday!</t>
        </is>
      </c>
      <c r="D2226" t="n">
        <v>1</v>
      </c>
      <c r="E2226" t="n">
        <v>2</v>
      </c>
      <c r="F2226">
        <f>HYPERLINK("https://www.reddit.com/r/COVID19positive/comments/hfqo9e/living_with_people_who_are_careless_about_covid/")</f>
        <v/>
      </c>
      <c r="G2226" t="inlineStr">
        <is>
          <t>2020-06-25 10:52:24</t>
        </is>
      </c>
      <c r="H2226" t="inlineStr">
        <is>
          <t>Tested Positive - Family</t>
        </is>
      </c>
    </row>
    <row r="2227">
      <c r="A2227" t="inlineStr">
        <is>
          <t>hfqo9h</t>
        </is>
      </c>
      <c r="B2227" t="inlineStr">
        <is>
          <t>Covid 19 Fever</t>
        </is>
      </c>
      <c r="C2227" t="inlineStr">
        <is>
          <t>When did your covid-19 fever start? I am on day 4 and just now getting the fever. So far it’s 100.4</t>
        </is>
      </c>
      <c r="D2227" t="n">
        <v>1</v>
      </c>
      <c r="E2227" t="n">
        <v>5</v>
      </c>
      <c r="F2227">
        <f>HYPERLINK("https://www.reddit.com/r/COVID19positive/comments/hfqo9h/covid_19_fever/")</f>
        <v/>
      </c>
      <c r="G2227" t="inlineStr">
        <is>
          <t>2020-06-25 10:52:24</t>
        </is>
      </c>
      <c r="H2227" t="inlineStr">
        <is>
          <t>Tested Positive - Me</t>
        </is>
      </c>
    </row>
    <row r="2228">
      <c r="A2228" t="inlineStr">
        <is>
          <t>hfqvny</t>
        </is>
      </c>
      <c r="B2228" t="inlineStr">
        <is>
          <t>26F - Fever symptons but no temperature - My experience and symptoms</t>
        </is>
      </c>
      <c r="C2228" t="inlineStr">
        <is>
          <t>Has anybody else experienced fever symptoms with no temperature? My temperature stayed at 98.6 yet I was having bad body aches and chills. The chills and body aches come and go. 
**One thing I am concerned about is with a regular flu I typically feel better when my fever "breaks". The nurses and Health Department informed me once my fever goes away and stays gone for three days, I am essentially in the clear. (I must wait the minimum 10 days of beginning of onset of symptoms too) . But I dont know if the fever "breaks" because despite fever symptoms, I didnt have a temperature. And the chills keeps coming and going? Any advice?** 
Not relevant to the questions but for anyone who is curious about my current symptoms ( will update as day goes on) 
Me: 26F, 5'3 , 126 lbs, healthy-ish eater, not much exercise for past couple of weeks
&amp;amp;#x200B;
* Monday (Day One) : Fine during the day. Stressful day and beginning of menstrual cycle. I believe the intense stress of the day weakened my immune system to allow a stronger COVID. During the night, I felt fatigue and and severe muscle aches and chills.
* Tuesday (Day Two): Woke up feeling unwell and slightly overheated. Got ready and departed for work. At work (health care worker)  , my temperature was screened and it was a healthy 98.6. Shortly after getting to work, I got severe chills and body aches. Nurses took a swab to test for COVID and sent me home. Throughout the day, severe chills and body aches. Alternating between chills and heating.  Took tylenol and felt better at night. Still no "temperature" indicating no fever despite fever symptoms. Nauseous comng and going in small spurts. Very fatigued and low energy.  Sore throat coming.  Can smell, almost no taste. 
* Wednesday (Day Three): Woke up feeling fine and almost completely better. Then as more time went on, the symptoms returned. Chills came and go in spurts, Tylenol helped keep this at bay. Still very fatigued and low energy. Went to try and walk and got dizzy. Nauseous coming and going again. HEadache (likely from lying down all day). Can smell, almost no taste. 
* Thursday (Day Four): TODAY - Woke up feeling okay again. Symptoms come and go with chills but they are not as bad. Fatigued and weak. Ocassionally going between overheat and chills again but not as intense. Coughing is much more but doesn't hurt. Slight runny nose. Slight diarrhea. Naseous occasionally. Can smell and almost no taste. 
Overall, the symptoms are still there with some new ones occurring, but they're not too bad. It's certainly not fun but the worse day (Tuesday), passed. I'm hoping is keeps that way. Certainly not been the worse flu i've had but seems to be going on the longest. I am typically over a flu in three days max.  IT's not too rough, just not easy with everything mixed into one. I am going to stop taking Tylenol to see if my body will begin to fight it on its own now. 
Symptoms so far within four days: chills, muscle aches, loss of taste, slight cough, nausea, fatigue, low energy and weak body, headache, diarrhea</t>
        </is>
      </c>
      <c r="D2228" t="n">
        <v>1</v>
      </c>
      <c r="E2228" t="n">
        <v>4</v>
      </c>
      <c r="F2228">
        <f>HYPERLINK("https://www.reddit.com/r/COVID19positive/comments/hfqvny/26f_fever_symptons_but_no_temperature_my/")</f>
        <v/>
      </c>
      <c r="G2228" t="inlineStr">
        <is>
          <t>2020-06-25 11:03:17</t>
        </is>
      </c>
      <c r="H2228" t="inlineStr">
        <is>
          <t>Tested Positive - Me</t>
        </is>
      </c>
    </row>
    <row r="2229">
      <c r="A2229" t="inlineStr">
        <is>
          <t>hfrduc</t>
        </is>
      </c>
      <c r="B2229" t="inlineStr">
        <is>
          <t>Should I get tested?</t>
        </is>
      </c>
      <c r="C2229" t="inlineStr">
        <is>
          <t>A Mom from daycare was positive from her test last Friday. 
I've had the following the past couple of days:
* Bad headache Tues (almost migraine-like w/ light and sound sensitivity)
* Diarrhea
* Nausea
* Lower back pain started yesterday, coming on again today
My wife also has had a headache, nausea, diarrhea off and on this week. No fever or SOB really to speak of though for either of us. 
Worth trying to get tested at this point? We're both working from home so obviously distancing as much as possible. We're 30/31 with 2 kids under 3 if that means anything.</t>
        </is>
      </c>
      <c r="D2229" t="n">
        <v>1</v>
      </c>
      <c r="E2229" t="n">
        <v>6</v>
      </c>
      <c r="F2229">
        <f>HYPERLINK("https://www.reddit.com/r/COVID19positive/comments/hfrduc/should_i_get_tested/")</f>
        <v/>
      </c>
      <c r="G2229" t="inlineStr">
        <is>
          <t>2020-06-25 11:30:35</t>
        </is>
      </c>
      <c r="H2229" t="inlineStr">
        <is>
          <t>Tested Positive - Friends</t>
        </is>
      </c>
    </row>
    <row r="2230">
      <c r="A2230" t="inlineStr">
        <is>
          <t>hfrhx8</t>
        </is>
      </c>
      <c r="B2230" t="inlineStr">
        <is>
          <t>Catching Covid twice</t>
        </is>
      </c>
      <c r="C2230" t="inlineStr">
        <is>
          <t>Hi! So I tested positive on May 8th, and was deemed recovered on June 1st with a negative test. 
I went back to work and resumed my regular life, still taking precautions. Things started opening up where I live so I went to dinner with friends a few times and felt 90% normal other than some fatigue and mental stress. However, last night I woke up with a sore throat and cough again. Instant panic. Called my work and was advised to stay home, then called my health provider who wants me to get tested again because they have seen people who have recovered become reinfected again. I’m terrified. It could possibly be that I have tonsillitis or something else, but the cough really threw me off. This time feels different, more like a head cold and fatigue where as last time I had respiratory issues and loss of taste and smell. Has anyone been through this?? I don’t think I can go through having Covid twice. And if people really are catching it again this soon... how is it ever going to end?</t>
        </is>
      </c>
      <c r="D2230" t="n">
        <v>1</v>
      </c>
      <c r="E2230" t="n">
        <v>17</v>
      </c>
      <c r="F2230">
        <f>HYPERLINK("https://www.reddit.com/r/COVID19positive/comments/hfrhx8/catching_covid_twice/")</f>
        <v/>
      </c>
      <c r="G2230" t="inlineStr">
        <is>
          <t>2020-06-25 11:37:09</t>
        </is>
      </c>
      <c r="H2230" t="inlineStr">
        <is>
          <t>Tested Positive - Me</t>
        </is>
      </c>
    </row>
    <row r="2231">
      <c r="A2231" t="inlineStr">
        <is>
          <t>hfrvxy</t>
        </is>
      </c>
      <c r="B2231" t="inlineStr">
        <is>
          <t>Any longhaulers/recovered seeing increased susceptibility to other infections?</t>
        </is>
      </c>
      <c r="C2231" t="inlineStr">
        <is>
          <t>36F, Presumptive positive end of March (day 96!). Overweight but active, autoimmune thyroid condition. Actual course was reasonably mild, lost smell for 21+ days (currently at \~95% returned, no coffee!), elevated temps (\~99.5-100), slight cough. 
&amp;amp;#x200B;
&amp;amp;#x200B;
In the months after recovering, I've noticed I'm getting all sorts of weird other infections/issues when normally I'm way more resistant to infections. My husband has frequently had colds/flus that I've never caught a whiff of (even when he had a gnarly flu-pneumonia a few years back). I haven't taken antibiotics or anything in probably 4 years. I've been mostly staying at home aside from the 2-3x a month shop trip, bicycling (with a mask), picking up takeout, so it's not like I'm exposing myself to much, but it seems like my immune system is just over it and taxed and done, so any little anything just gets a bit out of control and I have a runaway infection.
&amp;amp;#x200B;
&amp;amp;#x200B;
For example, a cyst I've had for years got infected and abscessed, I got a fungal skin infection, and right now, I think I have a weird gut bacterial infection a'brewin (replete with new fevers, sore throat, and GI issues). 
&amp;amp;#x200B;
&amp;amp;#x200B;
Curious if anyone else is having these issues, too!</t>
        </is>
      </c>
      <c r="D2231" t="n">
        <v>1</v>
      </c>
      <c r="E2231" t="n">
        <v>19</v>
      </c>
      <c r="F2231">
        <f>HYPERLINK("https://www.reddit.com/r/COVID19positive/comments/hfrvxy/any_longhaulersrecovered_seeing_increased/")</f>
        <v/>
      </c>
      <c r="G2231" t="inlineStr">
        <is>
          <t>2020-06-25 11:59:04</t>
        </is>
      </c>
      <c r="H2231" t="inlineStr">
        <is>
          <t>Presumed Positive - From Doctor</t>
        </is>
      </c>
    </row>
    <row r="2232">
      <c r="A2232" t="inlineStr">
        <is>
          <t>hfsuwz</t>
        </is>
      </c>
      <c r="B2232" t="inlineStr">
        <is>
          <t>Contagious timeline?</t>
        </is>
      </c>
      <c r="C2232" t="inlineStr">
        <is>
          <t>Does anyone actually know how long you are contagious for? Is it until after your symptoms are gone?
My only symptom so far is no taste or smell. The urgent care doctor told me after my positive result I had to quarantine a week as long as no new symptoms arise. Then after that I’m no longer contagious and can live my life?
Also, what’s the deal with negative test results? I’ve heard people can test positive even months later, but if you test positive you have to quarantine afterwards even when you aren’t contagious anymore. 
I know nothings set in stone but I’m new to this sub and been browsing and getting a lot of mixed reviews. Would appreciate any input. TIA</t>
        </is>
      </c>
      <c r="D2232" t="n">
        <v>1</v>
      </c>
      <c r="E2232" t="n">
        <v>4</v>
      </c>
      <c r="F2232">
        <f>HYPERLINK("https://www.reddit.com/r/COVID19positive/comments/hfsuwz/contagious_timeline/")</f>
        <v/>
      </c>
      <c r="G2232" t="inlineStr">
        <is>
          <t>2020-06-25 12:52:10</t>
        </is>
      </c>
      <c r="H2232" t="inlineStr">
        <is>
          <t>Tested Positive</t>
        </is>
      </c>
    </row>
    <row r="2233">
      <c r="A2233" t="inlineStr">
        <is>
          <t>hfsw50</t>
        </is>
      </c>
      <c r="B2233" t="inlineStr">
        <is>
          <t>pulling my hair out, well actually it is falling out on it own?</t>
        </is>
      </c>
      <c r="C2233" t="inlineStr">
        <is>
          <t>anyone experiencing hair loss?</t>
        </is>
      </c>
      <c r="D2233" t="n">
        <v>1</v>
      </c>
      <c r="E2233" t="n">
        <v>14</v>
      </c>
      <c r="F2233">
        <f>HYPERLINK("https://www.reddit.com/r/COVID19positive/comments/hfsw50/pulling_my_hair_out_well_actually_it_is_falling/")</f>
        <v/>
      </c>
      <c r="G2233" t="inlineStr">
        <is>
          <t>2020-06-25 12:54:04</t>
        </is>
      </c>
      <c r="H2233" t="inlineStr">
        <is>
          <t>Tested Positive - Me</t>
        </is>
      </c>
    </row>
    <row r="2234">
      <c r="A2234" t="inlineStr">
        <is>
          <t>hfsztl</t>
        </is>
      </c>
      <c r="B2234" t="inlineStr">
        <is>
          <t>Symtpoms post 7 weeks</t>
        </is>
      </c>
      <c r="C2234" t="inlineStr">
        <is>
          <t>The obvious viral symptoms are starting to ease but ive developed a heavyness in my upper back and neck, literally like a weight pulling me down, digging pains in chest, and sharp almost twitch like pains, there feels like there pressure in my hands and soreness, tachy/brady heartrate too. Im just abit worried about blood clots at this stage, whats the warning signs to look out for?</t>
        </is>
      </c>
      <c r="D2234" t="n">
        <v>1</v>
      </c>
      <c r="E2234" t="n">
        <v>3</v>
      </c>
      <c r="F2234">
        <f>HYPERLINK("https://www.reddit.com/r/COVID19positive/comments/hfsztl/symtpoms_post_7_weeks/")</f>
        <v/>
      </c>
      <c r="G2234" t="inlineStr">
        <is>
          <t>2020-06-25 12:59:51</t>
        </is>
      </c>
      <c r="H2234" t="inlineStr">
        <is>
          <t>Tested Positive</t>
        </is>
      </c>
    </row>
    <row r="2235">
      <c r="A2235" t="inlineStr">
        <is>
          <t>hfuc2b</t>
        </is>
      </c>
      <c r="B2235" t="inlineStr">
        <is>
          <t>Tingling in fingers and toes?</t>
        </is>
      </c>
      <c r="C2235" t="inlineStr">
        <is>
          <t>Hey all, I (28F) was infected in late February, and began having symptoms the first week of March - they started as mostly symptoms that (while somewhat unusual for me) I could dismiss as allergies but then by mid March I started having SOB and chest pain. I’ve talked with three doctor friends who happen to be in ERs across the country (I’m in the good ol’ USofAilments baby) and they all think I have it, although I have not been tested.
I’ve been sick since then, with lots of the long haul symptoms I see discussed here, some sporadic and some constant: SOB, fatigue, brain fog, sore throat, wonky cough, some days I have a runny nose and sneezing fits and other days it’s fine, joint pain, muscle pain, extreme weakness (yesterday I couldn’t lift the vacuum cleaner, a problem I didn’t have last week), headaches, loss of sense of smell and taste, photosensitivity, and my hearing has been fucked up - I work with audio when I’m healthy and I recently noticed that I have been perceiving sounds I know really well (imagine like, a song you’ve listened to 1000s times/everyday) in weird ways, like I’m not processing frequencies correctly. 
Symptoms come and go, it feels like a sine wave in that there are good days and bad days and it’s cyclical. When I’m lucky, it’s three steps forward, two steps back, but sometimes it’s four or five steps back.
Additionally, I have Raynaud’s, I was diagnosed a couple years ago and generally it’s not a problem. Around the same time I was diagnosed, I complained to a doctor that I was losing feeling in my big toe; the feeling was sort of like “it’s falling asleep” (pins and needles) and weird tingling. She didn’t know what it was but when my lab work came back she said I was B-12 deficient, gave me a B-12 shot, and on the walk home the feeling in my toes returned. So I’ve been taking B-12 supplements since then and I’ve largely not had problems. This type of nerve pain can be worse for people with Raynaud’s so when the B-12 helped immediately, my doc and I chalked it up to the deficiency (because otherwise if google it, the results are like THIS IS PERMANENT YOU SHOULD FREAK OUT) 
Since getting COVID, the tingling is back, and not just in my toes, but also my hands. In my feet it starts in my left big toe and moves into the rest of my foot from there, with another “starting patch” near my heel, but the worst of it is in my hands: as I type this, nearly half of each hand is tingling. It starts in my pinkies (left hand first &amp;amp; more intense) and spreads to the ring fingers and then continues to the middle fingers and the palm near those fingers. Like my feet, there seems to be a second “starting patch” in the palm just below my thumb that spreads into my thumb. At this point in my recovery, it feels like the only symptom that is actively getting worse - I still have bad days where I’m way worse than I was the day before (last week I tried to play catch because my lungs had mostly stopped hurting and after a few throws I was in tears because of the shatter-y pain in my lungs) but other than the tingling, I’m generally trending upwards. 
Soo... does this sound familiar for anyone? I’ve been taking B-12 (because I always take B-12) but before getting sick if I started to feel tingly, it was usually a reminder that I’d forgotten to take the supplement and as long as I took it that day, the sensation would be gone the next day. Any thoughts or suggestions? Thank you thank you! Hope everyone is having a mildly better day than yesterday :)</t>
        </is>
      </c>
      <c r="D2235" t="n">
        <v>1</v>
      </c>
      <c r="E2235" t="n">
        <v>14</v>
      </c>
      <c r="F2235">
        <f>HYPERLINK("https://www.reddit.com/r/COVID19positive/comments/hfuc2b/tingling_in_fingers_and_toes/")</f>
        <v/>
      </c>
      <c r="G2235" t="inlineStr">
        <is>
          <t>2020-06-25 14:14:43</t>
        </is>
      </c>
      <c r="H2235" t="inlineStr">
        <is>
          <t>Presumed Positive - From Doctor</t>
        </is>
      </c>
    </row>
    <row r="2236">
      <c r="A2236" t="inlineStr">
        <is>
          <t>hfukfp</t>
        </is>
      </c>
      <c r="B2236" t="inlineStr">
        <is>
          <t>Has anyone had a really low temp instead of a fever?</t>
        </is>
      </c>
      <c r="C2236" t="inlineStr">
        <is>
          <t>I’m presumed positive and awaiting test results (will hopefully get results tomorrow). I was exposed through my kids last week - they had direct contact with someone who got a positive test later that day (this person was asymptomatic). My kids have not been tested, but they have both since had bouts of diarrhea lasting multiple days, and I now have general fatigue, sore throat, body aches, chills, itchy/crusty eyes, and a mild headache. However, I haven’t run any sort of fever, in fact, multiple times my temp has been below 95 degrees, even when I’m covered by a blanket and in warm clothes.
Has anyone else experienced really low temps instead of a fever?? Any suggestions on what to do about it, if anything? I haven’t taken any Tylenol or other fever reducing medicines.</t>
        </is>
      </c>
      <c r="D2236" t="n">
        <v>1</v>
      </c>
      <c r="E2236" t="n">
        <v>15</v>
      </c>
      <c r="F2236">
        <f>HYPERLINK("https://www.reddit.com/r/COVID19positive/comments/hfukfp/has_anyone_had_a_really_low_temp_instead_of_a/")</f>
        <v/>
      </c>
      <c r="G2236" t="inlineStr">
        <is>
          <t>2020-06-25 14:27:48</t>
        </is>
      </c>
      <c r="H2236" t="inlineStr">
        <is>
          <t>Presumed Positive - From Doctor</t>
        </is>
      </c>
    </row>
    <row r="2237">
      <c r="A2237" t="inlineStr">
        <is>
          <t>hfv4u3</t>
        </is>
      </c>
      <c r="B2237" t="inlineStr">
        <is>
          <t>Long-termer with walking issues</t>
        </is>
      </c>
      <c r="C2237" t="inlineStr">
        <is>
          <t>Long-termer, dealing with it since March 22nd. Had a good three weeks recently where my walking range was getting better and better. Now I can’t walk for more than a few minutes without the feeling of my muscles being “gassed out” like I’ve been hill climbing. And this is with me really taking it easy. Has anybody experienced this? Have you seen improvement?
I’m also having muscle inflammation in my back, spine and neck, insomnia, some GI issues, costochondritis, fatigue (but no brain fog) and skin buzzing sensations.</t>
        </is>
      </c>
      <c r="D2237" t="n">
        <v>1</v>
      </c>
      <c r="E2237" t="n">
        <v>4</v>
      </c>
      <c r="F2237">
        <f>HYPERLINK("https://www.reddit.com/r/COVID19positive/comments/hfv4u3/longtermer_with_walking_issues/")</f>
        <v/>
      </c>
      <c r="G2237" t="inlineStr">
        <is>
          <t>2020-06-25 14:59:43</t>
        </is>
      </c>
      <c r="H2237" t="inlineStr">
        <is>
          <t>Presumed Positive - From Doctor</t>
        </is>
      </c>
    </row>
    <row r="2238">
      <c r="A2238" t="inlineStr">
        <is>
          <t>hfvl8v</t>
        </is>
      </c>
      <c r="B2238" t="inlineStr">
        <is>
          <t>Low-dose steroids for "long haul" post-viral inflammation? Let's talk!</t>
        </is>
      </c>
      <c r="C2238" t="inlineStr">
        <is>
          <t>Hi guys, long-time lurker, looking to get input about the use of dexamethasone or prednisone for post-viral symptoms (per the sub rules, no medical advice please, just stories and sources).
The thought behind using steroids is that they tamp down an overactive immune response, which some doctors believe is responsible for post-viral syndromes. I know a lot of people here are struggling with fatigue, shortness of breath, and other ongoing symptoms well past the end of acute infection. Me, I am on day 100. Yup, over three months. To mark this auspicious anniversary, I decided to break my "lurker" status and reach out to you all with this question.
I am currently working with my doctor to explore viable treatment options for these symptoms, and I mentioned dexamethasone to him. He agrees that a steroid would probably help this apparent inflammatory condition, but for his own knowledge he asked me to pass along any research or anecdotal evidence that I come across.
So - has anyone here used dexamethasone or prednisone to treat post-viral fatigue? Has anyone seen studies that might indicate its therapeutic potential?
Doctors are learning all of this right along with us, so we should all try to help each other. Let's pool resources and share info!</t>
        </is>
      </c>
      <c r="D2238" t="n">
        <v>1</v>
      </c>
      <c r="E2238" t="n">
        <v>57</v>
      </c>
      <c r="F2238">
        <f>HYPERLINK("https://www.reddit.com/r/COVID19positive/comments/hfvl8v/lowdose_steroids_for_long_haul_postviral/")</f>
        <v/>
      </c>
      <c r="G2238" t="inlineStr">
        <is>
          <t>2020-06-25 15:25:46</t>
        </is>
      </c>
      <c r="H2238" t="inlineStr">
        <is>
          <t>Tested Positive - Me</t>
        </is>
      </c>
    </row>
    <row r="2239">
      <c r="A2239" t="inlineStr">
        <is>
          <t>hfw3x3</t>
        </is>
      </c>
      <c r="B2239" t="inlineStr">
        <is>
          <t>So far, I have been positive for COVID going on 4-5 weeks now with symptoms. Has anyone else experienced this?</t>
        </is>
      </c>
      <c r="C2239" t="inlineStr">
        <is>
          <t>For context, prior to becoming sick, I'm an ER nurse who worked a COVID response unit. I'm a 24F and the gold standard of health! I've also been through much worse (sepsis 2x, flesh eating bacteria, lyme disease, to name a few) but I've got to say, this takes the cake. I've been sick with all the symptoms for a little more than a month now, and I'm still positive. 
I dont know, I dont understand it. The CDC or the Department of Health dont have an answer for me either. Has anyone else been through this? Or know someone who has?
Thanks in advance!</t>
        </is>
      </c>
      <c r="D2239" t="n">
        <v>1</v>
      </c>
      <c r="E2239" t="n">
        <v>9</v>
      </c>
      <c r="F2239">
        <f>HYPERLINK("https://www.reddit.com/r/COVID19positive/comments/hfw3x3/so_far_i_have_been_positive_for_covid_going_on_45/")</f>
        <v/>
      </c>
      <c r="G2239" t="inlineStr">
        <is>
          <t>2020-06-25 15:56:45</t>
        </is>
      </c>
      <c r="H2239" t="inlineStr">
        <is>
          <t>Tested Positive</t>
        </is>
      </c>
    </row>
    <row r="2240">
      <c r="A2240" t="inlineStr">
        <is>
          <t>hfw3y7</t>
        </is>
      </c>
      <c r="B2240" t="inlineStr">
        <is>
          <t>still super early on and feel like i’ve been hit by a dump truck.</t>
        </is>
      </c>
      <c r="C2240" t="inlineStr">
        <is>
          <t>F23, type one diabetic.
days 1-3 (6.20-6.23) do I have allergies??? am i manifesting these symptoms? no way it should happen so fast. definitely just paranoid. classic allergy symptoms, tickle in throat, kind of congested/stuffy but not really. 
day 4 (6.24) starting to think i’m getting sick, tickle in throat has turned into sore throat. more tired than usual. headache. 99 degree constant temperature. random dizziness. increased appetite? lowered energy levels.
day 5 (6.25) woke up feeling pretty bad, slight ear pain, glands are swollen on neck. sore throat that kind of makes it hard to breathe. tightness and pain in chest. dizzy spells. temperature starting to rise a little, 99.9 at its highest so far. 
i have scheduled an appointment to get tested for 6.29 after speaking to a doctor through telemedicine, presumed positive due to symptoms and exposure to someone who has since tested positive.
in the meantime, what can I do for relief? what medicine, if any, helped your symptoms? what helped you keep your spirits up?</t>
        </is>
      </c>
      <c r="D2240" t="n">
        <v>1</v>
      </c>
      <c r="E2240" t="n">
        <v>9</v>
      </c>
      <c r="F2240">
        <f>HYPERLINK("https://www.reddit.com/r/COVID19positive/comments/hfw3y7/still_super_early_on_and_feel_like_ive_been_hit/")</f>
        <v/>
      </c>
      <c r="G2240" t="inlineStr">
        <is>
          <t>2020-06-25 15:56:48</t>
        </is>
      </c>
      <c r="H2240" t="inlineStr">
        <is>
          <t>Presumed Positive - From Doctor</t>
        </is>
      </c>
    </row>
    <row r="2241">
      <c r="A2241" t="inlineStr">
        <is>
          <t>hfwk9g</t>
        </is>
      </c>
      <c r="B2241" t="inlineStr">
        <is>
          <t>Pet owners!</t>
        </is>
      </c>
      <c r="C2241" t="inlineStr">
        <is>
          <t xml:space="preserve">
Hi I just got my results yesterday and I am positive. I have a dog and she’s always with me... my question is how do I go about that? Is she okay to be around me or not?</t>
        </is>
      </c>
      <c r="D2241" t="n">
        <v>1</v>
      </c>
      <c r="E2241" t="n">
        <v>10</v>
      </c>
      <c r="F2241">
        <f>HYPERLINK("https://www.reddit.com/r/COVID19positive/comments/hfwk9g/pet_owners/")</f>
        <v/>
      </c>
      <c r="G2241" t="inlineStr">
        <is>
          <t>2020-06-25 16:24:06</t>
        </is>
      </c>
      <c r="H2241" t="inlineStr">
        <is>
          <t>Tested Positive - Me</t>
        </is>
      </c>
    </row>
    <row r="2242">
      <c r="A2242" t="inlineStr">
        <is>
          <t>hfxxlg</t>
        </is>
      </c>
      <c r="B2242" t="inlineStr">
        <is>
          <t>5 days in</t>
        </is>
      </c>
      <c r="C2242" t="inlineStr">
        <is>
          <t>I’m five days into being officially positive for Covid and tbh my symptoms are so mild it’s hard to believe I’m even sick. I lost my sense of smell completely on Tuesday and that and mild congestion in my sinus are the only symptoms I’m showing. I haven’t been taking any medicine. I literally just been sitting in my room watching tv and sleeping on and off for days. Has anyone had the same experience? Is this the calm before the storm?</t>
        </is>
      </c>
      <c r="D2242" t="n">
        <v>1</v>
      </c>
      <c r="E2242" t="n">
        <v>45</v>
      </c>
      <c r="F2242">
        <f>HYPERLINK("https://www.reddit.com/r/COVID19positive/comments/hfxxlg/5_days_in/")</f>
        <v/>
      </c>
      <c r="G2242" t="inlineStr">
        <is>
          <t>2020-06-25 17:52:57</t>
        </is>
      </c>
      <c r="H2242" t="inlineStr">
        <is>
          <t>Tested Positive - Me</t>
        </is>
      </c>
    </row>
    <row r="2243">
      <c r="A2243" t="inlineStr">
        <is>
          <t>hfy8mo</t>
        </is>
      </c>
      <c r="B2243" t="inlineStr">
        <is>
          <t>My dad just told me he had covid...</t>
        </is>
      </c>
      <c r="C2243" t="inlineStr">
        <is>
          <t>Idk I’ve been crying all day, he told me he’s fine and he’s had it for a week but I’m worried. He used to smoke so I feel his lungs are not good and I see all those posts from doctors saying, “even if you get well, you’ll still have [insert lung or other health issues] that have developed form this” I’m so scared any positive messages or prayers please are welcome. Idk what to do now - he’s been at home isolating and hopefully recovering but idk what to do</t>
        </is>
      </c>
      <c r="D2243" t="n">
        <v>1</v>
      </c>
      <c r="E2243" t="n">
        <v>8</v>
      </c>
      <c r="F2243">
        <f>HYPERLINK("https://www.reddit.com/r/COVID19positive/comments/hfy8mo/my_dad_just_told_me_he_had_covid/")</f>
        <v/>
      </c>
      <c r="G2243" t="inlineStr">
        <is>
          <t>2020-06-25 18:13:22</t>
        </is>
      </c>
      <c r="H2243" t="inlineStr">
        <is>
          <t>Tested Positive - Family</t>
        </is>
      </c>
    </row>
    <row r="2244">
      <c r="A2244" t="inlineStr">
        <is>
          <t>hfyljd</t>
        </is>
      </c>
      <c r="B2244" t="inlineStr">
        <is>
          <t>Anyone experience chest pain?</t>
        </is>
      </c>
      <c r="C2244" t="inlineStr">
        <is>
          <t>I’m on day 12 and have had very mild symptoms. Mostly loss of taste and smell, no appetite, mild congestion in the beginning. This afternoon I started having some chest pain. My heart rate and breathing rate is normal. The pain is like a slight pressure slight burning sensation. Anyone else experience this?</t>
        </is>
      </c>
      <c r="D2244" t="n">
        <v>1</v>
      </c>
      <c r="E2244" t="n">
        <v>8</v>
      </c>
      <c r="F2244">
        <f>HYPERLINK("https://www.reddit.com/r/COVID19positive/comments/hfyljd/anyone_experience_chest_pain/")</f>
        <v/>
      </c>
      <c r="G2244" t="inlineStr">
        <is>
          <t>2020-06-25 18:37:39</t>
        </is>
      </c>
      <c r="H2244" t="inlineStr">
        <is>
          <t>Tested Positive - Me</t>
        </is>
      </c>
    </row>
    <row r="2245">
      <c r="A2245" t="inlineStr">
        <is>
          <t>hfynfk</t>
        </is>
      </c>
      <c r="B2245" t="inlineStr">
        <is>
          <t>Did taking vitamin-b12 worsen any of your symptoms?</t>
        </is>
      </c>
      <c r="C2245" t="inlineStr">
        <is>
          <t>Everytime i take vitamin b-12 i go from fine to horrible. Idk if there is any clear connection, it might be some crazy coincidence or something
Have y'all experienced this?</t>
        </is>
      </c>
      <c r="D2245" t="n">
        <v>1</v>
      </c>
      <c r="E2245" t="n">
        <v>15</v>
      </c>
      <c r="F2245">
        <f>HYPERLINK("https://www.reddit.com/r/COVID19positive/comments/hfynfk/did_taking_vitaminb12_worsen_any_of_your_symptoms/")</f>
        <v/>
      </c>
      <c r="G2245" t="inlineStr">
        <is>
          <t>2020-06-25 18:41:10</t>
        </is>
      </c>
      <c r="H2245" t="inlineStr">
        <is>
          <t>Presumed Positive - From Doctor</t>
        </is>
      </c>
    </row>
    <row r="2246">
      <c r="A2246" t="inlineStr">
        <is>
          <t>hfz0v6</t>
        </is>
      </c>
      <c r="B2246" t="inlineStr">
        <is>
          <t>Anyone else with mild/no symptoms having a hard time figuring out when to see people again post-infection?</t>
        </is>
      </c>
      <c r="C2246" t="inlineStr">
        <is>
          <t>I'm coming up on the end of my self-isolation period of 14 days and I feel a paralyzed about what to do as far as reintegrating into my pre-isolation routine. How do I know that I'm not going to spread the virus? 
I've had loss of smell and taste and a little dizziness, but never had a fever or chills (thankfully) so I'm having a hard time figuring out when to I can actually go see my friends again and stop barricading myself in my room (to protect the roomie).
I know the CDC currently says 3 days post fever w no meds (doesn't apply) and 10 days since symptoms first appeared (I'm doing 14).  I'm seeing mixed messaging about testing again: either yes, test and you need two negative results in a row; or no don't test b/c viral shedding may cause you to test positive even if it's dead viral matter.
 I've seen some advice to wait 2 days after symptoms subside, but does that count w anosmia, which I've seen can be pretty long-lasting? Anyone successfully reintegrate without spreading the virus?</t>
        </is>
      </c>
      <c r="D2246" t="n">
        <v>1</v>
      </c>
      <c r="E2246" t="n">
        <v>10</v>
      </c>
      <c r="F2246">
        <f>HYPERLINK("https://www.reddit.com/r/COVID19positive/comments/hfz0v6/anyone_else_with_mildno_symptoms_having_a_hard/")</f>
        <v/>
      </c>
      <c r="G2246" t="inlineStr">
        <is>
          <t>2020-06-25 19:07:04</t>
        </is>
      </c>
      <c r="H2246" t="inlineStr">
        <is>
          <t>Tested Positive - Me</t>
        </is>
      </c>
    </row>
    <row r="2247">
      <c r="A2247" t="inlineStr">
        <is>
          <t>hfzkxc</t>
        </is>
      </c>
      <c r="B2247" t="inlineStr">
        <is>
          <t>17 F day 9/10 of symptoms, will i get worse from here?</t>
        </is>
      </c>
      <c r="C2247" t="inlineStr">
        <is>
          <t>im on day 9/10 and my symptoms so far have improved. i had been vomiting and diarrhea the first week but started taking nausea medicine which helped. i also had dizziness and ringing ears the first week but yesterday and today the ringing in my ears is gone, i havent been nauseous (i stopped taking the nausea pills to see how id feel without them) and im barely dizzy. but now im experiencing minor chest aches (?), feeling winded and fatigued. i have no prior illnesses and i was completely healthy before i got covid.. any predictions on if i will get worse ? or get better ? my anxiety is so bad i cant help but be so scared that im going end up feeling worse. pls help me.</t>
        </is>
      </c>
      <c r="D2247" t="n">
        <v>1</v>
      </c>
      <c r="E2247" t="n">
        <v>16</v>
      </c>
      <c r="F2247">
        <f>HYPERLINK("https://www.reddit.com/r/COVID19positive/comments/hfzkxc/17_f_day_910_of_symptoms_will_i_get_worse_from/")</f>
        <v/>
      </c>
      <c r="G2247" t="inlineStr">
        <is>
          <t>2020-06-25 19:45:52</t>
        </is>
      </c>
      <c r="H2247" t="inlineStr">
        <is>
          <t>Tested Positive - Me</t>
        </is>
      </c>
    </row>
    <row r="2248">
      <c r="A2248" t="inlineStr">
        <is>
          <t>hg056z</t>
        </is>
      </c>
      <c r="B2248" t="inlineStr">
        <is>
          <t>Long term (19 weeks) - pulmonologist visit</t>
        </is>
      </c>
      <c r="C2248" t="inlineStr">
        <is>
          <t xml:space="preserve">
Tl&amp;amp;dr- most doctors are mostly useless in our current situation. Appreciate the good ones.
...
I got sick Feb 15. My shortness of breath is still so bad, my PCP sent me to a pulmonologist today. It wasn't a totally unhelpful visit, but was frustrating. He ordered a lung function test for 12 days from now, said my lungs sound clear and prescribed me a different rescue inhaler (haven't picked it up yet). 
But he doesn't seem to know anything at all about long tail covid and I am just baffled. He's a lung doctor during a pandemic of a respiratory disease, ffs. You'd think he would read up on it. He also didn't ask how my chest/lungs feel- isn't that a basic piece of information he needs?? (Chest usually feels like a horse is standing on it, can't take a deep breath without massive effort, I've been coughing up green phlegm for 4 months &amp;amp; it hurts to breathe,  fyi, doctor... Oh yeah &amp;amp; it feels like my breathing stops when I'm falling asleep quite often.)
He thinks my lung function test will be normal and then he will determine whether this is asthma or COPD- caused by the years I was a smoker. Absolutely sure that what is wrong with me is caused by smoking- what a coincidence that I have had every symptom of covid during a pandemic and my symptoms/disease course match that of so many others but that's when this COPD/asthma started?? He did not ask one question about the symptoms I had when I first got sick, just said it could have been lots of different diseases, flu etc. (I had a negative flu test btw.).
He was adamant it wasn't covid because my CT scan was clear and "something always shows on the scan with covid patients". Ok..... How many CT scans has he seen which were not from hospitalized severe/critical patients? CT scans done a full 3 months after symptoms started? Uh.... How many CT scans of covid patients has he seen *at all*? Our entire state has had less than 3,000 cases &amp;amp; we have at least 100 pulmonologists. And regardless, what is *not known* about covid at this point is huge. How can any doctor state *anything* about it definitively? AUGH.
He told me to use my rescue inhaler and exercise. I said that all activity makes my symptoms worse, that there are many people experiencing the same thing and my PCP said that activity triggering symptoms is a known problem. He totally blew it off. Oh well. 
One thing's for sure- the visit made me appreciate my kickass PCP even more. She is intelligent enough to recognize that she doesn't know everything and is willing to admit it.</t>
        </is>
      </c>
      <c r="D2248" t="n">
        <v>1</v>
      </c>
      <c r="E2248" t="n">
        <v>28</v>
      </c>
      <c r="F2248">
        <f>HYPERLINK("https://www.reddit.com/r/COVID19positive/comments/hg056z/long_term_19_weeks_pulmonologist_visit/")</f>
        <v/>
      </c>
      <c r="G2248" t="inlineStr">
        <is>
          <t>2020-06-25 20:26:29</t>
        </is>
      </c>
      <c r="H2248" t="inlineStr">
        <is>
          <t>Presumed Positive - From Doctor</t>
        </is>
      </c>
    </row>
    <row r="2249">
      <c r="A2249" t="inlineStr">
        <is>
          <t>hg0xiv</t>
        </is>
      </c>
      <c r="B2249" t="inlineStr">
        <is>
          <t>Sudden chills and fatigue followed by a day of no symptoms— strange</t>
        </is>
      </c>
      <c r="C2249" t="inlineStr">
        <is>
          <t>It all started this past Thursday, June 18. I spent my day off trying to knockout content in my ever-growing Netflix list, when I suddenly felt a headache. I thought it was weird but didn't think much more of it. Later that night I got the chills and muscle fatigue; I couldn't get warm for anything. I'm pretty sure I was running a fever, but for whatever reason, I didn't check. This continued on into the next day, but the day after, I felt fine. Before returning to work that Saturday morning, I called my boss who recommended I take a COVID test. Every testing center in Broward County that I called either didn't have availability for many days or outright wouldn't test me for COVID because I "didn't have symptoms" anymore [In Florida, the state is setting records for single day new cases like every other day, so I presume things are backed up]. I wanted to get back to work soon and figured the least I could do in the meantime is take an antibody test to see if I had any immunity. 
I went to my local MDNow Urgent Care where they provided an easy walk-in antibody test.
The doctor that saw me asked about by symptoms and concluded that it sounded like I had COVID. She expedited an appointment for testing that same day, but here I am almost six days later since the nasal swab and I have no results. Antibody test came back a day after I tested, and of course it was negative because if I had COVID, I wouldn't have developed antibodies so quickly.
Manager keeps asking for results and the anxiety of it all is driving me crazy, plus my family's getting paranoid.
I would note that since the chills and fatigue stopped, I've lost my sense of smell and taste. I'm experiencing a lot of coughing and sneezing in addition to a persistent runny nose, like a cold.
Will update when I get results 🙄.</t>
        </is>
      </c>
      <c r="D2249" t="n">
        <v>1</v>
      </c>
      <c r="E2249" t="n">
        <v>4</v>
      </c>
      <c r="F2249">
        <f>HYPERLINK("https://www.reddit.com/r/COVID19positive/comments/hg0xiv/sudden_chills_and_fatigue_followed_by_a_day_of_no/")</f>
        <v/>
      </c>
      <c r="G2249" t="inlineStr">
        <is>
          <t>2020-06-25 21:23:33</t>
        </is>
      </c>
      <c r="H2249" t="inlineStr">
        <is>
          <t>Presumed Positive - From Doctor</t>
        </is>
      </c>
    </row>
    <row r="2250">
      <c r="A2250" t="inlineStr">
        <is>
          <t>hg1s4i</t>
        </is>
      </c>
      <c r="B2250" t="inlineStr">
        <is>
          <t>Covid RASH</t>
        </is>
      </c>
      <c r="C2250" t="inlineStr">
        <is>
          <t>I (24 Female) tested positive for COVID about 5 days ago, but my symptoms began on June 15, almost two weeks ago. Yesterday I developed a severe rash all over my body. It is most concentrated on my legs, arms, chest, stomach, and face. It is very itchy. I took a Benadryl thinking it might be something I ate (even though I’ve hardly been eating because lack of taste) and it did nothing to the rash. In my area, it is becoming hard to have an appointment for a DR to call you via telehealth. The next appointment I could get is July 15. I guess I’m wondering if anyone else that is positive is having this sort of symptom? I don’t know if to go to an emergency room or if this is normal of the virus.</t>
        </is>
      </c>
      <c r="D2250" t="n">
        <v>1</v>
      </c>
      <c r="E2250" t="n">
        <v>8</v>
      </c>
      <c r="F2250">
        <f>HYPERLINK("https://www.reddit.com/r/COVID19positive/comments/hg1s4i/covid_rash/")</f>
        <v/>
      </c>
      <c r="G2250" t="inlineStr">
        <is>
          <t>2020-06-25 22:30:30</t>
        </is>
      </c>
      <c r="H2250" t="inlineStr">
        <is>
          <t>Tested Positive - Me</t>
        </is>
      </c>
    </row>
    <row r="2251">
      <c r="A2251" t="inlineStr">
        <is>
          <t>hg1x09</t>
        </is>
      </c>
      <c r="B2251" t="inlineStr">
        <is>
          <t>Taste :/</t>
        </is>
      </c>
      <c r="C2251" t="inlineStr">
        <is>
          <t>I know I know but I just want to say it....
I miss tasting food :( SMELLING THINGS. 
Y’all this is crazy, I was eating pizza when I noticed that I couldn’t taste a thing! It was painful. I’m grateful that it’s mild, but geeeeeezzzz man do I miss eating, smelling, and tasting. 
Just wanted to rant. :)</t>
        </is>
      </c>
      <c r="D2251" t="n">
        <v>1</v>
      </c>
      <c r="E2251" t="n">
        <v>9</v>
      </c>
      <c r="F2251">
        <f>HYPERLINK("https://www.reddit.com/r/COVID19positive/comments/hg1x09/taste/")</f>
        <v/>
      </c>
      <c r="G2251" t="inlineStr">
        <is>
          <t>2020-06-25 22:41:51</t>
        </is>
      </c>
      <c r="H2251" t="inlineStr">
        <is>
          <t>Tested Positive - Me</t>
        </is>
      </c>
    </row>
    <row r="2252">
      <c r="A2252" t="inlineStr">
        <is>
          <t>hg2cc8</t>
        </is>
      </c>
      <c r="B2252" t="inlineStr">
        <is>
          <t>I (21F) lost my sense of smell early on, and then loss my sense of taste much later on after recovering?</t>
        </is>
      </c>
      <c r="C2252" t="inlineStr">
        <is>
          <t>I lost my sense of smell completely on day 4 (today is day 10) and since day 6 I’ve been able to smell but it’s replaced by a really rancid, bitter smell and EVERYTHING smells like this. It’s very strange and the only way I can describe it is that it smells like sickness, like pneumonia. My real sense of smell has been slowly creeping back recently but only if I hold something fragrant close to my nose. I’ve had my sense of taste pretty much left alone before today, but now that my smell is coming back, my taste is disappearing? Has anyone else experienced this, losing your sense of smell first, regaining some of it, and then losing your sense of taste?</t>
        </is>
      </c>
      <c r="D2252" t="n">
        <v>1</v>
      </c>
      <c r="E2252" t="n">
        <v>2</v>
      </c>
      <c r="F2252">
        <f>HYPERLINK("https://www.reddit.com/r/COVID19positive/comments/hg2cc8/i_21f_lost_my_sense_of_smell_early_on_and_then/")</f>
        <v/>
      </c>
      <c r="G2252" t="inlineStr">
        <is>
          <t>2020-06-25 23:17:39</t>
        </is>
      </c>
      <c r="H2252" t="inlineStr">
        <is>
          <t>Tested Positive - Me</t>
        </is>
      </c>
    </row>
    <row r="2253">
      <c r="A2253" t="inlineStr">
        <is>
          <t>hg2eow</t>
        </is>
      </c>
      <c r="B2253" t="inlineStr">
        <is>
          <t>My Journey with COVID-19 (Day 100)</t>
        </is>
      </c>
      <c r="C2253" t="inlineStr">
        <is>
          <t>I made a Reddit to specifically answer people's questions regarding the lengthy recovery journey after being infected with COVID-19 because I for sure wished that someone could tell me I was going to get better. The answer is yes! If your case was mild, you will get back on your feet! (I am 23 and as of June 9th, I am negative)
Around March 13th, I had a painful white sore on the back of my throat. I went to an Urgent Care to get antibiotics even though my test came back negative for Strep. I live in NYC with my family so it was nearly impossible to not be exposed to COVID-19. At the time, it seemed unrealistic that I would have COVID-19 so I wasn't making a huge deal of it. Around March 15th, my dad began experiencing fluctuating fevers ranging from 99-103 for about two and a half days. He has pre-existing health conditions as well but thankfully, he beat his fever. On the night of March 17th, I experienced sharp pains in my abdomen,  a ten-minute long coughing fit because of a tickle in my throat, and aches in my legs. I'm also an anxious person, which is why I convinced myself that I was making up my symptoms when really...it was just COVID-19. The next morning, I woke up with a debilitating migraine-level headache and I've experienced migraines in my past. I was sweaty and had a 99.4 degrees F fever. For the next two days, my temperature ranged from 99-101. I took Tylenol to help. I didn't experience chills. It was the headache for me that made me unable to do anything for those two days. I started getting super congested in my sinuses during my fever but there was no cough. Shortly after I was fever-free, my mom had a fever for two days. 
On March 22nd, I started feeling heaviness in my chest when sitting back against a chair and both my mom and dad began coughing around that time. My dad's was dry and wheezy whereas my mom's was on the phlegmy side (sorry). I was soooo congested that I was unable to think or hear clearly. I couldn't breathe through my nose and started to feel a strange pressure in my lungs. My dad's test still didn't come back so I wasn't freaking out yet. That night, I was eating dinner and had a dizzy spell. I felt faint and as though the room were spinning around me. I had a panic attack and convinced myself there was something seriously wrong with me. I felt cramps in my abdomen as well. During this whole time, I religiously took Tylenol, Mucinex, and Nyquil. I took Nyquil that night and woke up on March 24th feeling strangely drunk and heavy. That morning, my dad's results came back positive, which is when I realized I had it too. My mom, who later got tested, was also positive. Cont. on March 24th, my legs felt heavy and achy, I was fatigued, and my sinuses were so clogged up that I felt like I wasn't in touch with the reality. Since that occurrence, I stopped taking Nyquil because it made me feel  worse. 
Eventually, my nose congestion started clearing up and my chest congestion began. I would say around March 27th (\~1.5 weeks after fever) is when I started experiencing the worst symptoms. I was up until 7am one night (but morning) having a panic attack because my lungs felt like they were being crushed. I genuinely could not breathe properly and was taking small breaths that were never relieving. Being horizontal in bed and at certain angles made my lungs feel worse. I was tempted to go to the hospital that night but I decided I didn't need to. I made sure to prop myself up with pillows to try to sleep. From about March 27th-mid April, I had trouble sleeping every single night. It got to the point where some nights, I stopped breathing momentarily and would jump back awake feeling as if I were drowned. It felt like only 10% of my lungs were working at times. Obviously, my anxiety about it didn't make it any better. And people telling me to \~just breathe\~ and relax wasn't making me feel better. What worked for me was not laying fully on my back and putting a pillow under one side so that I was at a 20 degree angle. Being completely on my side also made my lungs feel tighter. I really felt **hopeless** during this month because I wasn't getting better. In fact, I really believed I would never get better. Just know that if you are currently in this position with a mild case, it WILL get better. However, DEFINITELY go to the hospital if you need to. Also, I would suggest not always reading/watching daily news coverage on COVID-19 because it will only make your anxiety worse like it did for me. 
I noticed throughout my recovery process that during the day, I would feel as though I were getting better and then by night, my lungs felt like they were 30% functional. The sensation was worsened by any "draining" activity throughout the day. My headaches continued to come and go but on April 17th (Day 30), I had a debilitating headache that had me in bed until 6pm. On April 27th, when I thought I was completely fine, I did floor exercises. It led to a burning sensation in my lungs that brought back COVID-19 feels. I used my inhaler and felt uncomfortable for two days. During the month of May, I had the crushed lungs sensation about every week, which later became every other week.
Excuse my lengthy post but I felt as though I should share my really long recovery process with others who feel hopeless about their recovery and/or major anxiety about their health. I suffer from seasonal allergies and the place I was quarantined at had high pollen levels, which triggered my asthma. I religiously used my albuterol inhaler every morning and night. I also used my steroid inhaler during the day. I also took Benadryl every night when my lungs felt bad to help with the allergies + make me drowsy. I found it to actually help me and open up my airway (possibly placebo but I'll take it). For about the first two months, I slept a ridiculous amount because I was always tired. I get headaches in the morning still, which I think are due to COVID-19 and partially due to my coffee dependence. I still feel like hardcore exercises are a no for me but I think it's important to retrain your lungs. I still get breathless when talking or walking up a hill but for the most part, I feel really good. I tested negative on Day 75 and at that point, I felt 90%. I still have yet to do an antibodies test as well, but I hear antibodies may disappear after 2-3 months after exposure so I'm not sure if there's any point in getting one. I never really had a cough but my parents did which lasted for 3 months. Both of my parents took antibiotics to clear up any potential lung infections and are now fine, just fatigued!
For those currently recovering, take a lot of vitamins, drink WATER, take emergen-C, eat a lot of food even though you may not have an appetite. It really does get better and I hope you all regain your health and strength! It's Day 100 and I'm about 95%!</t>
        </is>
      </c>
      <c r="D2253" t="n">
        <v>1</v>
      </c>
      <c r="E2253" t="n">
        <v>16</v>
      </c>
      <c r="F2253">
        <f>HYPERLINK("https://www.reddit.com/r/COVID19positive/comments/hg2eow/my_journey_with_covid19_day_100/")</f>
        <v/>
      </c>
      <c r="G2253" t="inlineStr">
        <is>
          <t>2020-06-25 23:23:24</t>
        </is>
      </c>
      <c r="H2253" t="inlineStr">
        <is>
          <t>Tested Positive</t>
        </is>
      </c>
    </row>
    <row r="2254">
      <c r="A2254" t="inlineStr">
        <is>
          <t>hg39t8</t>
        </is>
      </c>
      <c r="B2254" t="inlineStr">
        <is>
          <t>Did any of you get psychological issues</t>
        </is>
      </c>
      <c r="C2254" t="inlineStr">
        <is>
          <t>I remember when I had covid the first time I used to cry uncontrollably. I wasn’t depressed or anything I just start crying for no reason at all. Keep in mind I’m a 30 years old man, crying is not really my thing. Now my mom has it and I was talking to her on the phone and she started crying out of nowhere, I asked her about it and she said she have been having those waves of sudden urge to cry for no reason and she goes back to normal after few minutes, that’s exactly what I had. 
I asked her doctor about it and he said almost all the other patients reported the same thing and it disappeared with the virus. 
I was wondering if any of you felt the same or are we just a family of crybabies ?</t>
        </is>
      </c>
      <c r="D2254" t="n">
        <v>1</v>
      </c>
      <c r="E2254" t="n">
        <v>14</v>
      </c>
      <c r="F2254">
        <f>HYPERLINK("https://www.reddit.com/r/COVID19positive/comments/hg39t8/did_any_of_you_get_psychological_issues/")</f>
        <v/>
      </c>
      <c r="G2254" t="inlineStr">
        <is>
          <t>2020-06-26 00:38:07</t>
        </is>
      </c>
      <c r="H2254" t="inlineStr">
        <is>
          <t>Tested Positive</t>
        </is>
      </c>
    </row>
    <row r="2255">
      <c r="A2255" t="inlineStr">
        <is>
          <t>hg48do</t>
        </is>
      </c>
      <c r="B2255" t="inlineStr">
        <is>
          <t>should I tell my workplace? they are probably not going to believe me.</t>
        </is>
      </c>
      <c r="C2255" t="inlineStr">
        <is>
          <t>I've had fever, body aches, diarrhea, sore throat, and worse asthma the past couple days. The fever goes down to 98.9 and up to 99.6. I have smell and taste but weirdly enough I lost my smell and taste in March around when corona was discovered here, and had a low fever for two weeks, then nothing. But I feel much worse now, like I have the flu. I haven't been scheduled to work his week, I scheduled a test. When I told the scheduling person about my situation she was mad and said I could have been exposed.
&amp;amp;#x200B;
Basically I work at an office with a remote server but the attorneys are old and didn't want to use it, they wanted to go "back to normal." So as soon as legal lockdown ended we all had to come back. I have to take public transit or uber to get there, although there are always maskless people on transit I distance. In uber it's not possible to distance and some people did wear a mask wrong or take it off. Or only have it on while I am in the car. At work the rule is to wear masks in the middle of the room (around me) but not in their own office with a thin screen door closed, so attorneys will go in their office when they need to talk or cough/sneeze. Some people didn't wear their masks and even talked to me until I complained, then they pulled their masks over their mouth only. Also there is no distancing and no way to open the windows. When I complained about the mask thing they told people to change, but laughed about it. 
&amp;amp;#x200B;
Meanwhile I am wearing 2 masks and only take mine off to go in the other room and drink water. I wear gloves on public transit too and try to sanitize everything. The office is over capacity guidelines at 60%, visitors allowed, and they want full capactiy next week although it is against guidelines. .We are the ONLY office open in the building, parking garages are empty, nothing else open, so no food no coffee. BUT they are insistent that everyone else is overreacting, and that they are the only ones being correct. They said it's fine if you wear masks in the hallway and wash your hands. I am scared being around this many people and I have rent money for a couple months but would lose my health insurance if I quit. They already think I am dramatic/overreacting because I complained about masks and when we opened I asked if I could only come in two times a week and they said no. Basically I cry every day but I can't do anything, I feel crazy and like I'm hysterical, meanwhile they just look at the empty parking garages around us and laugh about it, saying everyone is overreacting.
&amp;amp;#x200B;
So I haven't been in since I had a fever just because I wasn't scheduled. But I haven't told them either, I don't want to tell them unless I get the test. The issue is what if it is a false negative I would have to go in even with symptoms, and I still might have it and give it to people on public transit, which makes me feel guilty.
&amp;amp;#x200B;
I feel like such a wimp for being scared of my office, when other people are essential. Plus I know they will make fun of me if I ask to isolate without a positive test. So I can't decide if I should tell them I have symptoms or just pretend to be well and maybe if they get it from me its their fault anyway. Which also makes me feel guilty. I am more stressed about that than the actual disease actually. I have xanax for panic attacks that I almost never take and I started taking it often. Well I don't know if I should tell them or not if I have a negative test. What do you think?</t>
        </is>
      </c>
      <c r="D2255" t="n">
        <v>1</v>
      </c>
      <c r="E2255" t="n">
        <v>0</v>
      </c>
      <c r="F2255">
        <f>HYPERLINK("https://www.reddit.com/r/COVID19positive/comments/hg48do/should_i_tell_my_workplace_they_are_probably_not/")</f>
        <v/>
      </c>
      <c r="G2255" t="inlineStr">
        <is>
          <t>2020-06-26 02:10:54</t>
        </is>
      </c>
      <c r="H2255" t="inlineStr">
        <is>
          <t>Presumed Positive - From Test</t>
        </is>
      </c>
    </row>
    <row r="2256">
      <c r="A2256" t="inlineStr">
        <is>
          <t>hg621h</t>
        </is>
      </c>
      <c r="B2256" t="inlineStr">
        <is>
          <t>I was coughed on by someone who had covid one month ago, how likely am I to get infected?</t>
        </is>
      </c>
      <c r="C2256" t="inlineStr">
        <is>
          <t>Hello, 
Yesterday I had an ultrasound appointment and the person performing the scan had a coughing fit whilst she was scanning, when she began coughing she was wearing a mask, but was obviously so close to me she was touching me. When the coughing didn't stop she moved to about a meter and a half away from me, and proceeded to turn around, take her mask off and continue to cough, after about a minute of this she left the room to go and get some water.
When she came back in, she told me not to worry, as she had tested positive for corona over a month ago, and hadn't had any symptoms for the past month and has already tested positive for antibodies.  
I know coughing can be a normal thing, but I also know people have covid for a long time sometimes. Is it likely I could have caught covid from this encounter? Should I stay home and isolate?   
(Also, i was wearing a mask, but just a surgical type mask)    
(Also, sorry i put the flair as "friends" but there is no flair for, "tested positive "strangers")</t>
        </is>
      </c>
      <c r="D2256" t="n">
        <v>1</v>
      </c>
      <c r="E2256" t="n">
        <v>10</v>
      </c>
      <c r="F2256">
        <f>HYPERLINK("https://www.reddit.com/r/COVID19positive/comments/hg621h/i_was_coughed_on_by_someone_who_had_covid_one/")</f>
        <v/>
      </c>
      <c r="G2256" t="inlineStr">
        <is>
          <t>2020-06-26 04:49:36</t>
        </is>
      </c>
      <c r="H2256" t="inlineStr">
        <is>
          <t>Tested Positive - Friends</t>
        </is>
      </c>
    </row>
    <row r="2257">
      <c r="A2257" t="inlineStr">
        <is>
          <t>hg68f1</t>
        </is>
      </c>
      <c r="B2257" t="inlineStr">
        <is>
          <t>Cytokine Storm/Release Syndrome</t>
        </is>
      </c>
      <c r="C2257" t="inlineStr">
        <is>
          <t>Has anyone here felt like they’ve been through a cytokine storm? Obviously these are considered very dangerous and highly lethal but I was wondering if people have gone through a stage maybe weeks after initial infection where they have felt a sudden surge in the immune systems response that feels like what a cytokine storm could feel like?
I have had two occasions now both 7 weeks apart where I have felt almost wiped out by a sudden immune system attack. It hasnt felt like a typical relapse that many talk about and wasn’t brought on by exertion like most say causes a worsening of symptoms.
No this feels like my body has been poisoned. An all round assault that makes me fear for complications. I’m wondering if anyone else has experienced something similar?</t>
        </is>
      </c>
      <c r="D2257" t="n">
        <v>1</v>
      </c>
      <c r="E2257" t="n">
        <v>4</v>
      </c>
      <c r="F2257">
        <f>HYPERLINK("https://www.reddit.com/r/COVID19positive/comments/hg68f1/cytokine_stormrelease_syndrome/")</f>
        <v/>
      </c>
      <c r="G2257" t="inlineStr">
        <is>
          <t>2020-06-26 05:01:26</t>
        </is>
      </c>
      <c r="H2257" t="inlineStr">
        <is>
          <t>Presumed Positive - From Doctor</t>
        </is>
      </c>
    </row>
    <row r="2258">
      <c r="A2258" t="inlineStr">
        <is>
          <t>hg6jxr</t>
        </is>
      </c>
      <c r="B2258" t="inlineStr">
        <is>
          <t>Confirmed. Help</t>
        </is>
      </c>
      <c r="C2258" t="inlineStr">
        <is>
          <t>Well I have my results and they are positive. Sucks. I guess today would be day 7 as my cough started 7 days ago.  I am just really still looking for anyone who had a milder case and any advice as I’m hoping that’s what this is. I already suffer from anxiety so advice or tips would help.  Thanks in advance.</t>
        </is>
      </c>
      <c r="D2258" t="n">
        <v>1</v>
      </c>
      <c r="E2258" t="n">
        <v>12</v>
      </c>
      <c r="F2258">
        <f>HYPERLINK("https://www.reddit.com/r/COVID19positive/comments/hg6jxr/confirmed_help/")</f>
        <v/>
      </c>
      <c r="G2258" t="inlineStr">
        <is>
          <t>2020-06-26 05:22:52</t>
        </is>
      </c>
      <c r="H2258" t="inlineStr">
        <is>
          <t>Tested Positive - Me</t>
        </is>
      </c>
    </row>
    <row r="2259">
      <c r="A2259" t="inlineStr">
        <is>
          <t>hg7ljk</t>
        </is>
      </c>
      <c r="B2259" t="inlineStr">
        <is>
          <t>Can I hang out with someone who recovered from COVID about a month and a half ago?</t>
        </is>
      </c>
      <c r="C2259" t="inlineStr">
        <is>
          <t>I want to do an outdoors activity (tennis) with a friend who had covid in May starting weeks and now it's end of June. Is it safe? Can he still be contagious?</t>
        </is>
      </c>
      <c r="D2259" t="n">
        <v>1</v>
      </c>
      <c r="E2259" t="n">
        <v>9</v>
      </c>
      <c r="F2259">
        <f>HYPERLINK("https://www.reddit.com/r/COVID19positive/comments/hg7ljk/can_i_hang_out_with_someone_who_recovered_from/")</f>
        <v/>
      </c>
      <c r="G2259" t="inlineStr">
        <is>
          <t>2020-06-26 06:29:47</t>
        </is>
      </c>
      <c r="H2259" t="inlineStr">
        <is>
          <t>Tested Positive - Friends</t>
        </is>
      </c>
    </row>
    <row r="2260">
      <c r="A2260" t="inlineStr">
        <is>
          <t>hg9tjr</t>
        </is>
      </c>
      <c r="B2260" t="inlineStr">
        <is>
          <t>Drinking causes relapse?</t>
        </is>
      </c>
      <c r="C2260" t="inlineStr">
        <is>
          <t>I had Covid mid March and had a pretty strong 6-week relapse. I’ve had a couple other relapses that seem to be brought on by drinking alcohol. Anyone else experience this?</t>
        </is>
      </c>
      <c r="D2260" t="n">
        <v>1</v>
      </c>
      <c r="E2260" t="n">
        <v>4</v>
      </c>
      <c r="F2260">
        <f>HYPERLINK("https://www.reddit.com/r/COVID19positive/comments/hg9tjr/drinking_causes_relapse/")</f>
        <v/>
      </c>
      <c r="G2260" t="inlineStr">
        <is>
          <t>2020-06-26 08:36:05</t>
        </is>
      </c>
      <c r="H2260" t="inlineStr">
        <is>
          <t>Tested Positive - Me</t>
        </is>
      </c>
    </row>
    <row r="2261">
      <c r="A2261" t="inlineStr">
        <is>
          <t>hgamz2</t>
        </is>
      </c>
      <c r="B2261" t="inlineStr">
        <is>
          <t>Uncomfortable in car?</t>
        </is>
      </c>
      <c r="C2261" t="inlineStr">
        <is>
          <t>Has anyone else experienced discomfort in their chest/lungs while driving/riding in a car? When the car is still I’m fine but when it’s in motion it feels like weight in pressing on my chest, gets worse with speed. I’m the recovering stage, with minimal symptoms left (I’m not going inside places, just riding around with my non-sick husband—-my symptoms first appeared in mid April).</t>
        </is>
      </c>
      <c r="D2261" t="n">
        <v>0</v>
      </c>
      <c r="E2261" t="n">
        <v>4</v>
      </c>
      <c r="F2261">
        <f>HYPERLINK("https://www.reddit.com/r/COVID19positive/comments/hgamz2/uncomfortable_in_car/")</f>
        <v/>
      </c>
      <c r="G2261" t="inlineStr">
        <is>
          <t>2020-06-26 09:20:10</t>
        </is>
      </c>
      <c r="H2261" t="inlineStr">
        <is>
          <t>Presumed Positive - From Doctor</t>
        </is>
      </c>
    </row>
    <row r="2262">
      <c r="A2262" t="inlineStr">
        <is>
          <t>hgbgs3</t>
        </is>
      </c>
      <c r="B2262" t="inlineStr">
        <is>
          <t>I have a few questions if anyone would be willing to help me</t>
        </is>
      </c>
      <c r="C2262" t="inlineStr">
        <is>
          <t>So far for me the worst part of this entire ordeal is the cough. Do you guys use anything for the cough in particular? I just recently discovered that cough drops stop it in its track but im not sure if its safe to even be taking them but they help me relax big time.</t>
        </is>
      </c>
      <c r="D2262" t="n">
        <v>1</v>
      </c>
      <c r="E2262" t="n">
        <v>7</v>
      </c>
      <c r="F2262">
        <f>HYPERLINK("https://www.reddit.com/r/COVID19positive/comments/hgbgs3/i_have_a_few_questions_if_anyone_would_be_willing/")</f>
        <v/>
      </c>
      <c r="G2262" t="inlineStr">
        <is>
          <t>2020-06-26 10:03:32</t>
        </is>
      </c>
      <c r="H2262" t="inlineStr">
        <is>
          <t>Tested Positive - Me</t>
        </is>
      </c>
    </row>
    <row r="2263">
      <c r="A2263" t="inlineStr">
        <is>
          <t>hgc0q0</t>
        </is>
      </c>
      <c r="B2263" t="inlineStr">
        <is>
          <t>Anyone else been "recovered" for a while, however their body is still inflamed? Possibly vasculitis?</t>
        </is>
      </c>
      <c r="C2263" t="inlineStr">
        <is>
          <t>Basically I've been recovered from the acute infection stage for about two months now, but now I'm dealing with post viral stuff atm.
My doctors think my major organs are fine, but lately my joints have been aching, my toes and even hands have felt cold, my neck is a little stiff and I feel a little lightheaded.
From what I've seen so far on here, it sounds like I'm suffering from viral vasculitis. Anyone else have the symptoms?</t>
        </is>
      </c>
      <c r="D2263" t="n">
        <v>5</v>
      </c>
      <c r="E2263" t="n">
        <v>64</v>
      </c>
      <c r="F2263">
        <f>HYPERLINK("https://www.reddit.com/r/COVID19positive/comments/hgc0q0/anyone_else_been_recovered_for_a_while_however/")</f>
        <v/>
      </c>
      <c r="G2263" t="inlineStr">
        <is>
          <t>2020-06-26 10:32:30</t>
        </is>
      </c>
      <c r="H2263" t="inlineStr">
        <is>
          <t>Tested Positive</t>
        </is>
      </c>
    </row>
    <row r="2264">
      <c r="A2264" t="inlineStr">
        <is>
          <t>hgds19</t>
        </is>
      </c>
      <c r="B2264" t="inlineStr">
        <is>
          <t>Questions on transitioning out of quarantine</t>
        </is>
      </c>
      <c r="C2264" t="inlineStr">
        <is>
          <t>I'm on day 5 since a positive test and am starting to think about the end of my quarantine and transitioning back to life, but have a couple of questions.
For background, I have been 100% asymptomatic thus far. I only got tested as a proactive measure before weekend plans and was truly surprised it came back positive.
I was told to quarantine 10 days from my test date. They said it's 10 days from the start of symptoms or, if asymptomatic, 10 days from your positive test. I had expected it to be 14 days, but they told me that it's 14 day for people who have not yet tested positive but have been directly exposed or have symptoms, to allow for the incubation period. 
Does this sound right? Should I really emerge from my quarantine on day 11 as though I'm totally safe to others? Relatedly, should I plan to get a test to confirm I'm all clear? They haven't directed me to do so, but I plan to ask on my next check-in with my contact tracer.</t>
        </is>
      </c>
      <c r="D2264" t="n">
        <v>1</v>
      </c>
      <c r="E2264" t="n">
        <v>6</v>
      </c>
      <c r="F2264">
        <f>HYPERLINK("https://www.reddit.com/r/COVID19positive/comments/hgds19/questions_on_transitioning_out_of_quarantine/")</f>
        <v/>
      </c>
      <c r="G2264" t="inlineStr">
        <is>
          <t>2020-06-26 12:05:44</t>
        </is>
      </c>
      <c r="H2264" t="inlineStr">
        <is>
          <t>Tested Positive - Me</t>
        </is>
      </c>
    </row>
    <row r="2265">
      <c r="A2265" t="inlineStr">
        <is>
          <t>hge1bo</t>
        </is>
      </c>
      <c r="B2265" t="inlineStr">
        <is>
          <t>Is it a bad idea to masturbate when you have covid?</t>
        </is>
      </c>
      <c r="C2265" t="inlineStr">
        <is>
          <t>I have covid and, so far, I have pretty mild symptoms. Sore throat, low fever, nausea, vomiting, diarrhea, and headache. I was exposed on June 15th, have had symptoms for 5 days, and I tested positive yesterday.
However, I took Tylenol this morning and I feel pretty okay right now.
I’m also home alone, and I’ve been stuck home alone for a week now. I’m bored.
I know people say not to exercise with covid because it will make you worse—is masturbation safe? Has anybody gotten sicker when they tried it? I know it raises your heart rate so I’m scared, but if it’s safe, then I could use a little cheer.
Thanks y’all.</t>
        </is>
      </c>
      <c r="D2265" t="n">
        <v>2</v>
      </c>
      <c r="E2265" t="n">
        <v>22</v>
      </c>
      <c r="F2265">
        <f>HYPERLINK("https://www.reddit.com/r/COVID19positive/comments/hge1bo/is_it_a_bad_idea_to_masturbate_when_you_have_covid/")</f>
        <v/>
      </c>
      <c r="G2265" t="inlineStr">
        <is>
          <t>2020-06-26 12:19:01</t>
        </is>
      </c>
      <c r="H2265" t="inlineStr">
        <is>
          <t>Tested Positive - Me</t>
        </is>
      </c>
    </row>
    <row r="2266">
      <c r="A2266" t="inlineStr">
        <is>
          <t>hgekwe</t>
        </is>
      </c>
      <c r="B2266" t="inlineStr">
        <is>
          <t>Did your Sense of Smell come back in weird ways?</t>
        </is>
      </c>
      <c r="C2266" t="inlineStr">
        <is>
          <t>I feel like I am getting strange, ghost-like whiffs of smells that go away. Maybe it's a sign it's coming back. Anyone else experience this?</t>
        </is>
      </c>
      <c r="D2266" t="n">
        <v>2</v>
      </c>
      <c r="E2266" t="n">
        <v>15</v>
      </c>
      <c r="F2266">
        <f>HYPERLINK("https://www.reddit.com/r/COVID19positive/comments/hgekwe/did_your_sense_of_smell_come_back_in_weird_ways/")</f>
        <v/>
      </c>
      <c r="G2266" t="inlineStr">
        <is>
          <t>2020-06-26 12:47:27</t>
        </is>
      </c>
      <c r="H2266" t="inlineStr">
        <is>
          <t>Tested Positive - Me</t>
        </is>
      </c>
    </row>
    <row r="2267">
      <c r="A2267" t="inlineStr">
        <is>
          <t>hgfdrv</t>
        </is>
      </c>
      <c r="B2267" t="inlineStr">
        <is>
          <t>Question on testing</t>
        </is>
      </c>
      <c r="C2267" t="inlineStr">
        <is>
          <t>Some back story: my mother (50) came back from Portugal on March 7th, by the 10th she experienced fever, sweating and a soar throat. At this time I left work to stay home to take care of her. By the 12th she had started the cough that progressively gotten worst leaving her with low energy and pneumonia like symptoms
After many attempts to try and get tested she finally went in on the 24th of March but came back (Negative) 
To this day she still has a very raspy cough that happens about every 5 minutes but aside that is doing very well 
Strangest part of this is me(20) nor my father (56) experienced any sort of symptoms even though we were house bound with her
So my question is: is it possible she was tested negative because she got tested after 3 weeks or do you think it may have been something else?
All feed back would be great.</t>
        </is>
      </c>
      <c r="D2267" t="n">
        <v>1</v>
      </c>
      <c r="E2267" t="n">
        <v>3</v>
      </c>
      <c r="F2267">
        <f>HYPERLINK("https://www.reddit.com/r/COVID19positive/comments/hgfdrv/question_on_testing/")</f>
        <v/>
      </c>
      <c r="G2267" t="inlineStr">
        <is>
          <t>2020-06-26 13:30:08</t>
        </is>
      </c>
      <c r="H2267" t="inlineStr">
        <is>
          <t>Presumed Positive - From Test</t>
        </is>
      </c>
    </row>
    <row r="2268">
      <c r="A2268" t="inlineStr">
        <is>
          <t>hgfi0g</t>
        </is>
      </c>
      <c r="B2268" t="inlineStr">
        <is>
          <t>Will I ever be able to run again?</t>
        </is>
      </c>
      <c r="C2268" t="inlineStr">
        <is>
          <t>25M. Healthy, don’t smoke, don’t drink. 
I was positive in late march, no major symptoms except SOB. It was gone for essentially all of June, but every time I go on a run (my literal FAVORITE hobby), i relapse back into SOB, with literally 0 other symptoms.
Is the outlook pretty grim on me being able to run recreationally again? I know it’s pathetic, but I’m started to develop depression/anxiety over this.</t>
        </is>
      </c>
      <c r="D2268" t="n">
        <v>1</v>
      </c>
      <c r="E2268" t="n">
        <v>13</v>
      </c>
      <c r="F2268">
        <f>HYPERLINK("https://www.reddit.com/r/COVID19positive/comments/hgfi0g/will_i_ever_be_able_to_run_again/")</f>
        <v/>
      </c>
      <c r="G2268" t="inlineStr">
        <is>
          <t>2020-06-26 13:36:29</t>
        </is>
      </c>
      <c r="H2268" t="inlineStr">
        <is>
          <t>Tested Positive - Me</t>
        </is>
      </c>
    </row>
    <row r="2269">
      <c r="A2269" t="inlineStr">
        <is>
          <t>hgfnm8</t>
        </is>
      </c>
      <c r="B2269" t="inlineStr">
        <is>
          <t>I've decided having coronavirus is like a daily spin-the-wheel of symptoms</t>
        </is>
      </c>
      <c r="C2269" t="inlineStr">
        <is>
          <t>One day you're congested and have a sore throat. Meh. Basic cold. NBD. Next day you're shaking and dizzy and sweating. Tomorrow? Extreme thirst. Throw in a bit of exhaustion. 
Next day? Let's see... what else is there... could be vomiting, diarrhea, body aches, loss of taste still on the table. So is loss of appetite. Coughing. Loss of breathe, pain, heart racing, blood thickening, mental confusion, diabetes maybe, stroke, organ failure... and so it goes, it's long list! Nothing is off the table really. 
Every day is new and exciting! Spin the wheel!! Wheeee... what will your symptoms be today?! /s
Feel free to vent your bipolar coronavirus symptoms.</t>
        </is>
      </c>
      <c r="D2269" t="n">
        <v>1</v>
      </c>
      <c r="E2269" t="n">
        <v>48</v>
      </c>
      <c r="F2269">
        <f>HYPERLINK("https://www.reddit.com/r/COVID19positive/comments/hgfnm8/ive_decided_having_coronavirus_is_like_a_daily/")</f>
        <v/>
      </c>
      <c r="G2269" t="inlineStr">
        <is>
          <t>2020-06-26 13:44:53</t>
        </is>
      </c>
      <c r="H2269" t="inlineStr">
        <is>
          <t>Tested Positive - Me</t>
        </is>
      </c>
    </row>
    <row r="2270">
      <c r="A2270" t="inlineStr">
        <is>
          <t>hgg7ie</t>
        </is>
      </c>
      <c r="B2270" t="inlineStr">
        <is>
          <t>Will it ever end?</t>
        </is>
      </c>
      <c r="C2270" t="inlineStr">
        <is>
          <t>Has anyone with long term symptoms gotten better? I’m afraid it will never end</t>
        </is>
      </c>
      <c r="D2270" t="n">
        <v>2</v>
      </c>
      <c r="E2270" t="n">
        <v>14</v>
      </c>
      <c r="F2270">
        <f>HYPERLINK("https://www.reddit.com/r/COVID19positive/comments/hgg7ie/will_it_ever_end/")</f>
        <v/>
      </c>
      <c r="G2270" t="inlineStr">
        <is>
          <t>2020-06-26 14:14:03</t>
        </is>
      </c>
      <c r="H2270" t="inlineStr">
        <is>
          <t>Tested Positive - Me</t>
        </is>
      </c>
    </row>
    <row r="2271">
      <c r="A2271" t="inlineStr">
        <is>
          <t>hgh9wf</t>
        </is>
      </c>
      <c r="B2271" t="inlineStr">
        <is>
          <t>Update: Friend discharged</t>
        </is>
      </c>
      <c r="C2271" t="inlineStr">
        <is>
          <t>My dear friend (F30 very overweight and with high blood pressure), went to hospital with trouble breathing and was confirmed to have covid pneumonia (this was day 10 of illness). She was in the hospital for a couple days and given a couple doses dexamethasone, as well as an inhaler and was discharged two days later feeling much better. Fatigue and weakness remain but headache, cough, difficulty breathing, and loss of appetite are resolved. Thank you for your good wishes!!</t>
        </is>
      </c>
      <c r="D2271" t="n">
        <v>1</v>
      </c>
      <c r="E2271" t="n">
        <v>4</v>
      </c>
      <c r="F2271">
        <f>HYPERLINK("https://www.reddit.com/r/COVID19positive/comments/hgh9wf/update_friend_discharged/")</f>
        <v/>
      </c>
      <c r="G2271" t="inlineStr">
        <is>
          <t>2020-06-26 15:12:00</t>
        </is>
      </c>
      <c r="H2271" t="inlineStr">
        <is>
          <t>Tested Positive - Friends</t>
        </is>
      </c>
    </row>
    <row r="2272">
      <c r="A2272" t="inlineStr">
        <is>
          <t>hgh9xe</t>
        </is>
      </c>
      <c r="B2272" t="inlineStr">
        <is>
          <t>Where are the positive stories?</t>
        </is>
      </c>
      <c r="C2272" t="inlineStr">
        <is>
          <t>I tested positive. I’m sick. I feel like a truck hit me. I don’t feel anymore sick then when I had the regular flu. So far I feel like a truck hit me but no coughing, fever but mild, sinus pressure but that’s about it. I just feel tired and worn down. Like a normal flu. 
I’m just hoping can this just pass? Like can it just be a normal flu or does it have to be the worst thing ever? 
Anyone have a normal flu like experience with this? Any stories of people coming out this in one piece?</t>
        </is>
      </c>
      <c r="D2272" t="n">
        <v>1</v>
      </c>
      <c r="E2272" t="n">
        <v>15</v>
      </c>
      <c r="F2272">
        <f>HYPERLINK("https://www.reddit.com/r/COVID19positive/comments/hgh9xe/where_are_the_positive_stories/")</f>
        <v/>
      </c>
      <c r="G2272" t="inlineStr">
        <is>
          <t>2020-06-26 15:12:03</t>
        </is>
      </c>
      <c r="H2272" t="inlineStr">
        <is>
          <t>Tested Positive - Me</t>
        </is>
      </c>
    </row>
    <row r="2273">
      <c r="A2273" t="inlineStr">
        <is>
          <t>hghahi</t>
        </is>
      </c>
      <c r="B2273" t="inlineStr">
        <is>
          <t>Out of breath easily after having it</t>
        </is>
      </c>
      <c r="C2273" t="inlineStr">
        <is>
          <t>I had a mild case of covid with no cough. I am negative now and I still feel like i get out of breath really easily. Has anyone recovered from that symptom</t>
        </is>
      </c>
      <c r="D2273" t="n">
        <v>2</v>
      </c>
      <c r="E2273" t="n">
        <v>3</v>
      </c>
      <c r="F2273">
        <f>HYPERLINK("https://www.reddit.com/r/COVID19positive/comments/hghahi/out_of_breath_easily_after_having_it/")</f>
        <v/>
      </c>
      <c r="G2273" t="inlineStr">
        <is>
          <t>2020-06-26 15:12:51</t>
        </is>
      </c>
      <c r="H2273" t="inlineStr">
        <is>
          <t>Tested Positive - Me</t>
        </is>
      </c>
    </row>
    <row r="2274">
      <c r="A2274" t="inlineStr">
        <is>
          <t>hghwbf</t>
        </is>
      </c>
      <c r="B2274" t="inlineStr">
        <is>
          <t>28yo F overall healthy symptoms breakdown</t>
        </is>
      </c>
      <c r="C2274" t="inlineStr">
        <is>
          <t>This post is really just to inform others who are experiencing similar symptoms as I did leading up to my positive result. 
June 10-19th - wet cough / congestion - the cough lessened around the 17-19th. 
June 19th LATE evening - was on the beach all night. 
June 20th - Clogged ears. Minimal loss in taste. Overall feeling ok - not 100% couldn't really pin point it. My gut sort of thought something was up, but not enough symptoms to really pin point anything. 
June 21st - AM - feeling slightly off / Mid afternoon - depressed, tired, stiff neck, slightly painful sinuses. Late PM - Stiff neck, very tired, painful to breath deeply through my nose, hurt to bend down and stand back up. Probably the first time i've ever experienced such awful sinus pain. That night, I had the worst sinus headache of my life, feeling off still, but not really tired. Not the way a cold puts you out to feeling BLAH. 
June 22nd - Woke up around 7am feeling as if I got hit by a truck - finally that BLAH feeling when you're sick with a cold. Body aches. I didn't feel warm as you would normally with a fever. I probably was feverish on June 20th&amp;amp;June 21st, but didn't take my temp. It was like I couldn't feel my heat, but took my temp because of the body aches and was 100.4F
\&amp;gt;&amp;gt;&amp;gt;&amp;gt;&amp;gt;Got tested on June 22nd - (flat tire, too - that day sucked lol). Body aches dissipated as the day   
went on, especially sweating it out while waiting 3.5hrs in my car before the swab. Felt a little   
better that afternoon, didn't nap as I usually would with a cold. 
\&amp;gt;&amp;gt;&amp;gt;&amp;gt;&amp;gt;PM June 22nd - sinus pain in the evening
June 23rd- Slightly congested. Felt worse in the AM and PM. 
June 24th - Felt soooooooo much better. No symptoms. Thought I just had sinusitis. 
June 25th- No symptoms. 
June 26th - Results showed positive. Still feel fine. My same day antibody result was negative, but now realizing I was infected and tested for antibodies too soon for the antibodies to form.</t>
        </is>
      </c>
      <c r="D2274" t="n">
        <v>1</v>
      </c>
      <c r="E2274" t="n">
        <v>4</v>
      </c>
      <c r="F2274">
        <f>HYPERLINK("https://www.reddit.com/r/COVID19positive/comments/hghwbf/28yo_f_overall_healthy_symptoms_breakdown/")</f>
        <v/>
      </c>
      <c r="G2274" t="inlineStr">
        <is>
          <t>2020-06-26 15:47:15</t>
        </is>
      </c>
      <c r="H2274" t="inlineStr">
        <is>
          <t>Tested Positive - Me</t>
        </is>
      </c>
    </row>
    <row r="2275">
      <c r="A2275" t="inlineStr">
        <is>
          <t>hgi4xf</t>
        </is>
      </c>
      <c r="B2275" t="inlineStr">
        <is>
          <t>Brain fog and fatigue 12 weeks post covid.</t>
        </is>
      </c>
      <c r="C2275" t="inlineStr">
        <is>
          <t>I got better about two months ago, but now I have brain fog fatigue and other weird symptoms. I took a mild dose of prednisone and seemed to help but I stoped and now it’s back. Exercise seems to induce it for me. Did anyone take prednisone if so what dose? Do you guys also get really dilated pupils? For me all blood work came back fine.</t>
        </is>
      </c>
      <c r="D2275" t="n">
        <v>1</v>
      </c>
      <c r="E2275" t="n">
        <v>15</v>
      </c>
      <c r="F2275">
        <f>HYPERLINK("https://www.reddit.com/r/COVID19positive/comments/hgi4xf/brain_fog_and_fatigue_12_weeks_post_covid/")</f>
        <v/>
      </c>
      <c r="G2275" t="inlineStr">
        <is>
          <t>2020-06-26 16:01:32</t>
        </is>
      </c>
      <c r="H2275" t="inlineStr">
        <is>
          <t>Tested Positive - Me</t>
        </is>
      </c>
    </row>
    <row r="2276">
      <c r="A2276" t="inlineStr">
        <is>
          <t>hgi5c4</t>
        </is>
      </c>
      <c r="B2276" t="inlineStr">
        <is>
          <t>Reinfection after recovery? Sick for 10 days in March, Tested Positive for Antibodies in April. Got Tested Monday, Tested POSITIVE for COVID and NEGATIVE for antibodies???</t>
        </is>
      </c>
      <c r="C2276" t="inlineStr">
        <is>
          <t>Like the title says, I got sick early in shutdown days (mildly) and was tested for a medical study early in April, the antibody test where they actually count the number of antibodies (I got 960). I then donated convalescent plasma and the plasma center informed me again that the plasma donation tested positive for antibodies and invited me to donate again, which I did. Cut to this week. I have to get a nasal swab for work. It's my first nasal swab and it comes back positive for COVID! And negative for antibodies! I can understand the antibody levels going down over time, but it hasn't been very long. I'm more shocked by the nasal swab results. For what it's worth, I feel 100% normal.
I know there were early claims of people getting infected twice, but I thought those were dismissed as testing error. I called the testing center, CityMD in New York, and she said that because this was my first nasal swab, I might have just had COVID this entire time, and that it wasn't necessarily a reinfection. I forgot to ask why, if I still had an active infection, would my body stop producing antibodies.
Should I question the results? The doctor seemed pretty confident that the tests had to be correct. I'm not sure what to do at this point because my salon, which was supposed to open TOMORROW for the first time, would have to shut down again and every one of my coworkers will have to self-quarantine because we had a meeting today. I think I will get another test done, but I will need to wait for results and my employer is probably freaking out.</t>
        </is>
      </c>
      <c r="D2276" t="n">
        <v>2</v>
      </c>
      <c r="E2276" t="n">
        <v>34</v>
      </c>
      <c r="F2276">
        <f>HYPERLINK("https://www.reddit.com/r/COVID19positive/comments/hgi5c4/reinfection_after_recovery_sick_for_10_days_in/")</f>
        <v/>
      </c>
      <c r="G2276" t="inlineStr">
        <is>
          <t>2020-06-26 16:02:10</t>
        </is>
      </c>
      <c r="H2276" t="inlineStr">
        <is>
          <t>Tested Positive - Me</t>
        </is>
      </c>
    </row>
    <row r="2277">
      <c r="A2277" t="inlineStr">
        <is>
          <t>hgi6fb</t>
        </is>
      </c>
      <c r="B2277" t="inlineStr">
        <is>
          <t>Donating plasma after recovery</t>
        </is>
      </c>
      <c r="C2277" t="inlineStr">
        <is>
          <t>I know this is a sub for people that have tested positive/presumed positive, but is there anyone out there that has donated plasma upon recovery? I would like to donate as well and was wondering if anyone has any insight into the process. Thanks!</t>
        </is>
      </c>
      <c r="D2277" t="n">
        <v>2</v>
      </c>
      <c r="E2277" t="n">
        <v>7</v>
      </c>
      <c r="F2277">
        <f>HYPERLINK("https://www.reddit.com/r/COVID19positive/comments/hgi6fb/donating_plasma_after_recovery/")</f>
        <v/>
      </c>
      <c r="G2277" t="inlineStr">
        <is>
          <t>2020-06-26 16:03:55</t>
        </is>
      </c>
      <c r="H2277" t="inlineStr">
        <is>
          <t>Tested Positive - Me</t>
        </is>
      </c>
    </row>
    <row r="2278">
      <c r="A2278" t="inlineStr">
        <is>
          <t>hgij9q</t>
        </is>
      </c>
      <c r="B2278" t="inlineStr">
        <is>
          <t>Likely reinfected...when will this end</t>
        </is>
      </c>
      <c r="C2278" t="inlineStr">
        <is>
          <t>2.5 months in recovery almost all symptoms coming to a finish. Diagnosed positive at the ER and then tested negative for antibodies 7 weeks later. My coworker needed help driving and so I evaluated it low risk, it was just him and me in the car. I was in the car with him, no a/c, for ab 3 hours. Then 6 hours later my eyes are bright red and streaming tears just like in the first week of my covid battle. Runny nose too which I hadn't had since the first two weeks. Headache, some brain fog, and soar throat. Now I'm experiencing some chest pressure and small cough. This is a fucking nightmare and all long termers need to be warned, do not listen to the govt or any news source. We will get it again, maybe not as bad but we are NOT immune. Be careful.</t>
        </is>
      </c>
      <c r="D2278" t="n">
        <v>1</v>
      </c>
      <c r="E2278" t="n">
        <v>95</v>
      </c>
      <c r="F2278">
        <f>HYPERLINK("https://www.reddit.com/r/COVID19positive/comments/hgij9q/likely_reinfectedwhen_will_this_end/")</f>
        <v/>
      </c>
      <c r="G2278" t="inlineStr">
        <is>
          <t>2020-06-26 16:25:26</t>
        </is>
      </c>
      <c r="H2278" t="inlineStr">
        <is>
          <t>Tested Positive - Me</t>
        </is>
      </c>
    </row>
    <row r="2279">
      <c r="A2279" t="inlineStr">
        <is>
          <t>hgiq7t</t>
        </is>
      </c>
      <c r="B2279" t="inlineStr">
        <is>
          <t>Recent COVID family situation</t>
        </is>
      </c>
      <c r="C2279" t="inlineStr">
        <is>
          <t>So recently my mother’s uncle, who lives in The Middle East has died because of COVID. His son was feeling sick and showed the symptoms of COVID, however he did not test for it and assumed it was just a standard cold. His mother and father( who are much older than him) went to visit him to make sure he was okay and, without knowing it they contracted the virus from him and later on tested positive for it. Granted their son was much younger. It’s truly a sad and terrific experience and I hope it just shows how significant our part is in protecting the elderly, despite being in a different country, this can happen to anyone, even though I live in the US i still couldn’t help and be concerned.</t>
        </is>
      </c>
      <c r="D2279" t="n">
        <v>1</v>
      </c>
      <c r="E2279" t="n">
        <v>3</v>
      </c>
      <c r="F2279">
        <f>HYPERLINK("https://www.reddit.com/r/COVID19positive/comments/hgiq7t/recent_covid_family_situation/")</f>
        <v/>
      </c>
      <c r="G2279" t="inlineStr">
        <is>
          <t>2020-06-26 16:36:47</t>
        </is>
      </c>
      <c r="H2279" t="inlineStr">
        <is>
          <t>Tested Positive - Family</t>
        </is>
      </c>
    </row>
    <row r="2280">
      <c r="A2280" t="inlineStr">
        <is>
          <t>hgj6tj</t>
        </is>
      </c>
      <c r="B2280" t="inlineStr">
        <is>
          <t>UPDATE: Dad (60M) has The Unholy Trinity: Parkinson's, Covid-19, and Alpha Gal</t>
        </is>
      </c>
      <c r="C2280" t="inlineStr">
        <is>
          <t>So, this update is pretty late but I wanted to let you guys know that Dad tested negative a week or two ago. Overall, he was positive for maybe 3-4 weeks and he ended up continuing to have very mild COVID symptoms. 
I want to thank everyone on this sub for their words of encouragement and I wanted to share some happy news, since I know that we can get kind of wrapped up in the bad experiences and bad news here. I hope everyone on here that feels sick and afraid gets better. I know that my family was extremely lucky that he had such a mild case and trust me, we're very grateful. Thanks again for all your help!</t>
        </is>
      </c>
      <c r="D2280" t="n">
        <v>1</v>
      </c>
      <c r="E2280" t="n">
        <v>11</v>
      </c>
      <c r="F2280">
        <f>HYPERLINK("https://www.reddit.com/r/COVID19positive/comments/hgj6tj/update_dad_60m_has_the_unholy_trinity_parkinsons/")</f>
        <v/>
      </c>
      <c r="G2280" t="inlineStr">
        <is>
          <t>2020-06-26 17:05:35</t>
        </is>
      </c>
      <c r="H2280" t="inlineStr">
        <is>
          <t>Tested Positive - Family</t>
        </is>
      </c>
    </row>
    <row r="2281">
      <c r="A2281" t="inlineStr">
        <is>
          <t>hgjj3b</t>
        </is>
      </c>
      <c r="B2281" t="inlineStr">
        <is>
          <t>Skin issues?</t>
        </is>
      </c>
      <c r="C2281" t="inlineStr">
        <is>
          <t>Having weird skin issues, but no rash or burning pain like some have reported. Started with appearence of more freckles and white spots in the first week. Then a few warts on me. Then a few nights ago I felt my back itching and I thought it was a tick but it turned out to be a mole that popped up literally overnight. Anyone else having this? I had the freckle thing before in 2008 when I had a really bad flu. Have a family history of skin cancer. I guess I will have to see the dermatologist at some point soon.</t>
        </is>
      </c>
      <c r="D2281" t="n">
        <v>1</v>
      </c>
      <c r="E2281" t="n">
        <v>6</v>
      </c>
      <c r="F2281">
        <f>HYPERLINK("https://www.reddit.com/r/COVID19positive/comments/hgjj3b/skin_issues/")</f>
        <v/>
      </c>
      <c r="G2281" t="inlineStr">
        <is>
          <t>2020-06-26 17:27:02</t>
        </is>
      </c>
      <c r="H2281" t="inlineStr">
        <is>
          <t>Presumed Positive - From Doctor</t>
        </is>
      </c>
    </row>
    <row r="2282">
      <c r="A2282" t="inlineStr">
        <is>
          <t>hgjxbv</t>
        </is>
      </c>
      <c r="B2282" t="inlineStr">
        <is>
          <t>Family member tested positive</t>
        </is>
      </c>
      <c r="C2282" t="inlineStr">
        <is>
          <t>I have a close family member of mine test positive. She’s young, she’s a RN, with no underlying conditions. She’s scared , which I understand. I feel helpless and it breaks my heart to see her in pain. I’ve been texting her , she has her good and bad days. Any advice or tips? If you tested positive, what helped you during your time in quarantine? Thank you for all your information</t>
        </is>
      </c>
      <c r="D2282" t="n">
        <v>1</v>
      </c>
      <c r="E2282" t="n">
        <v>7</v>
      </c>
      <c r="F2282">
        <f>HYPERLINK("https://www.reddit.com/r/COVID19positive/comments/hgjxbv/family_member_tested_positive/")</f>
        <v/>
      </c>
      <c r="G2282" t="inlineStr">
        <is>
          <t>2020-06-26 17:52:33</t>
        </is>
      </c>
      <c r="H2282" t="inlineStr">
        <is>
          <t>Tested Positive - Family</t>
        </is>
      </c>
    </row>
    <row r="2283">
      <c r="A2283" t="inlineStr">
        <is>
          <t>hgkkv8</t>
        </is>
      </c>
      <c r="B2283" t="inlineStr">
        <is>
          <t>COVID 19 positive and heart palpitations</t>
        </is>
      </c>
      <c r="C2283" t="inlineStr">
        <is>
          <t>So I learned I was positive on the 23rd of June and my heart rate started to fluctuate from 80 bpm to about 160 bpm sometime a little higher.
Anyone else experiencing this symptom? 
I also have loss of taste and smell but haven’t had any other worrisome symptoms.</t>
        </is>
      </c>
      <c r="D2283" t="n">
        <v>1</v>
      </c>
      <c r="E2283" t="n">
        <v>17</v>
      </c>
      <c r="F2283">
        <f>HYPERLINK("https://www.reddit.com/r/COVID19positive/comments/hgkkv8/covid_19_positive_and_heart_palpitations/")</f>
        <v/>
      </c>
      <c r="G2283" t="inlineStr">
        <is>
          <t>2020-06-26 18:35:19</t>
        </is>
      </c>
      <c r="H2283" t="inlineStr">
        <is>
          <t>Tested Positive - Me</t>
        </is>
      </c>
    </row>
    <row r="2284">
      <c r="A2284" t="inlineStr">
        <is>
          <t>hgkme7</t>
        </is>
      </c>
      <c r="B2284" t="inlineStr">
        <is>
          <t>It's after 9pm.</t>
        </is>
      </c>
      <c r="C2284" t="inlineStr">
        <is>
          <t>Fever time. Am I right? Like clockwork. I'll be 98 all day and suddenly nighttime rolls around and I'm well on my way to 100F. Just clocked 99.5.
The tingling in my hands was awful today. And these headaches. My lord</t>
        </is>
      </c>
      <c r="D2284" t="n">
        <v>1</v>
      </c>
      <c r="E2284" t="n">
        <v>10</v>
      </c>
      <c r="F2284">
        <f>HYPERLINK("https://www.reddit.com/r/COVID19positive/comments/hgkme7/its_after_9pm/")</f>
        <v/>
      </c>
      <c r="G2284" t="inlineStr">
        <is>
          <t>2020-06-26 18:38:12</t>
        </is>
      </c>
      <c r="H2284" t="inlineStr">
        <is>
          <t>Presumed Positive - From Test</t>
        </is>
      </c>
    </row>
    <row r="2285">
      <c r="A2285" t="inlineStr">
        <is>
          <t>hgl2vs</t>
        </is>
      </c>
      <c r="B2285" t="inlineStr">
        <is>
          <t>Worried about infecting co workers?</t>
        </is>
      </c>
      <c r="C2285" t="inlineStr">
        <is>
          <t>I just tested positive for the coronavirus today (Friday). I started feeling under the weather Tuesday, got worse Wednesday and got tested, and have been quarantining up to this point. Now that I've gotten my positive result back, I cannot shake the idea that I might've harmed my co workers. I wore a mask to work and they didn't so they were at a greater risk than they maybe should've been which I understand is their fault- but I cannot stop thinking about getting them sick. One of my co workers is older and has poor health and I legitimately cannot stop thinking about him possibly getting sick. 
Has anyone else experienced this anxiety? How have you dealt with this? I feel like I'm going insane and if something were genuinely to happen to one of them I don't know how I would ever forgive myself or move on.</t>
        </is>
      </c>
      <c r="D2285" t="n">
        <v>1</v>
      </c>
      <c r="E2285" t="n">
        <v>10</v>
      </c>
      <c r="F2285">
        <f>HYPERLINK("https://www.reddit.com/r/COVID19positive/comments/hgl2vs/worried_about_infecting_co_workers/")</f>
        <v/>
      </c>
      <c r="G2285" t="inlineStr">
        <is>
          <t>2020-06-26 19:08:58</t>
        </is>
      </c>
      <c r="H2285" t="inlineStr">
        <is>
          <t>Tested Positive - Me</t>
        </is>
      </c>
    </row>
    <row r="2286">
      <c r="A2286" t="inlineStr">
        <is>
          <t>hglcqc</t>
        </is>
      </c>
      <c r="B2286" t="inlineStr">
        <is>
          <t>question for those who used oxygen at home?</t>
        </is>
      </c>
      <c r="C2286" t="inlineStr">
        <is>
          <t>My wife has been home with oxygen for six weeks. She has tested negative on her last two Covid tests, After testing positive in late April and then subsequently being hospitalized for two weeks. But she does have some damage in her lower lungs and also an enlarged heart. No other real symptoms.
My question is when did you know it was time to stop using the oxygen?
Her doctor has her down to 1 L now and my wife hopes to be off of it and back to work in about a month.  she is only between about 88 and 91 without the oxygen. And I feel like she’s taking a lot of risks by wanting to take long breaks of many hours “practicing” without the oxygen.   am I worrying for nothing? Or should I be encouraging her to stay on the oxygen as much as possible?</t>
        </is>
      </c>
      <c r="D2286" t="n">
        <v>1</v>
      </c>
      <c r="E2286" t="n">
        <v>7</v>
      </c>
      <c r="F2286">
        <f>HYPERLINK("https://www.reddit.com/r/COVID19positive/comments/hglcqc/question_for_those_who_used_oxygen_at_home/")</f>
        <v/>
      </c>
      <c r="G2286" t="inlineStr">
        <is>
          <t>2020-06-26 19:27:13</t>
        </is>
      </c>
      <c r="H2286" t="inlineStr">
        <is>
          <t>Tested Positive - Family</t>
        </is>
      </c>
    </row>
    <row r="2287">
      <c r="A2287" t="inlineStr">
        <is>
          <t>hglffm</t>
        </is>
      </c>
      <c r="B2287" t="inlineStr">
        <is>
          <t>When do I get retested after testing positive?</t>
        </is>
      </c>
      <c r="C2287" t="inlineStr">
        <is>
          <t>Tomorrow will be day 14 since I’ve been sick &amp;amp; 3 days since I got the results that I tested positive. I haven’t gotten any clear answers from my state and county about retesting and I’m confused on the process. Both my state and county departments of health said that I can come out of social isolation because my symptoms have improved and I never had a fever. I’m really reluctant to do that until I get two negative results. The only symptoms I’ve had for the past three days is upper back pain but the county told me that was not a symptom? Should I get retested relatively soon after the 14 days or wait until my symptoms are gone and then get retested? Any help would be great!</t>
        </is>
      </c>
      <c r="D2287" t="n">
        <v>1</v>
      </c>
      <c r="E2287" t="n">
        <v>6</v>
      </c>
      <c r="F2287">
        <f>HYPERLINK("https://www.reddit.com/r/COVID19positive/comments/hglffm/when_do_i_get_retested_after_testing_positive/")</f>
        <v/>
      </c>
      <c r="G2287" t="inlineStr">
        <is>
          <t>2020-06-26 19:32:21</t>
        </is>
      </c>
      <c r="H2287" t="inlineStr">
        <is>
          <t>Tested Positive - Me</t>
        </is>
      </c>
    </row>
    <row r="2288">
      <c r="A2288" t="inlineStr">
        <is>
          <t>hgm1xl</t>
        </is>
      </c>
      <c r="B2288" t="inlineStr">
        <is>
          <t>Tested positive, late 30s M, asthmatic with high blood pressure. AMA</t>
        </is>
      </c>
      <c r="C2288" t="inlineStr">
        <is>
          <t>I'm sure this has already been done but I'm home for the foreseeable future, I feel like death, and I'm incredibly bored! I thought I would throw up this post for anyone else that has a high risk condition and maybe answer some questions.</t>
        </is>
      </c>
      <c r="D2288" t="n">
        <v>1</v>
      </c>
      <c r="E2288" t="n">
        <v>21</v>
      </c>
      <c r="F2288">
        <f>HYPERLINK("https://www.reddit.com/r/COVID19positive/comments/hgm1xl/tested_positive_late_30s_m_asthmatic_with_high/")</f>
        <v/>
      </c>
      <c r="G2288" t="inlineStr">
        <is>
          <t>2020-06-26 20:15:08</t>
        </is>
      </c>
      <c r="H2288" t="inlineStr">
        <is>
          <t>Tested Positive</t>
        </is>
      </c>
    </row>
    <row r="2289">
      <c r="A2289" t="inlineStr">
        <is>
          <t>hgnxp4</t>
        </is>
      </c>
      <c r="B2289" t="inlineStr">
        <is>
          <t>Have i signed my death warrant ?</t>
        </is>
      </c>
      <c r="C2289" t="inlineStr">
        <is>
          <t>My fucking narcissistic dad who was intent on nobody going out and doing anything because he was diabetic and was afraid we would get him sick and he goes out and to a poker party and catches it and infects the entire house. I tested positive today and so did my mom. What are my chances of dying? I am a 23 male slightly overweight but not too bad.</t>
        </is>
      </c>
      <c r="D2289" t="n">
        <v>1</v>
      </c>
      <c r="E2289" t="n">
        <v>16</v>
      </c>
      <c r="F2289">
        <f>HYPERLINK("https://www.reddit.com/r/COVID19positive/comments/hgnxp4/have_i_signed_my_death_warrant/")</f>
        <v/>
      </c>
      <c r="G2289" t="inlineStr">
        <is>
          <t>2020-06-26 22:36:11</t>
        </is>
      </c>
      <c r="H2289" t="inlineStr">
        <is>
          <t>Tested Positive - Me</t>
        </is>
      </c>
    </row>
    <row r="2290">
      <c r="A2290" t="inlineStr">
        <is>
          <t>hgp7zy</t>
        </is>
      </c>
      <c r="B2290" t="inlineStr">
        <is>
          <t>Parosmia 5 weeks after recovered</t>
        </is>
      </c>
      <c r="C2290" t="inlineStr">
        <is>
          <t>Hey guys,
&amp;amp;#x200B;
I want to share my experience and maybe you have the same experience like me.
&amp;amp;#x200B;
My first symptoms were on April 15th. I had for one evening light fever and for one week dry cough. I was positiv tested 2 weeks later on 29th April.
My infection wasnt really bad but i couldnt taste for one week and couldnt smell for 3 weeks at the end of the infection. 
I got my sense to smell back for like 5 weeks and since 2 weeks I have Parasmia. I have a permanent disgusting smell in my nose and so is my taste also affected.
I got another test and yesterday I got the result it was negative. In the next weeks I will see an ENT.
&amp;amp;#x200B;
Do you have the same experience like me?</t>
        </is>
      </c>
      <c r="D2290" t="n">
        <v>1</v>
      </c>
      <c r="E2290" t="n">
        <v>52</v>
      </c>
      <c r="F2290">
        <f>HYPERLINK("https://www.reddit.com/r/COVID19positive/comments/hgp7zy/parosmia_5_weeks_after_recovered/")</f>
        <v/>
      </c>
      <c r="G2290" t="inlineStr">
        <is>
          <t>2020-06-27 00:32:08</t>
        </is>
      </c>
      <c r="H2290" t="inlineStr">
        <is>
          <t>Tested Positive - Me</t>
        </is>
      </c>
    </row>
    <row r="2291">
      <c r="A2291" t="inlineStr">
        <is>
          <t>hgq3kd</t>
        </is>
      </c>
      <c r="B2291" t="inlineStr">
        <is>
          <t>Tiny cherry angioma</t>
        </is>
      </c>
      <c r="C2291" t="inlineStr">
        <is>
          <t>Did anyone notice tiny red dots in their skin as a symptom or after recovery? I seem to be having more of these lately (about 30-40 on each arm, very small red dots, and a few on legs).</t>
        </is>
      </c>
      <c r="D2291" t="n">
        <v>1</v>
      </c>
      <c r="E2291" t="n">
        <v>3</v>
      </c>
      <c r="F2291">
        <f>HYPERLINK("https://www.reddit.com/r/COVID19positive/comments/hgq3kd/tiny_cherry_angioma/")</f>
        <v/>
      </c>
      <c r="G2291" t="inlineStr">
        <is>
          <t>2020-06-27 01:49:25</t>
        </is>
      </c>
      <c r="H2291" t="inlineStr">
        <is>
          <t>Presumed Positive - From Doctor</t>
        </is>
      </c>
    </row>
    <row r="2292">
      <c r="A2292" t="inlineStr">
        <is>
          <t>hgrcgr</t>
        </is>
      </c>
      <c r="B2292" t="inlineStr">
        <is>
          <t>What's your strangest symptom? Also just a general tracker</t>
        </is>
      </c>
      <c r="C2292" t="inlineStr">
        <is>
          <t>This is by far the strangest illness I've ever experienced, so:
What is your strangest symptom?
For instance right now I taste salt water for no reason?
I seem to be stuck in a weird loop of exhaustion and antsyness . I'm too tired to keep my eyes open enough to even read a book but the moment I close my eyes my mind wont shut up. So I think "okay I'll try some tv" open my eyes and quickly realize I am far to tired to focus. Close my eyes "hey I should mop the floor"........wtf
In order of occurence:
Mental fatigue and general confusion. 
Runny nose
Dry cough (first one that worried me)
Chest pain (this was the most obvious,  I've never felt a sensation quite like this before, pain is almost the wrong word, it was more like a Charley horse in my chest)
Fever (cause of course)
Chills
Sore neck (yup the whole neck)
Body aches (again unlike any other illness. Yes I got the regular ones that come with any cold, but also severe cramping)
Exhaustion 
Headache 
Difficulty breathing (most severe)
Cant seem to drink enough water, constant thirst 
Sorry if this next one is tmi, but no matter how much I drink, I always have pigmented urine. With the amount of water I'm drinking this really shouldn't be possible. Makes me suspect that the virus really messes with the bodies electrolyte and vitamin control. 
Nausea,  this is my most intermittent symptom, coming and going seemingly at random. 
That's all the ones I can think of right now. All the symptoms seem to come and go at random. Although always worse at night. 
Some days I feel like I'm completely on the mend, then the next day I'm left wondering if I should go to the hospital. 
...good times....</t>
        </is>
      </c>
      <c r="D2292" t="n">
        <v>1</v>
      </c>
      <c r="E2292" t="n">
        <v>105</v>
      </c>
      <c r="F2292">
        <f>HYPERLINK("https://www.reddit.com/r/COVID19positive/comments/hgrcgr/whats_your_strangest_symptom_also_just_a_general/")</f>
        <v/>
      </c>
      <c r="G2292" t="inlineStr">
        <is>
          <t>2020-06-27 03:40:01</t>
        </is>
      </c>
      <c r="H2292" t="inlineStr">
        <is>
          <t>Tested Positive - Me</t>
        </is>
      </c>
    </row>
    <row r="2293">
      <c r="A2293" t="inlineStr">
        <is>
          <t>hgs7ih</t>
        </is>
      </c>
      <c r="B2293" t="inlineStr">
        <is>
          <t>Contamination question.....if someone who lives at a house that is positive, comes and visits outside another house that as far as we know is negitive...what can I do to make sure it doesn't spread to the house?</t>
        </is>
      </c>
      <c r="C2293" t="inlineStr">
        <is>
          <t>A young gal from another house came and visited outside only to see our only young guy (in his 20's) at our house. Most of our clients are in their mid to late 60's, one that is in his late 50s (that is diabetic) and one that just turned 70's. 
My question is, is it known how long it lasts on concrete sidewalk? I'm reading online that soap and water and then disinfectant?(our work has us using soap and water on well used areas of contact)</t>
        </is>
      </c>
      <c r="D2293" t="n">
        <v>1</v>
      </c>
      <c r="E2293" t="n">
        <v>2</v>
      </c>
      <c r="F2293">
        <f>HYPERLINK("https://www.reddit.com/r/COVID19positive/comments/hgs7ih/contamination_questionif_someone_who_lives_at_a/")</f>
        <v/>
      </c>
      <c r="G2293" t="inlineStr">
        <is>
          <t>2020-06-27 04:49:15</t>
        </is>
      </c>
      <c r="H2293" t="inlineStr">
        <is>
          <t>Tested Positive - Friends</t>
        </is>
      </c>
    </row>
    <row r="2294">
      <c r="A2294" t="inlineStr">
        <is>
          <t>hgt07s</t>
        </is>
      </c>
      <c r="B2294" t="inlineStr">
        <is>
          <t>Have you been shunned for having this despite being "recovered?"</t>
        </is>
      </c>
      <c r="C2294" t="inlineStr">
        <is>
          <t>I've had 3 swabs that have cleared me. I was in hotel quarantine and given 2 tests 2 days apart to leave. 
Since then, I've had flair ups of joint pain and anosmia, so I got another test and passed.   
Since nobody has been infected by me (that I know), I consider myself a very low risk of spreading this. 
Despite that, when I met up with my mother she wouldn't hug me, just in case. 
Me and my brother tried to say hello to someone and they kept their distance and said that had to keep moving. He knew we had had it (me confirmed, my brother tested negative despite symptoms.)  
My friend said he wouldn't meet up with me for a year just in case. That one was really mean I thought. Not like he's in a risk group.
Anyone else facing discrimination?</t>
        </is>
      </c>
      <c r="D2294" t="n">
        <v>1</v>
      </c>
      <c r="E2294" t="n">
        <v>28</v>
      </c>
      <c r="F2294">
        <f>HYPERLINK("https://www.reddit.com/r/COVID19positive/comments/hgt07s/have_you_been_shunned_for_having_this_despite/")</f>
        <v/>
      </c>
      <c r="G2294" t="inlineStr">
        <is>
          <t>2020-06-27 05:53:20</t>
        </is>
      </c>
      <c r="H2294" t="inlineStr">
        <is>
          <t>Tested Positive - Me</t>
        </is>
      </c>
    </row>
    <row r="2295">
      <c r="A2295" t="inlineStr">
        <is>
          <t>hgthz6</t>
        </is>
      </c>
      <c r="B2295" t="inlineStr">
        <is>
          <t>How long until you got your smell/taste back?</t>
        </is>
      </c>
      <c r="C2295" t="inlineStr">
        <is>
          <t>Was it 3 days? Was it 3 weeks? I know it's different for everyone! 
I'm on day 3 right now and already losing my mind! Just hoping it's not permanent!</t>
        </is>
      </c>
      <c r="D2295" t="n">
        <v>1</v>
      </c>
      <c r="E2295" t="n">
        <v>0</v>
      </c>
      <c r="F2295">
        <f>HYPERLINK("https://www.reddit.com/r/COVID19positive/comments/hgthz6/how_long_until_you_got_your_smelltaste_back/")</f>
        <v/>
      </c>
      <c r="G2295" t="inlineStr">
        <is>
          <t>2020-06-27 06:28:38</t>
        </is>
      </c>
      <c r="H2295" t="inlineStr">
        <is>
          <t>Tested Positive - Me</t>
        </is>
      </c>
    </row>
    <row r="2296">
      <c r="A2296" t="inlineStr">
        <is>
          <t>hgvtsi</t>
        </is>
      </c>
      <c r="B2296" t="inlineStr">
        <is>
          <t>Is it safe to be in my room?</t>
        </is>
      </c>
      <c r="C2296" t="inlineStr">
        <is>
          <t>Hello all, I need a little bit of advice. Recently (as of last Thursday) my mother and step father has become positive for covid 19. I tested and I am positive. They have been staying in their room and only coming out to use the restroom (with a mask, gloves, and disinfectant spray). They live on the other side of the house, but my brother and sister (who show no symptoms) have been roaming around the entire house and using the other bathroom by my room. They are waiting for their test results. Do you think it is safe to stay in my room with the door closed? Or do you think staying out of the house altogether is the only thing I can do?</t>
        </is>
      </c>
      <c r="D2296" t="n">
        <v>1</v>
      </c>
      <c r="E2296" t="n">
        <v>4</v>
      </c>
      <c r="F2296">
        <f>HYPERLINK("https://www.reddit.com/r/COVID19positive/comments/hgvtsi/is_it_safe_to_be_in_my_room/")</f>
        <v/>
      </c>
      <c r="G2296" t="inlineStr">
        <is>
          <t>2020-06-27 08:47:24</t>
        </is>
      </c>
      <c r="H2296" t="inlineStr">
        <is>
          <t>Tested Positive - Family</t>
        </is>
      </c>
    </row>
    <row r="2297">
      <c r="A2297" t="inlineStr">
        <is>
          <t>hgwndh</t>
        </is>
      </c>
      <c r="B2297" t="inlineStr">
        <is>
          <t>Friend refuses to Quarantine after Positive Test</t>
        </is>
      </c>
      <c r="C2297" t="inlineStr">
        <is>
          <t>Two friends and I went out drinking on Thursday. We all shared our drinks at some point or another. One of my friends tested positive for COVID19 a couple of days after we went out, and she is now quarantined. I am self-quarantining until I am able to get tested on Monday. 
Our other friend, however, refuses to get tested and is not quarantining at all. She has been continuing to go to work at her job (she works in a Verizon store)  and just asked me if I wanted to go out tonight (I said no). I think she still intends to go out tonight to the bars even without me (she is the type of person who is strongly against wearing masks as well). How can I convince her not too? 
&amp;amp;#x200B;
p.s. my friend that tested positive is asymptomatic. 
p.p.s. and please give me reasonable answers, not just answers that say that she's a bad person</t>
        </is>
      </c>
      <c r="D2297" t="n">
        <v>83</v>
      </c>
      <c r="E2297" t="n">
        <v>120</v>
      </c>
      <c r="F2297">
        <f>HYPERLINK("https://www.reddit.com/r/COVID19positive/comments/hgwndh/friend_refuses_to_quarantine_after_positive_test/")</f>
        <v/>
      </c>
      <c r="G2297" t="inlineStr">
        <is>
          <t>2020-06-27 09:34:07</t>
        </is>
      </c>
      <c r="H2297" t="inlineStr">
        <is>
          <t>Tested Positive - Friends</t>
        </is>
      </c>
    </row>
    <row r="2298">
      <c r="A2298" t="inlineStr">
        <is>
          <t>hgwqhr</t>
        </is>
      </c>
      <c r="B2298" t="inlineStr">
        <is>
          <t>27 June-- I have Covid19</t>
        </is>
      </c>
      <c r="C2298" t="inlineStr">
        <is>
          <t>38F, slightly overweight, athletic. 
Housemate tested positive last Sunday with symptoms of fever and chills. Since then, he's experienced all the major symptoms. 
I recently took up roller skating and had a massive fall and injured my tailbone and attributed my muscle aches to skating, working hard around the garden and manual labor at work. Still, to be safe because our 3rd housemate has fragile health, I got tested on Wednesday. 
Since I hadn't heard anything by Friday, I began to figure I was ok. Nope. Called this morning with positive diagnosis and a touch of strep throat. How about that. 
I'm almost asymptomatic-- the only indicator of something wrong has been body aches and a new ability to sleep as soon as I lie down. Otherwise, no real fatigue, fever, chills, cough, etc.
Will keep you posted as things change. I'm appreciative of this sub.</t>
        </is>
      </c>
      <c r="D2298" t="n">
        <v>20</v>
      </c>
      <c r="E2298" t="n">
        <v>21</v>
      </c>
      <c r="F2298">
        <f>HYPERLINK("https://www.reddit.com/r/COVID19positive/comments/hgwqhr/27_june_i_have_covid19/")</f>
        <v/>
      </c>
      <c r="G2298" t="inlineStr">
        <is>
          <t>2020-06-27 09:39:01</t>
        </is>
      </c>
      <c r="H2298" t="inlineStr">
        <is>
          <t>Tested Positive - Me</t>
        </is>
      </c>
    </row>
    <row r="2299">
      <c r="A2299" t="inlineStr">
        <is>
          <t>hgx8up</t>
        </is>
      </c>
      <c r="B2299" t="inlineStr">
        <is>
          <t>Tested positive and developed Pneumonia</t>
        </is>
      </c>
      <c r="C2299" t="inlineStr">
        <is>
          <t>Hi guys! Im a male 28 years old, tested positive for Covid 4 days ago, and been having symptoms for about 11 days, stated with fever for only one day, and body ache after, then I was feeling fine until the cough started and has a little chest tightness, went to the ER and the X ray resulted in Viral Pneumonia, I don’t feel that bad really, just extremely nervous on top of being tired and with a little shortness of breath when I move too much, the doctor gave me prescriptions for Azithromicyn 250mg and Methylprednisolone 4mg, I started today and I’m confident, Any info, encouragement, good advices or personal experiences appreciated, what’s your take on aspiring 81 for cough and prevent blood clots?</t>
        </is>
      </c>
      <c r="D2299" t="n">
        <v>14</v>
      </c>
      <c r="E2299" t="n">
        <v>41</v>
      </c>
      <c r="F2299">
        <f>HYPERLINK("https://www.reddit.com/r/COVID19positive/comments/hgx8up/tested_positive_and_developed_pneumonia/")</f>
        <v/>
      </c>
      <c r="G2299" t="inlineStr">
        <is>
          <t>2020-06-27 10:07:59</t>
        </is>
      </c>
      <c r="H2299" t="inlineStr">
        <is>
          <t>Tested Positive - Me</t>
        </is>
      </c>
    </row>
    <row r="2300">
      <c r="A2300" t="inlineStr">
        <is>
          <t>hgyrcr</t>
        </is>
      </c>
      <c r="B2300" t="inlineStr">
        <is>
          <t>Tested positive along with my 4 yr old. Possible positive in baby and entire family :(</t>
        </is>
      </c>
      <c r="C2300" t="inlineStr">
        <is>
          <t xml:space="preserve">
My little boy (4 year old) goes to therapy. We also have a 8 month old and my in-laws (60 y.o. F and 67 y.o. M) with us at the moment. 
4 Y.O. SYMPTOMS BELOW: 
- Wednesday night: Fever  (101) and chills. I slept with him to take care of him. At this time, we both quarantined ourselves in the same room. 
- Thursday: Fever and chills all day.As soon as the Tylenol would wear off, his fever would spike to up to 102. 
- Friday: Last fever reading on Friday at 3.30 am. It’s been 32+ hours since he has been fever free. He has no other major symptoms besides reduced appetite and fussiness. 
MY (38 Y.O. F) SYMPTOMS BELOW: 
- Thursday night : Fever (101.5) and chills. Took some Tylenol. It took about 3 hours for 1000 mg of Tylenol to bring the fever down. As soon as the Tylenol wore off in 8 hours, I had 102 fever again. 
- Friday: Fever 101-102. Tylenol does not work for 2-3 hours. 
We got tested yesterday and we both tested positive. My husband tested negative yesterday. Today, my little 8 month old has a fever of 100 (gave him Tylenol) and my husband is complaining of body aches. Could my husband still have it even though he tested negative yesterday (due to the incubation period)? He is planning on taking our 8 month old, and 2 grandparents to get tested today. 
Some questions as watching news has made me more anxious: 
* Today, I still have fever 101 and now, I have sore throat and some phlegm (sorry) production. No cough yet. Should I expect the symptoms to get worse? 
* How long do the symptoms usually last? Since my toddler has not had any symptoms besides fever/chills and he has been fever free for 32 hours, is it still a good idea for us to quarantine together?
* Should the rest of the family just wait a couple more days to get tested due to incubation period? 
* If my 8 m.o. tests positive , how bad can the symptoms get in babies? Reading online has made me more nervous. Looking for some comfort from someone who knows someone who knows someone etc. that had a baby infected? 
* How do I trace the infection back to ?My 4 y.o. son’s therapy said they follow COVID guidelines in terms of notification. But no one notified of possible infection. We do not go anywhere else and in rare cases that we have to, mask is on 100% of the time. 
* Who should we notify of the positive testing? 
Thanks in advance. I’m really hoping we all pull through. It has been a really tough year for all of us :(</t>
        </is>
      </c>
      <c r="D2300" t="n">
        <v>17</v>
      </c>
      <c r="E2300" t="n">
        <v>25</v>
      </c>
      <c r="F2300">
        <f>HYPERLINK("https://www.reddit.com/r/COVID19positive/comments/hgyrcr/tested_positive_along_with_my_4_yr_old_possible/")</f>
        <v/>
      </c>
      <c r="G2300" t="inlineStr">
        <is>
          <t>2020-06-27 11:32:01</t>
        </is>
      </c>
      <c r="H2300" t="inlineStr">
        <is>
          <t>Tested Positive - Me</t>
        </is>
      </c>
    </row>
    <row r="2301">
      <c r="A2301" t="inlineStr">
        <is>
          <t>hgyx8b</t>
        </is>
      </c>
      <c r="B2301" t="inlineStr">
        <is>
          <t>Food without taste is traumatic.</t>
        </is>
      </c>
      <c r="C2301" t="inlineStr">
        <is>
          <t>Without taste it just textures. I’ve never been super weird about textures but I couldn’t deal with certain textures. Now it’s all textures. 
I’m trying to see the positive of this. I’m an over eater and without flavor I’m just eating for sustenance. I’m not super eager to eat right now because there really is no point. The upsetting part is all I have in my house is food I have to cook. With no energy I am unable to cook for myself (I live alone) so I’m ordering food which is not good for me and I can’t even finish it because I just can’t handle chewing and not tasting. 
Anyway, just a vent. How are y’all feeling about the no tastes.</t>
        </is>
      </c>
      <c r="D2301" t="n">
        <v>15</v>
      </c>
      <c r="E2301" t="n">
        <v>29</v>
      </c>
      <c r="F2301">
        <f>HYPERLINK("https://www.reddit.com/r/COVID19positive/comments/hgyx8b/food_without_taste_is_traumatic/")</f>
        <v/>
      </c>
      <c r="G2301" t="inlineStr">
        <is>
          <t>2020-06-27 11:40:59</t>
        </is>
      </c>
      <c r="H2301" t="inlineStr">
        <is>
          <t>Tested Positive - Me</t>
        </is>
      </c>
    </row>
    <row r="2302">
      <c r="A2302" t="inlineStr">
        <is>
          <t>hgz14j</t>
        </is>
      </c>
      <c r="B2302" t="inlineStr">
        <is>
          <t>Went out for my birthday</t>
        </is>
      </c>
      <c r="C2302" t="inlineStr">
        <is>
          <t>I had been staying home and only leaving if necessary, and they lifted restrictions. Went out Sat June 6 and developed the dry cough the following Thurs and got tested Fri June 12. Had about a week of chills fever, achy, sleeping. Fever was gone after 2 days. I got tested yesterday and I’m still showing positive! I have no symptoms and they won’t let me start my new job until I test negative.  I plan on trying again tomorrow but I’m really concerned that it will still be positive. It’s getting harder and harder to get tested and the results are taking longer and longer.</t>
        </is>
      </c>
      <c r="D2302" t="n">
        <v>3</v>
      </c>
      <c r="E2302" t="n">
        <v>5</v>
      </c>
      <c r="F2302">
        <f>HYPERLINK("https://www.reddit.com/r/COVID19positive/comments/hgz14j/went_out_for_my_birthday/")</f>
        <v/>
      </c>
      <c r="G2302" t="inlineStr">
        <is>
          <t>2020-06-27 11:47:09</t>
        </is>
      </c>
      <c r="H2302" t="inlineStr">
        <is>
          <t>Tested Positive - Me</t>
        </is>
      </c>
    </row>
    <row r="2303">
      <c r="A2303" t="inlineStr">
        <is>
          <t>hgz6qx</t>
        </is>
      </c>
      <c r="B2303" t="inlineStr">
        <is>
          <t>Cousin tested positive and is doing well a week later</t>
        </is>
      </c>
      <c r="C2303" t="inlineStr">
        <is>
          <t>Hi there,
I wanted to share a good recovery story with you all in hopes that it makes you feel a little less stressed. Last Friday my cousin said he had a terrible headache but chalked it up to a stressful day at work and didn't think much of it. He is in his mid 30s, lives alone, and is generally healthy (jogs regularly and also lifts weights at home).
On Saturday morning, he woke up with chills and a persistent headache and realized he was definitely sick. He is a pharmacist so he got tested right away and got his results on Monday. Test came back positive. He was advised by his doctor to stay home for 10 days. From what he told me over the phone, he felt the worst from Saturday-Tuesday. He reports feeling chilled, fatigued, dry throat feeling with no cough, headaches, and not able to taste anything except salt. He described the lack of taste as 'similar to the feeling you get after eating a lot of raw onion.' By Wednesday he said he was feeling well enough to do some gardening and now it is a week later and he says he feels nearly back to normal save for feeling more fatigued than usual while doing yard work. We all expect that he will be making a full recovery and will be able to go back to work by next week.
I hope this story and the symptoms are helpful.</t>
        </is>
      </c>
      <c r="D2303" t="n">
        <v>27</v>
      </c>
      <c r="E2303" t="n">
        <v>20</v>
      </c>
      <c r="F2303">
        <f>HYPERLINK("https://www.reddit.com/r/COVID19positive/comments/hgz6qx/cousin_tested_positive_and_is_doing_well_a_week/")</f>
        <v/>
      </c>
      <c r="G2303" t="inlineStr">
        <is>
          <t>2020-06-27 11:55:36</t>
        </is>
      </c>
      <c r="H2303" t="inlineStr">
        <is>
          <t>Tested Positive - Family</t>
        </is>
      </c>
    </row>
    <row r="2304">
      <c r="A2304" t="inlineStr">
        <is>
          <t>hgzecs</t>
        </is>
      </c>
      <c r="B2304" t="inlineStr">
        <is>
          <t>cheat pain</t>
        </is>
      </c>
      <c r="C2304" t="inlineStr">
        <is>
          <t>my girlfriend who tested positive for covid-19, has chest pains/ chest tightness. anyone else felt this and if so what did you guys to go help ?</t>
        </is>
      </c>
      <c r="D2304" t="n">
        <v>1</v>
      </c>
      <c r="E2304" t="n">
        <v>5</v>
      </c>
      <c r="F2304">
        <f>HYPERLINK("https://www.reddit.com/r/COVID19positive/comments/hgzecs/cheat_pain/")</f>
        <v/>
      </c>
      <c r="G2304" t="inlineStr">
        <is>
          <t>2020-06-27 12:07:12</t>
        </is>
      </c>
      <c r="H2304" t="inlineStr">
        <is>
          <t>Tested Positive - Family</t>
        </is>
      </c>
    </row>
    <row r="2305">
      <c r="A2305" t="inlineStr">
        <is>
          <t>hgzw35</t>
        </is>
      </c>
      <c r="B2305" t="inlineStr">
        <is>
          <t>Issues with high blood pressure and breathlessness.</t>
        </is>
      </c>
      <c r="C2305" t="inlineStr">
        <is>
          <t>I had covid around 10 weeks ago. I tested negative for it about 2 weeks ago and I’m pretty certain based on my recovery that I hadn’t had it for a couple of weeks before that. This week I was experiencing the same lingering chest pain and breathing problems I’ve had since I started to recover but I had really high blood pressure and I was Taken to hospital. The doctors were concerned about how high it was and started tests looking to see if I had a heart attack, pulmonary embolism and other stuff. All came back negative. Got a heart test thing as well and that came back as ok. Pretty much told that I should try to make life style changes and that it was just my costocondritis flaring you pretty badly. I was however told to go to my doctor about my high blood pressure as I’m only 28 and really shouldn’t be having these issues. Annnnnnyway.... has anyone else experienced the same sort of thing in terms of costo or blood pressure and are you being medicated for it and had it helped? Thanks people big love 🙏</t>
        </is>
      </c>
      <c r="D2305" t="n">
        <v>2</v>
      </c>
      <c r="E2305" t="n">
        <v>18</v>
      </c>
      <c r="F2305">
        <f>HYPERLINK("https://www.reddit.com/r/COVID19positive/comments/hgzw35/issues_with_high_blood_pressure_and_breathlessness/")</f>
        <v/>
      </c>
      <c r="G2305" t="inlineStr">
        <is>
          <t>2020-06-27 12:34:43</t>
        </is>
      </c>
      <c r="H2305" t="inlineStr">
        <is>
          <t>Presumed Positive - From Doctor</t>
        </is>
      </c>
    </row>
    <row r="2306">
      <c r="A2306" t="inlineStr">
        <is>
          <t>hh007e</t>
        </is>
      </c>
      <c r="B2306" t="inlineStr">
        <is>
          <t>Stabbing pain lowest rib/abs</t>
        </is>
      </c>
      <c r="C2306" t="inlineStr">
        <is>
          <t>Curious if someone else experienced this. Im almost symptom-free, but this came around the corner a few weeks ago. It's a sharp, stabbing pain under my lowest right rib towards my abs. More of a weird/annoying irregular pain and hard to localize. As if a sharp knife only makes the slightest contact. Also my lowest rib sometimes hurts. Maybe has to do with the coughing and all? I also had this pain on the left side but that seems to have left the building.</t>
        </is>
      </c>
      <c r="D2306" t="n">
        <v>7</v>
      </c>
      <c r="E2306" t="n">
        <v>13</v>
      </c>
      <c r="F2306">
        <f>HYPERLINK("https://www.reddit.com/r/COVID19positive/comments/hh007e/stabbing_pain_lowest_ribabs/")</f>
        <v/>
      </c>
      <c r="G2306" t="inlineStr">
        <is>
          <t>2020-06-27 12:41:03</t>
        </is>
      </c>
      <c r="H2306" t="inlineStr">
        <is>
          <t>Presumed Positive - From Doctor</t>
        </is>
      </c>
    </row>
    <row r="2307">
      <c r="A2307" t="inlineStr">
        <is>
          <t>hh0h9v</t>
        </is>
      </c>
      <c r="B2307" t="inlineStr">
        <is>
          <t>Is this a smart idea?</t>
        </is>
      </c>
      <c r="C2307" t="inlineStr">
        <is>
          <t>I got Covid back in April so i have antibodies. Im looking at taking a trip, just going to my sister house in Sacramento in July. I’m not going to explore or anything just a mental break from everything ( i work as a CNA). What’s the likelihood of being stuck there or having to quarantine when i get back? I live in NY.</t>
        </is>
      </c>
      <c r="D2307" t="n">
        <v>1</v>
      </c>
      <c r="E2307" t="n">
        <v>6</v>
      </c>
      <c r="F2307">
        <f>HYPERLINK("https://www.reddit.com/r/COVID19positive/comments/hh0h9v/is_this_a_smart_idea/")</f>
        <v/>
      </c>
      <c r="G2307" t="inlineStr">
        <is>
          <t>2020-06-27 13:07:27</t>
        </is>
      </c>
      <c r="H2307" t="inlineStr">
        <is>
          <t>Tested Positive</t>
        </is>
      </c>
    </row>
    <row r="2308">
      <c r="A2308" t="inlineStr">
        <is>
          <t>hh15z0</t>
        </is>
      </c>
      <c r="B2308" t="inlineStr">
        <is>
          <t>Hopeful</t>
        </is>
      </c>
      <c r="C2308" t="inlineStr">
        <is>
          <t>I started experiencing mild symptoms like fatigue, headaches and loss of smell and appetite beginning June 18th. I figured it was because I was getting my period and was going through a break-up. I didn’t think much of the loss of smell though. I decided to get tested and stayed home from work. I got my results Wednesday the 24th and I am positive. My family just got tested today. Two of my friends who I saw have tested negative (thankfully). My job has closed down because another employee has also tested positive. Since the 18th I’ve lost about 5 pounds but today is the first day I’m able to eat more than once and my sense of smell has returned. I still have a slight cough along w/ phlegm. Other than that I’m beginning to feel “normal” 
I just wanted to share my story! Thank you.
ALSO just wanted to share some things I have been doing recently to help recover. I have been drinking about 3-4 teas a day (dandelion, green, chamomile and a stress relief tea) red juices (beet &amp;amp; orange)  vitamin C powder form ( I add it in my tea) lemon juice shots w/ baking soda, ginger shots, drinking a bunch of water &amp;amp; pedialyte and eating vegetable soup. I’ve eaten garlic cloves too. I hope this helps!</t>
        </is>
      </c>
      <c r="D2308" t="n">
        <v>4</v>
      </c>
      <c r="E2308" t="n">
        <v>7</v>
      </c>
      <c r="F2308">
        <f>HYPERLINK("https://www.reddit.com/r/COVID19positive/comments/hh15z0/hopeful/")</f>
        <v/>
      </c>
      <c r="G2308" t="inlineStr">
        <is>
          <t>2020-06-27 13:46:17</t>
        </is>
      </c>
      <c r="H2308" t="inlineStr">
        <is>
          <t>Tested Positive - Me</t>
        </is>
      </c>
    </row>
    <row r="2309">
      <c r="A2309" t="inlineStr">
        <is>
          <t>hh2dp8</t>
        </is>
      </c>
      <c r="B2309" t="inlineStr">
        <is>
          <t>Recovery check for long haulers at 20 Weeks+.</t>
        </is>
      </c>
      <c r="C2309" t="inlineStr">
        <is>
          <t>So how are you guys doing after 20+ Weeks? Does it get better? Any recoveries or improvements?</t>
        </is>
      </c>
      <c r="D2309" t="n">
        <v>4</v>
      </c>
      <c r="E2309" t="n">
        <v>22</v>
      </c>
      <c r="F2309">
        <f>HYPERLINK("https://www.reddit.com/r/COVID19positive/comments/hh2dp8/recovery_check_for_long_haulers_at_20_weeks/")</f>
        <v/>
      </c>
      <c r="G2309" t="inlineStr">
        <is>
          <t>2020-06-27 14:55:03</t>
        </is>
      </c>
      <c r="H2309" t="inlineStr">
        <is>
          <t>Presumed Positive - From Test</t>
        </is>
      </c>
    </row>
    <row r="2310">
      <c r="A2310" t="inlineStr">
        <is>
          <t>hh2gtf</t>
        </is>
      </c>
      <c r="B2310" t="inlineStr">
        <is>
          <t>Long haulers - getting no better, no relief, basically bedridden, no help from doctors</t>
        </is>
      </c>
      <c r="C2310" t="inlineStr">
        <is>
          <t>Im really at the end now, ive had enough, symptoms wont go away, can hardly walk, i dont want to be here anymore, i love life but i cant live like this, with no signs of improvement, i feel covid has evaded my immune system and is doing god knows what damage to my body, you wouldnt treat a dog like this, tbh if i had the option id pick euthenasia now.</t>
        </is>
      </c>
      <c r="D2310" t="n">
        <v>1</v>
      </c>
      <c r="E2310" t="n">
        <v>12</v>
      </c>
      <c r="F2310">
        <f>HYPERLINK("https://www.reddit.com/r/COVID19positive/comments/hh2gtf/long_haulers_getting_no_better_no_relief/")</f>
        <v/>
      </c>
      <c r="G2310" t="inlineStr">
        <is>
          <t>2020-06-27 14:59:56</t>
        </is>
      </c>
      <c r="H2310" t="inlineStr">
        <is>
          <t>Tested Positive</t>
        </is>
      </c>
    </row>
    <row r="2311">
      <c r="A2311" t="inlineStr">
        <is>
          <t>hh2hjw</t>
        </is>
      </c>
      <c r="B2311" t="inlineStr">
        <is>
          <t>Long-termers.....are we contagious?</t>
        </is>
      </c>
      <c r="C2311" t="inlineStr">
        <is>
          <t>Anyone know if we are still contagious?  I’m at week 15 with low grade fever, crippling headaches, and fatigue.  I feel like, despite subsequent negative tests, if there is enough virus in me to make me sick then there is a possibility I could get others sick, right? Any you other long-timers still quarantining? I have a family member that wants to bring others in the house but I just don’t think it’s a good idea.</t>
        </is>
      </c>
      <c r="D2311" t="n">
        <v>1</v>
      </c>
      <c r="E2311" t="n">
        <v>5</v>
      </c>
      <c r="F2311">
        <f>HYPERLINK("https://www.reddit.com/r/COVID19positive/comments/hh2hjw/longtermersare_we_contagious/")</f>
        <v/>
      </c>
      <c r="G2311" t="inlineStr">
        <is>
          <t>2020-06-27 15:01:00</t>
        </is>
      </c>
      <c r="H2311" t="inlineStr">
        <is>
          <t>Tested Positive - Family</t>
        </is>
      </c>
    </row>
    <row r="2312">
      <c r="A2312" t="inlineStr">
        <is>
          <t>hh2ms7</t>
        </is>
      </c>
      <c r="B2312" t="inlineStr">
        <is>
          <t>Am I the only one that's okay?</t>
        </is>
      </c>
      <c r="C2312" t="inlineStr">
        <is>
          <t>I only had one day when I was really fatigued and slept all day. Like I didn't have a fever at all. Just no smell or taste. Should I be worried? I feel good and I think Im mostly asymptomatic.</t>
        </is>
      </c>
      <c r="D2312" t="n">
        <v>13</v>
      </c>
      <c r="E2312" t="n">
        <v>71</v>
      </c>
      <c r="F2312">
        <f>HYPERLINK("https://www.reddit.com/r/COVID19positive/comments/hh2ms7/am_i_the_only_one_thats_okay/")</f>
        <v/>
      </c>
      <c r="G2312" t="inlineStr">
        <is>
          <t>2020-06-27 15:08:53</t>
        </is>
      </c>
      <c r="H2312" t="inlineStr">
        <is>
          <t>Tested Positive</t>
        </is>
      </c>
    </row>
    <row r="2313">
      <c r="A2313" t="inlineStr">
        <is>
          <t>hh2rfy</t>
        </is>
      </c>
      <c r="B2313" t="inlineStr">
        <is>
          <t>Day by Day: Very Mild Symptoms</t>
        </is>
      </c>
      <c r="C2313" t="inlineStr">
        <is>
          <t>Hi! Just wanted to share my super mild Covid-19 experience so far! 28 F, healthy, no underlying health conditions. On day 10 right now and feeling about 90% normal. 
For about a week before my symptoms really set in, I had a slight tickle in my throat and one or two days of the *slightest* runny nose. Felt like normal allergies. Thankfully was already isolating.
I have not had fever (take temp probably 10x a day). Never felt short of breath, not even remotely abnormal breathing. Never got tired enough that I couldn't move - have only taken 2 naps in the 10 days so far, and really because there was nothing else to do. Have not taken any medicine besides Claritin twice at beginning. Have coughed probably 15 times total because I force myself to to see if anything comes up (nothing).
I noticed after day 5 that when I was moving around (even just driving around in my car) I didn't even notice a single symptom - symptoms seemed worse when I was being stagnant and thinking about them. Might also be because of my dogs who can often get my allergies going.
Also received a pulse oximeter on day 3 and monitored all throughout the days, and never went below 97%. Heart rate has stayed in 60s.
Here are my symptoms so far:
Day 1: head felt full. Tired. Tickle in throat becoming more annoying.
Day 2: really mild chills, just thought I was cold. Light headache. Tickle in throat. Congestion starting to come on - took a claritin which helped. Slept fine. 
Day 3: woke up fine. Sniffles set in, which as the day progressed turned into full blown runny nose - claritin did not help. Tired. Tickle in throat that was clearly post nasal drip. Slept fine. No real appetite.
day 4: Very tired throughout day. Congested. Post nasal drip. Terrible headache that felt like a tight band around my temple, slight body aches. No appetite. *this was really my only bad day physically, and it wasn't too bad at all, felt like a mild cold. The day felt like a daze though.
Day 5: Congestion. Post nasal drip. Tiredness as the day went on. No headache/body ache. Sense of smell disappeared. Taste was off - everything seemed outrageously salty.
Day 6: Congestion starting to lighten up, no more pressure in face. Post nasal drip. No headache/body aches. Still tired in middle of day. Appetite coming back. Night time got weird: my anxiety went through the roof in a way that was almost delusional. Felt like I couldn't get a grasp on reality. Kept facetiming my mom to talk, and the next day she couldn't believe how wild my anxiety was. Sometimes when my anxiety gets bad I get extremely nauseous and I often force myself to throw up (not healthy, I know, but it is a quick fix for me) which is what I did here. I assume the nausea was anxiety-related and not Covid but unsure. 
Day 7: Congestion continuing to lighten up. Post nasal drip. Less tired, but still tired when I would lay down. No headaches/body aches. Felt pretty fine overall. Night time anxiety creeped back in and was terrible. It felt like I would fixate on one thing to freak out about and imagine the worst case scenario - tonight it was pneumonia.
Day 8: Congestion still lightening up to one nostril at a time. Post nasal drip. No headaches/bodyaches. Appetite coming back. Slight anxiety at night.
Day 9: Congestion lightening up a lot. Post nasal drip. No headache/bodyaches. Appetite almost back. Feeling better overall. Taste coming back, faint smells if I really try. Slight anxiety at night because I was convinced I had a pain in chest right above my breast, but when I touched the area it was clear that it was a sore muscle (either from clearing throat or coughing or something else). Anxiety went away and I slept fine. 
Day 10: Today. Woke up with zero congestion. SMELL IS FULLY BACK! Can fully taste food! Still clearing throat, though not nearly as much, and it feels less like annoyingly dripping and more like thicker phlegm moving down. Aside from clearing my throat I would have no idea I'm sick. Walked my dogs for 30 minutes in 90 degree heat while wearing a mask and was breathing completely normal, even afterwards. 
*I will update as the days go.
My doctor told me that I did not need to come in and take a test, as I had close contact with someone who tested positive. He also told me that I am good to go after 10 days of symptoms and that I should get an antibodies test the following week. Going to stay in isolation a few more days and see how it goes.</t>
        </is>
      </c>
      <c r="D2313" t="n">
        <v>8</v>
      </c>
      <c r="E2313" t="n">
        <v>11</v>
      </c>
      <c r="F2313">
        <f>HYPERLINK("https://www.reddit.com/r/COVID19positive/comments/hh2rfy/day_by_day_very_mild_symptoms/")</f>
        <v/>
      </c>
      <c r="G2313" t="inlineStr">
        <is>
          <t>2020-06-27 15:16:02</t>
        </is>
      </c>
      <c r="H2313" t="inlineStr">
        <is>
          <t>Presumed Positive - From Doctor</t>
        </is>
      </c>
    </row>
    <row r="2314">
      <c r="A2314" t="inlineStr">
        <is>
          <t>hh2tna</t>
        </is>
      </c>
      <c r="B2314" t="inlineStr">
        <is>
          <t>Question for those that recovered from Covid</t>
        </is>
      </c>
      <c r="C2314" t="inlineStr">
        <is>
          <t>Its now been 5 days since I was diagnosed with Covid and my fever seems to have broken as my temp is now down to 99 today. Is this a good sign ?</t>
        </is>
      </c>
      <c r="D2314" t="n">
        <v>1</v>
      </c>
      <c r="E2314" t="n">
        <v>4</v>
      </c>
      <c r="F2314">
        <f>HYPERLINK("https://www.reddit.com/r/COVID19positive/comments/hh2tna/question_for_those_that_recovered_from_covid/")</f>
        <v/>
      </c>
      <c r="G2314" t="inlineStr">
        <is>
          <t>2020-06-27 15:19:29</t>
        </is>
      </c>
      <c r="H2314" t="inlineStr">
        <is>
          <t>Tested Positive - Me</t>
        </is>
      </c>
    </row>
    <row r="2315">
      <c r="A2315" t="inlineStr">
        <is>
          <t>hh32vc</t>
        </is>
      </c>
      <c r="B2315" t="inlineStr">
        <is>
          <t>High Risk Covid-19 Cases</t>
        </is>
      </c>
      <c r="C2315" t="inlineStr">
        <is>
          <t>I was diagnosed last Wednesday.  I am on day 3 of symptoms. I am  very high risk.  Copd, heart disease. I was wondering if there are high risk cases that are mild? I feel so scared over what’s to come. So far i have not had a fever. Just a sore throat , burning nasal passages, migraine type headache for one day,  a slight wheeze in my upper chest, spacey feeling and weakness.</t>
        </is>
      </c>
      <c r="D2315" t="n">
        <v>2</v>
      </c>
      <c r="E2315" t="n">
        <v>22</v>
      </c>
      <c r="F2315">
        <f>HYPERLINK("https://www.reddit.com/r/COVID19positive/comments/hh32vc/high_risk_covid19_cases/")</f>
        <v/>
      </c>
      <c r="G2315" t="inlineStr">
        <is>
          <t>2020-06-27 15:34:02</t>
        </is>
      </c>
      <c r="H2315" t="inlineStr">
        <is>
          <t>Tested Positive - Me</t>
        </is>
      </c>
    </row>
    <row r="2316">
      <c r="A2316" t="inlineStr">
        <is>
          <t>hh3crh</t>
        </is>
      </c>
      <c r="B2316" t="inlineStr">
        <is>
          <t>24F Tested Positive</t>
        </is>
      </c>
      <c r="C2316" t="inlineStr">
        <is>
          <t>**Day One:**   
No sleep, stiff neck, achy back, achy eyes, fever ~101 F   
**Day Two:**   
No sleep, stiff neck, achy back, fever ~102 F, minor sinus issues, headache, sore throat   
**Day Three:**   
Stiff neck, sinus issues, headache, sore throat     
**Day Four:**   
Sinus issues, loss of smell   
Definitely most freaked out about the loss of smell at this point. Didn’t believe I had lost it until I couldn’t even smell this gnarly super scented lotion I can’t stand :(</t>
        </is>
      </c>
      <c r="D2316" t="n">
        <v>1</v>
      </c>
      <c r="E2316" t="n">
        <v>5</v>
      </c>
      <c r="F2316">
        <f>HYPERLINK("https://www.reddit.com/r/COVID19positive/comments/hh3crh/24f_tested_positive/")</f>
        <v/>
      </c>
      <c r="G2316" t="inlineStr">
        <is>
          <t>2020-06-27 15:49:45</t>
        </is>
      </c>
      <c r="H2316" t="inlineStr">
        <is>
          <t>Tested Positive - Me</t>
        </is>
      </c>
    </row>
    <row r="2317">
      <c r="A2317" t="inlineStr">
        <is>
          <t>hh3ct7</t>
        </is>
      </c>
      <c r="B2317" t="inlineStr">
        <is>
          <t>It's been 100 days since my friend tested positive for covid and got admitted in the hospital. Not getting any better at the moment. :(</t>
        </is>
      </c>
      <c r="C2317" t="inlineStr">
        <is>
          <t>Anyone known or heard about someone else who had been in the hospital this long? He started getting better and then got worse. We are not sure when he would be back as his condition has still not improved enough to let him go home and recover. Extremely extremely worried!</t>
        </is>
      </c>
      <c r="D2317" t="n">
        <v>1</v>
      </c>
      <c r="E2317" t="n">
        <v>10</v>
      </c>
      <c r="F2317">
        <f>HYPERLINK("https://www.reddit.com/r/COVID19positive/comments/hh3ct7/its_been_100_days_since_my_friend_tested_positive/")</f>
        <v/>
      </c>
      <c r="G2317" t="inlineStr">
        <is>
          <t>2020-06-27 15:49:51</t>
        </is>
      </c>
      <c r="H2317" t="inlineStr">
        <is>
          <t>Tested Positive - Friends</t>
        </is>
      </c>
    </row>
    <row r="2318">
      <c r="A2318" t="inlineStr">
        <is>
          <t>hh3mec</t>
        </is>
      </c>
      <c r="B2318" t="inlineStr">
        <is>
          <t>Coughing up blood?!</t>
        </is>
      </c>
      <c r="C2318" t="inlineStr">
        <is>
          <t>My boyfriend tested positive and he’s coughing up small bouts of blood. I took him to the ER and the doctor said it was normal for COVID symptoms and is a slight case of pneumonia. Has anyone else experienced coughing up blood? When does it become worrisome???</t>
        </is>
      </c>
      <c r="D2318" t="n">
        <v>1</v>
      </c>
      <c r="E2318" t="n">
        <v>6</v>
      </c>
      <c r="F2318">
        <f>HYPERLINK("https://www.reddit.com/r/COVID19positive/comments/hh3mec/coughing_up_blood/")</f>
        <v/>
      </c>
      <c r="G2318" t="inlineStr">
        <is>
          <t>2020-06-27 16:05:20</t>
        </is>
      </c>
      <c r="H2318" t="inlineStr">
        <is>
          <t>Tested Positive - Family</t>
        </is>
      </c>
    </row>
    <row r="2319">
      <c r="A2319" t="inlineStr">
        <is>
          <t>hh3qef</t>
        </is>
      </c>
      <c r="B2319" t="inlineStr">
        <is>
          <t>How long does it take to get Covid 19 results back?</t>
        </is>
      </c>
      <c r="C2319" t="inlineStr">
        <is>
          <t>My oldest called me yesterday saying she thinks her dad and his girlfriend have Covid. My ex called today saying he went through a drive thru testing area today and they told him he's positive. Would he get the results that quickly? 
I'm worried because my 3 kids have been with him for the past week and now have been exposed.</t>
        </is>
      </c>
      <c r="D2319" t="n">
        <v>0</v>
      </c>
      <c r="E2319" t="n">
        <v>3</v>
      </c>
      <c r="F2319">
        <f>HYPERLINK("https://www.reddit.com/r/COVID19positive/comments/hh3qef/how_long_does_it_take_to_get_covid_19_results_back/")</f>
        <v/>
      </c>
      <c r="G2319" t="inlineStr">
        <is>
          <t>2020-06-27 16:11:42</t>
        </is>
      </c>
      <c r="H2319" t="inlineStr">
        <is>
          <t>Tested Positive - Family</t>
        </is>
      </c>
    </row>
    <row r="2320">
      <c r="A2320" t="inlineStr">
        <is>
          <t>hh46gs</t>
        </is>
      </c>
      <c r="B2320" t="inlineStr">
        <is>
          <t>Not being able to taste or smell anything.</t>
        </is>
      </c>
      <c r="C2320" t="inlineStr">
        <is>
          <t>Day 4.. I am still unable to taste or smell anything. The only thing I can taste is pepper. I might become a pepper addict after this passes.</t>
        </is>
      </c>
      <c r="D2320" t="n">
        <v>2</v>
      </c>
      <c r="E2320" t="n">
        <v>7</v>
      </c>
      <c r="F2320">
        <f>HYPERLINK("https://www.reddit.com/r/COVID19positive/comments/hh46gs/not_being_able_to_taste_or_smell_anything/")</f>
        <v/>
      </c>
      <c r="G2320" t="inlineStr">
        <is>
          <t>2020-06-27 16:37:53</t>
        </is>
      </c>
      <c r="H2320" t="inlineStr">
        <is>
          <t>Tested Positive - Me</t>
        </is>
      </c>
    </row>
    <row r="2321">
      <c r="A2321" t="inlineStr">
        <is>
          <t>hh4hzy</t>
        </is>
      </c>
      <c r="B2321" t="inlineStr">
        <is>
          <t>Crying everyday</t>
        </is>
      </c>
      <c r="C2321" t="inlineStr">
        <is>
          <t>Anyone unusually weepy? Think I have cried for two months straight.</t>
        </is>
      </c>
      <c r="D2321" t="n">
        <v>3</v>
      </c>
      <c r="E2321" t="n">
        <v>7</v>
      </c>
      <c r="F2321">
        <f>HYPERLINK("https://www.reddit.com/r/COVID19positive/comments/hh4hzy/crying_everyday/")</f>
        <v/>
      </c>
      <c r="G2321" t="inlineStr">
        <is>
          <t>2020-06-27 16:58:04</t>
        </is>
      </c>
      <c r="H2321" t="inlineStr">
        <is>
          <t>Presumed Positive - From Test</t>
        </is>
      </c>
    </row>
    <row r="2322">
      <c r="A2322" t="inlineStr">
        <is>
          <t>hh4i10</t>
        </is>
      </c>
      <c r="B2322" t="inlineStr">
        <is>
          <t>Presumed positive in february, tested negative early May. Urgent care doctor thinks my symptoms are still residual from February and thinks I was positive back then.</t>
        </is>
      </c>
      <c r="C2322" t="inlineStr">
        <is>
          <t>Hello all! I’m just hoping someone can share their experiences with me. Back in February before my state had any kind of testing or idea of the virus, I was diagnosed with walking pneumonia and sent on my way with an albuterol inhaler and some antibiotics as well as a steroid. It took a good 2 months to start feeling better. In early May I was hit hard with chest pains, a low fever and a very dry cough despite feeling like I had lungs FULL of mucous. I had a viciously sore throat too. 
I made an appointment with urgent care and they reluctantly tested me for covid since my Oxygen seemed fine. It came back negative. At this appointment however the doctor told me that it’s likely I did have covid back in February. The inhaler and antibiotics were useless for the most part. The passed week I had another bout with difficulty breathing albeit less severe. No more fever thankfully. The worst of it all comes at night and when I first wake up: at night just as I’m falling asleep I feel like I have to gasp for air and it jolts me awake. It’s always like I have to cough something up, but there’s nothing to cough up. When I lay down is when the chest pains start and I have to prop myself up or sleep on my stomach to alleviate the vacuum sort feeling in my chest. It’s similar when I wake up in the morning. Slowly however it’s getting better and less severe with time. My mom also was a presumed positive by her doctor about 2 weeks after me. Similar but slightly less severe symptoms. 
Can anyone tell me if this lines up to their own timelines? I know there are other issues it could be, but I have no insurance and in the US it is brutal on the wallet to get chest imaging done.  
As a side note, don’t be like me and think you can smoke or vape again just because you feel better. You can’t. Just quit, please.</t>
        </is>
      </c>
      <c r="D2322" t="n">
        <v>4</v>
      </c>
      <c r="E2322" t="n">
        <v>4</v>
      </c>
      <c r="F2322">
        <f>HYPERLINK("https://www.reddit.com/r/COVID19positive/comments/hh4i10/presumed_positive_in_february_tested_negative/")</f>
        <v/>
      </c>
      <c r="G2322" t="inlineStr">
        <is>
          <t>2020-06-27 16:58:06</t>
        </is>
      </c>
      <c r="H2322" t="inlineStr">
        <is>
          <t>Presumed Positive - From Doctor</t>
        </is>
      </c>
    </row>
    <row r="2323">
      <c r="A2323" t="inlineStr">
        <is>
          <t>hh4q33</t>
        </is>
      </c>
      <c r="B2323" t="inlineStr">
        <is>
          <t>How long did your symptoms last?</t>
        </is>
      </c>
      <c r="C2323" t="inlineStr">
        <is>
          <t>Hi everyone. I started showing slight symptoms on Monday, ended up getting tested (and having the worst of my symptoms) on Wednesday, and got my positive results back on Friday. My fever and most of my other symptoms have been gone for a few days, but my chest discomfort is and a few other symptoms have been lingering off and on. How long did it take for you to feel completely normal again? Do you have any tips to help with the symptoms?</t>
        </is>
      </c>
      <c r="D2323" t="n">
        <v>5</v>
      </c>
      <c r="E2323" t="n">
        <v>15</v>
      </c>
      <c r="F2323">
        <f>HYPERLINK("https://www.reddit.com/r/COVID19positive/comments/hh4q33/how_long_did_your_symptoms_last/")</f>
        <v/>
      </c>
      <c r="G2323" t="inlineStr">
        <is>
          <t>2020-06-27 17:12:33</t>
        </is>
      </c>
      <c r="H2323" t="inlineStr">
        <is>
          <t>Tested Positive</t>
        </is>
      </c>
    </row>
    <row r="2324">
      <c r="A2324" t="inlineStr">
        <is>
          <t>hh4q6z</t>
        </is>
      </c>
      <c r="B2324" t="inlineStr">
        <is>
          <t>Should I get retested post 14 day quarantine?</t>
        </is>
      </c>
      <c r="C2324" t="inlineStr">
        <is>
          <t>I’m almost done with quarantining after testing positive on June 18th. My doctor ordered me 2 retests, 2 days apart, and says I can leave when both come back negative. However, my states health department called me advised AGAINST this - they claim I could test positive for weeks! They said lost of taste and smell would still count as a symptom and I would come back positive for this. My doctor doesn’t agree and says symptoms that would prevent me from receiving a negative result would be fever, shortness of breath, etc. 
(For reference I’m 22F) 
Would really like some advice or shared experiences about this!</t>
        </is>
      </c>
      <c r="D2324" t="n">
        <v>6</v>
      </c>
      <c r="E2324" t="n">
        <v>6</v>
      </c>
      <c r="F2324">
        <f>HYPERLINK("https://www.reddit.com/r/COVID19positive/comments/hh4q6z/should_i_get_retested_post_14_day_quarantine/")</f>
        <v/>
      </c>
      <c r="G2324" t="inlineStr">
        <is>
          <t>2020-06-27 17:12:47</t>
        </is>
      </c>
      <c r="H2324" t="inlineStr">
        <is>
          <t>Tested Positive - Me</t>
        </is>
      </c>
    </row>
    <row r="2325">
      <c r="A2325" t="inlineStr">
        <is>
          <t>hh5ew8</t>
        </is>
      </c>
      <c r="B2325" t="inlineStr">
        <is>
          <t>Sinus issues/headaches/shortness of breath</t>
        </is>
      </c>
      <c r="C2325" t="inlineStr">
        <is>
          <t>One of the most persistent issues I’ve had since this all began (see my other posts for the full story),  is an extremely annoying feeling of not being able to get in enough oxygen while breathing through my nose. This has consisted with a feeling of being short of breath that has been quickly dismissed during numerous ER visits after scans and tests. My sinuses feel inflamed, but not blocked up with mucus as would normally be the case with a common cold or allergies. That being said there has been a lot of very thick clear mucus running down into my lungs which I initially was associating with a post nasal drip that I’ve been using an antihistamine and a steroid for. This whole situation is made even worse being an asthmatic and wearing a mask at work. For some reason, using an air conditioner/fan seems to provide some relief for this sensation? Has anyone else been experiencing these types of issues too? What has helped you? I’ve also been considering one of those expensive nasal lavage devices. Does anyone here have experience with those?</t>
        </is>
      </c>
      <c r="D2325" t="n">
        <v>3</v>
      </c>
      <c r="E2325" t="n">
        <v>5</v>
      </c>
      <c r="F2325">
        <f>HYPERLINK("https://www.reddit.com/r/COVID19positive/comments/hh5ew8/sinus_issuesheadachesshortness_of_breath/")</f>
        <v/>
      </c>
      <c r="G2325" t="inlineStr">
        <is>
          <t>2020-06-27 17:59:18</t>
        </is>
      </c>
      <c r="H2325" t="inlineStr">
        <is>
          <t>Tested Positive</t>
        </is>
      </c>
    </row>
    <row r="2326">
      <c r="A2326" t="inlineStr">
        <is>
          <t>hh5n4a</t>
        </is>
      </c>
      <c r="B2326" t="inlineStr">
        <is>
          <t>24M presumed positive</t>
        </is>
      </c>
      <c r="C2326" t="inlineStr">
        <is>
          <t>I took the test 8 days ago before I had any symptoms due to work requiring it, I felt relatively okay with just some tiredness and a lot of phlegm build up. The doctor called today and I warned him of the symptoms that set in and he said that I’m very likely to be positive, all the bad symptoms kicked off this morning with a cough, phlegm, very bad back ache, and now diarrhea and a fever. What should I expect from now on? Honestly pretty scared</t>
        </is>
      </c>
      <c r="D2326" t="n">
        <v>0</v>
      </c>
      <c r="E2326" t="n">
        <v>20</v>
      </c>
      <c r="F2326">
        <f>HYPERLINK("https://www.reddit.com/r/COVID19positive/comments/hh5n4a/24m_presumed_positive/")</f>
        <v/>
      </c>
      <c r="G2326" t="inlineStr">
        <is>
          <t>2020-06-27 18:15:34</t>
        </is>
      </c>
      <c r="H2326" t="inlineStr">
        <is>
          <t>Presumed Positive - From Doctor</t>
        </is>
      </c>
    </row>
    <row r="2327">
      <c r="A2327" t="inlineStr">
        <is>
          <t>hh6a50</t>
        </is>
      </c>
      <c r="B2327" t="inlineStr">
        <is>
          <t>26 yr old male. Overweight at 5’10 275lbs tested positive for covid almost two weeks ago. Here’s my journey for those nervous or anxious</t>
        </is>
      </c>
      <c r="C2327" t="inlineStr">
        <is>
          <t>Went out to the bars to drink and have a good time.
Day 1: woke up with a dry cough.
Day 2: dry cough and low fever.
Day 3: tested, came back positive, cough, fever and loss of taste and smell.
Day 4: muscle aches with all of the above.
Day 5: all of the above and chills.
Day 6: heavy head and nausea
Day 7: feel good! Small ache and that’s it! 
Day 8: back to feeling crappy and experiencing symptoms
Day 9: small cough and minor aches
Day 10: only a small cough
Day 11: symptom free! 
Today: still symptom free! 
I was on my own cocktail of 500mg of Tylenol for pain,  multivitamins, and emergen C (half a packet each day) 
The big thing is DRINK WATER AT ALL TIMES. Your body dries out incredibly fast and that is the biggest danger. 
Have a water bottle in your hands at all times. 
A couple times I didn’t drink enough water and woke up with palpitations dehydrated because my heart was trying to pump jello blood. 
DRINK WATER. 
I recovered in a little less than 2 weeks and I’m overweight. 
You’ll get through this just take care of your self.</t>
        </is>
      </c>
      <c r="D2327" t="n">
        <v>37</v>
      </c>
      <c r="E2327" t="n">
        <v>173</v>
      </c>
      <c r="F2327">
        <f>HYPERLINK("https://www.reddit.com/r/COVID19positive/comments/hh6a50/26_yr_old_male_overweight_at_510_275lbs_tested/")</f>
        <v/>
      </c>
      <c r="G2327" t="inlineStr">
        <is>
          <t>2020-06-27 19:01:15</t>
        </is>
      </c>
      <c r="H2327" t="inlineStr">
        <is>
          <t>Tested Positive - Me</t>
        </is>
      </c>
    </row>
    <row r="2328">
      <c r="A2328" t="inlineStr">
        <is>
          <t>hh6v74</t>
        </is>
      </c>
      <c r="B2328" t="inlineStr">
        <is>
          <t>Covid-19 information positive?</t>
        </is>
      </c>
      <c r="C2328" t="inlineStr">
        <is>
          <t>I am a 21 year old person staying with my parents and family members at house in New York. During the first month of quarantine which was in March , my aunt got sick with the virus and she had symptoms of shortness of breath, fatigue and loss of taste. She managed to recover and albeit to her knowledge she spread the virus to us. We did not succumb to the virus, which is shocking considering my uncle is diabetic. I am trying to study the virus as best as I can. But I guess I want more information regarding the virus. Any information can be helpful thanks.</t>
        </is>
      </c>
      <c r="D2328" t="n">
        <v>1</v>
      </c>
      <c r="E2328" t="n">
        <v>2</v>
      </c>
      <c r="F2328">
        <f>HYPERLINK("https://www.reddit.com/r/COVID19positive/comments/hh6v74/covid19_information_positive/")</f>
        <v/>
      </c>
      <c r="G2328" t="inlineStr">
        <is>
          <t>2020-06-27 19:42:51</t>
        </is>
      </c>
      <c r="H2328" t="inlineStr">
        <is>
          <t>Tested Positive - Family</t>
        </is>
      </c>
    </row>
    <row r="2329">
      <c r="A2329" t="inlineStr">
        <is>
          <t>hh7e8l</t>
        </is>
      </c>
      <c r="B2329" t="inlineStr">
        <is>
          <t>Anyone have a really foul taste while eating meat? (Only Meat)</t>
        </is>
      </c>
      <c r="C2329" t="inlineStr">
        <is>
          <t>I taste like a really foul, damp taste when i eat something like a hamburger, or steak, or chicken tenders, or wings.
All of these HAVE THE SAME FOUL DAMP TASTE. 
I dont get it. It isnt the end of the world bad but its noticeable.</t>
        </is>
      </c>
      <c r="D2329" t="n">
        <v>2</v>
      </c>
      <c r="E2329" t="n">
        <v>3</v>
      </c>
      <c r="F2329">
        <f>HYPERLINK("https://www.reddit.com/r/COVID19positive/comments/hh7e8l/anyone_have_a_really_foul_taste_while_eating_meat/")</f>
        <v/>
      </c>
      <c r="G2329" t="inlineStr">
        <is>
          <t>2020-06-27 20:22:16</t>
        </is>
      </c>
      <c r="H2329" t="inlineStr">
        <is>
          <t>Presumed Positive - From Doctor</t>
        </is>
      </c>
    </row>
    <row r="2330">
      <c r="A2330" t="inlineStr">
        <is>
          <t>hh7nkv</t>
        </is>
      </c>
      <c r="B2330" t="inlineStr">
        <is>
          <t>Day 12 In And Still Fighting It Alone</t>
        </is>
      </c>
      <c r="C2330" t="inlineStr">
        <is>
          <t>Honestly I'm coming out truthfully with this, without anyone in my family or friends knowing. It was June 13th that I made that supidest decision to go out and drink at a bar after being extra careful during the whole pandemic, and yes I am one of the stupid ones here in the new epicenter of Florida. My parents and my brother have absolutely become germaphobes ever since this all started, yes my parents live on their own, and my brother lives on his own. My brother and I are furloughed so we have been nicely locked down until everything opens up again. So it was because of their germaphobic ways that got me over the edge(because I dont want to live in fear), and my loneliness from being socially distant from everyone for a couple months took my on that path to risk it for one day. 3 days after that night of NO SOCIAL DISTANCING/NO MASKS, the symptoms started to show up. Dry coughs, fatigue, fever of 101 almost everyday, pneumonia symptoms, cold sweats, completely lost my sense of smell and taste, and after Day 5 I had myself tested to be positive. I have no insurance, I dont want to disappoint my parents with the news, or freak them out(which they will) I've lied this past week that I couldn't make it for Father's day, and it broke my heart. Can't tell any of my friends, I just feel like a coward. Its now Day 12, and I do still have symptoms, not as serious as the first stages, but still have a high temp, cold sweats, coughs, and a minor breathing discomfort. Just been doing what I can raw without medical assistance. But the reason why I wanted to write this is i'm thankful that I found all of your posts here. It was encouraging to see so many not giving up and recovering, and helping others. I guess another good thing about today is that I got my sense of smell and taste back, but a bit super enhanced, anyone else getting that or is just me? lol. Take care everyone, and it feels good to let it out.</t>
        </is>
      </c>
      <c r="D2330" t="n">
        <v>10</v>
      </c>
      <c r="E2330" t="n">
        <v>21</v>
      </c>
      <c r="F2330">
        <f>HYPERLINK("https://www.reddit.com/r/COVID19positive/comments/hh7nkv/day_12_in_and_still_fighting_it_alone/")</f>
        <v/>
      </c>
      <c r="G2330" t="inlineStr">
        <is>
          <t>2020-06-27 20:41:28</t>
        </is>
      </c>
      <c r="H2330" t="inlineStr">
        <is>
          <t>Tested Positive - Me</t>
        </is>
      </c>
    </row>
    <row r="2331">
      <c r="A2331" t="inlineStr">
        <is>
          <t>hh7z83</t>
        </is>
      </c>
      <c r="B2331" t="inlineStr">
        <is>
          <t>Tested positive two weeks ago. Asymptomatic the whole time. How long does covid stay in your system?</t>
        </is>
      </c>
      <c r="C2331" t="inlineStr">
        <is>
          <t>My doctor gave me a note clearing me to go back to work,  but wouldn't give me a retest because I had no symptoms. My employers need a negative result before I can go back to work. My question is, how long is this gonna stay in my system? I'm probably gonna get tested in a couple days at like a CVS or something. Do you think its to soon? Are my results gonna be positive again? Its just frustrating,  I need to get back to work. My work has been piling up for two weeks now.</t>
        </is>
      </c>
      <c r="D2331" t="n">
        <v>1</v>
      </c>
      <c r="E2331" t="n">
        <v>4</v>
      </c>
      <c r="F2331">
        <f>HYPERLINK("https://www.reddit.com/r/COVID19positive/comments/hh7z83/tested_positive_two_weeks_ago_asymptomatic_the/")</f>
        <v/>
      </c>
      <c r="G2331" t="inlineStr">
        <is>
          <t>2020-06-27 21:05:41</t>
        </is>
      </c>
      <c r="H2331" t="inlineStr">
        <is>
          <t>Tested Positive - Me</t>
        </is>
      </c>
    </row>
    <row r="2332">
      <c r="A2332" t="inlineStr">
        <is>
          <t>hh849w</t>
        </is>
      </c>
      <c r="B2332" t="inlineStr">
        <is>
          <t>So I'm showing no symptons anymore. I thought I was better but got tested and it says I'm near the beginning stages of the virus</t>
        </is>
      </c>
      <c r="C2332" t="inlineStr">
        <is>
          <t>There are no antibodies that showed. I'm very confused. If anything I just have left over loss of smell that still hasn't returned. It's been 2 months. I have don't feel like at all. Anyone else having similar problems?</t>
        </is>
      </c>
      <c r="D2332" t="n">
        <v>0</v>
      </c>
      <c r="E2332" t="n">
        <v>2</v>
      </c>
      <c r="F2332">
        <f>HYPERLINK("https://www.reddit.com/r/COVID19positive/comments/hh849w/so_im_showing_no_symptons_anymore_i_thought_i_was/")</f>
        <v/>
      </c>
      <c r="G2332" t="inlineStr">
        <is>
          <t>2020-06-27 21:15:59</t>
        </is>
      </c>
      <c r="H2332" t="inlineStr">
        <is>
          <t>Tested Positive - Me</t>
        </is>
      </c>
    </row>
    <row r="2333">
      <c r="A2333" t="inlineStr">
        <is>
          <t>hh868j</t>
        </is>
      </c>
      <c r="B2333" t="inlineStr">
        <is>
          <t>Hi..... new positive here</t>
        </is>
      </c>
      <c r="C2333" t="inlineStr">
        <is>
          <t>So I finally got my results today after being tested on monday..... I'm past the worst of the symptoms..... but now that I'm positive, I'm worried about my family, my parents have both come down with symptoms, though so far not as bad as what I had... I also work in a restaurant so I informed them, but they had me remove a post I made discussing my positive diagnosis so I'm not able to talk about this on there..  
I'm an autistic so I naturally not good socially...... and so I'm panicking about what kind of effect this might have on my social life.... aside from the obvious implications of not being able to go out and socialize, I self quarantined as soon as my symptoms popped up.</t>
        </is>
      </c>
      <c r="D2333" t="n">
        <v>2</v>
      </c>
      <c r="E2333" t="n">
        <v>3</v>
      </c>
      <c r="F2333">
        <f>HYPERLINK("https://www.reddit.com/r/COVID19positive/comments/hh868j/hi_new_positive_here/")</f>
        <v/>
      </c>
      <c r="G2333" t="inlineStr">
        <is>
          <t>2020-06-27 21:20:08</t>
        </is>
      </c>
      <c r="H2333" t="inlineStr">
        <is>
          <t>Tested Positive - Me</t>
        </is>
      </c>
    </row>
    <row r="2334">
      <c r="A2334" t="inlineStr">
        <is>
          <t>hh8quy</t>
        </is>
      </c>
      <c r="B2334" t="inlineStr">
        <is>
          <t>85 days into recovery, Brother now may have caught the virus. Help</t>
        </is>
      </c>
      <c r="C2334" t="inlineStr">
        <is>
          <t>Hey everyone, so I’ve been on this journey for almost 90 days now and over the last week I have been feeling close to normal as I can remember, the only issue is occasional shortness of breath I’m the morning but my pulmonologist says that’s just my lungs still recovering. 
Now for some not so great news. My brother over the past few days has been coming down with a shortness of breath over the last few days and isolated him self into his room today.
What are the chances of me getting sick again being that I haven’t 100% recovered yet?</t>
        </is>
      </c>
      <c r="D2334" t="n">
        <v>2</v>
      </c>
      <c r="E2334" t="n">
        <v>1</v>
      </c>
      <c r="F2334">
        <f>HYPERLINK("https://www.reddit.com/r/COVID19positive/comments/hh8quy/85_days_into_recovery_brother_now_may_have_caught/")</f>
        <v/>
      </c>
      <c r="G2334" t="inlineStr">
        <is>
          <t>2020-06-27 22:04:57</t>
        </is>
      </c>
      <c r="H2334" t="inlineStr">
        <is>
          <t>Presumed Positive - From Doctor</t>
        </is>
      </c>
    </row>
    <row r="2335">
      <c r="A2335" t="inlineStr">
        <is>
          <t>hh9h88</t>
        </is>
      </c>
      <c r="B2335" t="inlineStr">
        <is>
          <t>Problems being seen by a doctor</t>
        </is>
      </c>
      <c r="C2335" t="inlineStr">
        <is>
          <t>Has anyone else had issues being seen by a doctor once you mention you tested positive. I tested positive about 10 days ago. I haven't had any symptoms in five days besides loss taste and smell.  I wanted to get some strange back pain near my kidneys checked and no outpatient clinics would see once I mentioned I tested positive for covid. They all said I have to go the emergency room. So I went to the emergency room (even though this is not an emergency) and was about to be seen then they asked if I have a test for COVID, and when I said yea, they sent to the COVID waiting room where I spent 6 hours and was never seen. I had to leave because I was hungry and there was no food available. 
I get the precautions but I  hope they figure out this refusing to see COVID+ in outpatient . I can see early diagnosis of potential long term complications being missed and spiraling out of control because patients just couldn't be seen and gave up.</t>
        </is>
      </c>
      <c r="D2335" t="n">
        <v>1</v>
      </c>
      <c r="E2335" t="n">
        <v>4</v>
      </c>
      <c r="F2335">
        <f>HYPERLINK("https://www.reddit.com/r/COVID19positive/comments/hh9h88/problems_being_seen_by_a_doctor/")</f>
        <v/>
      </c>
      <c r="G2335" t="inlineStr">
        <is>
          <t>2020-06-27 23:06:50</t>
        </is>
      </c>
      <c r="H2335" t="inlineStr">
        <is>
          <t>Tested Positive</t>
        </is>
      </c>
    </row>
    <row r="2336">
      <c r="A2336" t="inlineStr">
        <is>
          <t>hh9i56</t>
        </is>
      </c>
      <c r="B2336" t="inlineStr">
        <is>
          <t>The stigma of Covid19positive remained</t>
        </is>
      </c>
      <c r="C2336" t="inlineStr">
        <is>
          <t>When you thought being Covid 19 negative is freedom, not yet. Of course your body is recovering and going back to its immunity. The freedom of moving around is pure joy. 
What never changes is the stigma that remained when you get back to the neighborhood. Everyone looks at you still the same covid19 positive person. They have those discriminating looks and evasive behaviour. It really affects the relationship of being neighbors.
The best you can do is to pray and hope for them not to be victim of Covid19. The stigma it brought could surely affect but it is also an good sign that people are aware that it is transmissible.</t>
        </is>
      </c>
      <c r="D2336" t="n">
        <v>1</v>
      </c>
      <c r="E2336" t="n">
        <v>7</v>
      </c>
      <c r="F2336">
        <f>HYPERLINK("https://www.reddit.com/r/COVID19positive/comments/hh9i56/the_stigma_of_covid19positive_remained/")</f>
        <v/>
      </c>
      <c r="G2336" t="inlineStr">
        <is>
          <t>2020-06-27 23:09:01</t>
        </is>
      </c>
      <c r="H2336" t="inlineStr">
        <is>
          <t>Tested Positive - Family</t>
        </is>
      </c>
    </row>
    <row r="2337">
      <c r="A2337" t="inlineStr">
        <is>
          <t>hh9o0m</t>
        </is>
      </c>
      <c r="B2337" t="inlineStr">
        <is>
          <t>Granny is Positive</t>
        </is>
      </c>
      <c r="C2337" t="inlineStr">
        <is>
          <t>Hello everyone,
I haven’t been able to sleep and have had stress stomach issues since my grandmother (90 y.o. F, not immunocompromised) tested positive on Thursday (6/25) in her nursing home following an outbreak. I have not physically touched the most important person in my life since March when her nursing home ceased visitations. The only symptoms she has are a slightly sore throat and unproductive cough and sleeping a lot (not completely abnormal for her IMO but my mom seemed slightly concerned). She has not developed a fever and says her meals taste delicious and her air freshener smells like fresh linen so I take that as a good sign. If she has only exhibited these symptoms after 4 days and her O2 saturation is over 95%, how possible is it that we dodged a bullet? Please understand this woman means more to me than life itself and if I lose her without being able to be by her side I fear very much for my mental health. Our hopes are that she will be able to see me get married in October (be it through her window or via 
FaceTime or at the event itself but I’m not counting on the last option) but truthfully, I just want to know if anyone has a similar story or has an elderly family member who tested positive. 
Stay healthy and happy, friends. {I should take my own advice}</t>
        </is>
      </c>
      <c r="D2337" t="n">
        <v>1</v>
      </c>
      <c r="E2337" t="n">
        <v>5</v>
      </c>
      <c r="F2337">
        <f>HYPERLINK("https://www.reddit.com/r/COVID19positive/comments/hh9o0m/granny_is_positive/")</f>
        <v/>
      </c>
      <c r="G2337" t="inlineStr">
        <is>
          <t>2020-06-27 23:23:55</t>
        </is>
      </c>
      <c r="H2337" t="inlineStr">
        <is>
          <t>Tested Positive - Family</t>
        </is>
      </c>
    </row>
    <row r="2338">
      <c r="A2338" t="inlineStr">
        <is>
          <t>hhdkzk</t>
        </is>
      </c>
      <c r="B2338" t="inlineStr">
        <is>
          <t>Good Morning from quarantine</t>
        </is>
      </c>
      <c r="C2338" t="inlineStr">
        <is>
          <t>Hello all, 
I’m a firefighter/paramedic in North Florida and I tested positive on June 23. I was tested due to a known exposure by a infected coworker. I got symptoms shortly thereafter.
The coworker managed to infect 5 people at my station alone. (He works at another station and was working overtime).
Symptoms are a bit better this morning so I am hopeful.
Anyways, good morning!</t>
        </is>
      </c>
      <c r="D2338" t="n">
        <v>1</v>
      </c>
      <c r="E2338" t="n">
        <v>87</v>
      </c>
      <c r="F2338">
        <f>HYPERLINK("https://www.reddit.com/r/COVID19positive/comments/hhdkzk/good_morning_from_quarantine/")</f>
        <v/>
      </c>
      <c r="G2338" t="inlineStr">
        <is>
          <t>2020-06-28 05:30:26</t>
        </is>
      </c>
      <c r="H2338" t="inlineStr">
        <is>
          <t>Tested Positive - Me</t>
        </is>
      </c>
    </row>
    <row r="2339">
      <c r="A2339" t="inlineStr">
        <is>
          <t>hhdxap</t>
        </is>
      </c>
      <c r="B2339" t="inlineStr">
        <is>
          <t>Loss of taste returned but it’s not quite right</t>
        </is>
      </c>
      <c r="C2339" t="inlineStr">
        <is>
          <t>After losing smell and taste from having coronavirus my smell has returned but it’s a bit weird. It’s hard to explain, but it’s especially noticeable with onions, they smell and taste quite strange? Anyone else experiencing something similar?</t>
        </is>
      </c>
      <c r="D2339" t="n">
        <v>1</v>
      </c>
      <c r="E2339" t="n">
        <v>29</v>
      </c>
      <c r="F2339">
        <f>HYPERLINK("https://www.reddit.com/r/COVID19positive/comments/hhdxap/loss_of_taste_returned_but_its_not_quite_right/")</f>
        <v/>
      </c>
      <c r="G2339" t="inlineStr">
        <is>
          <t>2020-06-28 05:57:19</t>
        </is>
      </c>
      <c r="H2339" t="inlineStr">
        <is>
          <t>Presumed Positive - From Doctor</t>
        </is>
      </c>
    </row>
    <row r="2340">
      <c r="A2340" t="inlineStr">
        <is>
          <t>hhe2r1</t>
        </is>
      </c>
      <c r="B2340" t="inlineStr">
        <is>
          <t>Update. Day 8 I think</t>
        </is>
      </c>
      <c r="C2340" t="inlineStr">
        <is>
          <t>So just an update. No taste. No smell. Tired and stuffy. Other than that I feel ok. To those who have been there. Do you think I have made it thru the worst possibly?</t>
        </is>
      </c>
      <c r="D2340" t="n">
        <v>1</v>
      </c>
      <c r="E2340" t="n">
        <v>6</v>
      </c>
      <c r="F2340">
        <f>HYPERLINK("https://www.reddit.com/r/COVID19positive/comments/hhe2r1/update_day_8_i_think/")</f>
        <v/>
      </c>
      <c r="G2340" t="inlineStr">
        <is>
          <t>2020-06-28 06:08:35</t>
        </is>
      </c>
      <c r="H2340" t="inlineStr">
        <is>
          <t>Tested Positive - Me</t>
        </is>
      </c>
    </row>
    <row r="2341">
      <c r="A2341" t="inlineStr">
        <is>
          <t>hhet2g</t>
        </is>
      </c>
      <c r="B2341" t="inlineStr">
        <is>
          <t>Can you please share your experience? Did anyone had the same?</t>
        </is>
      </c>
      <c r="C2341" t="inlineStr">
        <is>
          <t>My mom got covid and its her 6-7th day today since she had first symptoms.
It started as a cold and sore throat, and then on day 3-4 she got a fever. Fever was around 38-38,5 for 2 days. She also had a diarrhea 
On the day 5-6 she felt better, fever was almost gone. But diarrhea is still there
On the day 7 she felt much better, although she still has mild diarrhea
And suddenly later that day she started to feel worse
She got fever and terrible body aches and fatigue. 
So she had fever for 2 days, and then no fever for 2 days, and then again fever.
Is it the same for anyone else? 
I am really worried about my mom
Please share your experience 🙏🏻</t>
        </is>
      </c>
      <c r="D2341" t="n">
        <v>1</v>
      </c>
      <c r="E2341" t="n">
        <v>10</v>
      </c>
      <c r="F2341">
        <f>HYPERLINK("https://www.reddit.com/r/COVID19positive/comments/hhet2g/can_you_please_share_your_experience_did_anyone/")</f>
        <v/>
      </c>
      <c r="G2341" t="inlineStr">
        <is>
          <t>2020-06-28 06:58:36</t>
        </is>
      </c>
      <c r="H2341" t="inlineStr">
        <is>
          <t>Tested Positive - Family</t>
        </is>
      </c>
    </row>
    <row r="2342">
      <c r="A2342" t="inlineStr">
        <is>
          <t>hhfrkr</t>
        </is>
      </c>
      <c r="B2342" t="inlineStr">
        <is>
          <t>Taking Vitamin D3 5000 IU</t>
        </is>
      </c>
      <c r="C2342" t="inlineStr">
        <is>
          <t>Is it okay to give Vitamin D3 5000 IU pill to my mother ? She is 53 years old.
If so then is it fine to give her a pill everyday ? She isn’t corona positive but i am asking if it is a good measure to boost the immunity ?</t>
        </is>
      </c>
      <c r="D2342" t="n">
        <v>1</v>
      </c>
      <c r="E2342" t="n">
        <v>8</v>
      </c>
      <c r="F2342">
        <f>HYPERLINK("https://www.reddit.com/r/COVID19positive/comments/hhfrkr/taking_vitamin_d3_5000_iu/")</f>
        <v/>
      </c>
      <c r="G2342" t="inlineStr">
        <is>
          <t>2020-06-28 07:56:49</t>
        </is>
      </c>
      <c r="H2342" t="inlineStr">
        <is>
          <t>Presumed Positive - From Doctor</t>
        </is>
      </c>
    </row>
    <row r="2343">
      <c r="A2343" t="inlineStr">
        <is>
          <t>hhfuzc</t>
        </is>
      </c>
      <c r="B2343" t="inlineStr">
        <is>
          <t>Anybody else get prescribed Zithromax?</t>
        </is>
      </c>
      <c r="C2343" t="inlineStr">
        <is>
          <t>I tested positive yesterday and had some pretty rough symptoms, the doctor prescribed me Zithromax but was under the assumption it was bronchitis. Does anybody have any experience taking it and having coronavirus?</t>
        </is>
      </c>
      <c r="D2343" t="n">
        <v>1</v>
      </c>
      <c r="E2343" t="n">
        <v>11</v>
      </c>
      <c r="F2343">
        <f>HYPERLINK("https://www.reddit.com/r/COVID19positive/comments/hhfuzc/anybody_else_get_prescribed_zithromax/")</f>
        <v/>
      </c>
      <c r="G2343" t="inlineStr">
        <is>
          <t>2020-06-28 08:02:16</t>
        </is>
      </c>
      <c r="H2343" t="inlineStr">
        <is>
          <t>Tested Positive - Me</t>
        </is>
      </c>
    </row>
    <row r="2344">
      <c r="A2344" t="inlineStr">
        <is>
          <t>hhg0ks</t>
        </is>
      </c>
      <c r="B2344" t="inlineStr">
        <is>
          <t>High resting heart rate.</t>
        </is>
      </c>
      <c r="C2344" t="inlineStr">
        <is>
          <t>I was positive for covid. Have had two negative tests so I’ve been negative for three weeks. Have had high resting heart rate. Goes up to 129. I’m just walking around my house room to room.  Clear chest x Ray. Doctor listened to my heart. Nothing to hear that’s bad. I got blood work. Waiting on results. I’m scared though. I feel like I can’t even walk between rooms or else it pounds. They keep saying anxiety but i don’t think so.</t>
        </is>
      </c>
      <c r="D2344" t="n">
        <v>0</v>
      </c>
      <c r="E2344" t="n">
        <v>48</v>
      </c>
      <c r="F2344">
        <f>HYPERLINK("https://www.reddit.com/r/COVID19positive/comments/hhg0ks/high_resting_heart_rate/")</f>
        <v/>
      </c>
      <c r="G2344" t="inlineStr">
        <is>
          <t>2020-06-28 08:11:16</t>
        </is>
      </c>
      <c r="H2344" t="inlineStr">
        <is>
          <t>Tested Positive - Me</t>
        </is>
      </c>
    </row>
    <row r="2345">
      <c r="A2345" t="inlineStr">
        <is>
          <t>hhgecj</t>
        </is>
      </c>
      <c r="B2345" t="inlineStr">
        <is>
          <t>Do I have COVID again?</t>
        </is>
      </c>
      <c r="C2345" t="inlineStr">
        <is>
          <t>From April 30th-May 8th I was very sick: headache, body aches, light cough, and no taste and smell(the loss of taste and smell lasted about a month) and my sense of smell is still pretty iffy. I tested positive for antibodies and negative for the virus 3 weeks ago. But like I said, sense of smell still isn’t right, and this morning I woke up with a sore throat. This wasn’t one of my original symptoms, so I’m curious what the odds are of COVID returning with new symptoms. I’m very nervous because I saw my SO yesterday for the first time since March, and I also saw my parents a few days prior. Everyone around me feels fine, and I might go get tested again just to be safe. But I’m wondering if the sore throat and weird sense of smell can be a recurrence.</t>
        </is>
      </c>
      <c r="D2345" t="n">
        <v>2</v>
      </c>
      <c r="E2345" t="n">
        <v>18</v>
      </c>
      <c r="F2345">
        <f>HYPERLINK("https://www.reddit.com/r/COVID19positive/comments/hhgecj/do_i_have_covid_again/")</f>
        <v/>
      </c>
      <c r="G2345" t="inlineStr">
        <is>
          <t>2020-06-28 08:33:30</t>
        </is>
      </c>
      <c r="H2345" t="inlineStr">
        <is>
          <t>Tested Positive</t>
        </is>
      </c>
    </row>
    <row r="2346">
      <c r="A2346" t="inlineStr">
        <is>
          <t>hhggvj</t>
        </is>
      </c>
      <c r="B2346" t="inlineStr">
        <is>
          <t>I was having symptoms of covid-19 for 32 days and had it really bad but after 16 days of having no symptoms, my symptoms have started to return</t>
        </is>
      </c>
      <c r="C2346" t="inlineStr">
        <is>
          <t>Started to get headaches,feeling hot and sweaty,chest pain,body aches , throat feels sore , and im extremely fatigued and for the last 4-5 days it wasnt noticeable and wasn’t that bad and i put it down to maybe not getting enough vitamin D or coffee withdrawal but even tho im taking zinc,vitamin d and multi vitamin and mineral tablets im starting to feel worse and its really effecting my day.</t>
        </is>
      </c>
      <c r="D2346" t="n">
        <v>2</v>
      </c>
      <c r="E2346" t="n">
        <v>8</v>
      </c>
      <c r="F2346">
        <f>HYPERLINK("https://www.reddit.com/r/COVID19positive/comments/hhggvj/i_was_having_symptoms_of_covid19_for_32_days_and/")</f>
        <v/>
      </c>
      <c r="G2346" t="inlineStr">
        <is>
          <t>2020-06-28 08:37:34</t>
        </is>
      </c>
      <c r="H2346" t="inlineStr">
        <is>
          <t>Presumed Positive - From Doctor</t>
        </is>
      </c>
    </row>
    <row r="2347">
      <c r="A2347" t="inlineStr">
        <is>
          <t>hhgykr</t>
        </is>
      </c>
      <c r="B2347" t="inlineStr">
        <is>
          <t>For those whose smell recovered completely: How did you measure this?</t>
        </is>
      </c>
      <c r="C2347" t="inlineStr">
        <is>
          <t>I lost sense of smell March 18th completely. Since then I have recovered to a large extent. Yet, I find it very difficult to quantify my sense of smell ATM.
How did you quantify your sense of smell, and measured that it completely recovered?</t>
        </is>
      </c>
      <c r="D2347" t="n">
        <v>2</v>
      </c>
      <c r="E2347" t="n">
        <v>2</v>
      </c>
      <c r="F2347">
        <f>HYPERLINK("https://www.reddit.com/r/COVID19positive/comments/hhgykr/for_those_whose_smell_recovered_completely_how/")</f>
        <v/>
      </c>
      <c r="G2347" t="inlineStr">
        <is>
          <t>2020-06-28 09:06:09</t>
        </is>
      </c>
      <c r="H2347" t="inlineStr">
        <is>
          <t>Presumed Positive - From Doctor</t>
        </is>
      </c>
    </row>
    <row r="2348">
      <c r="A2348" t="inlineStr">
        <is>
          <t>hhgzbc</t>
        </is>
      </c>
      <c r="B2348" t="inlineStr">
        <is>
          <t>Theres hope for everyone day 130 heres my story</t>
        </is>
      </c>
      <c r="C2348" t="inlineStr">
        <is>
          <t xml:space="preserve"> im like 100% but im able to walk many miles and do serious activity without feeling bad lately 2 weeks or so and my symptoms have been worst then majority of people here I had intense brain fog for 3 months straight a resting HR of 120 even getting up to 180 once or twice fever of 103 at one point extreme dizziness pins and needles all over my body ringing ears aches weakness couldnt even move at some points frequent urination couldn’t breathe had to force myself and fight heart pains  also constant phlegm production never got a cough surprisingly i got the whole run of this disease any symptom you name ive probably had it cranked to 100 I was in constant pain for the past 90 days straights there weren’t no “waves” it was constant excruciating pain many nights i just wished it was all over so i could ease the pain i had many nights i was in so much pain but scared to sleep cause i truly thought i was gonna die but i’m never really scared of death i know its inevitable I made a promise to myself im going to post my journey before i left this subreddit for good sorry if its worded wrong you all have helped me gain a sense of mind that i wasnt going crazy during this all I thank all of you kind hearts who are suffering and still go out there way to help and share with others bless you all!</t>
        </is>
      </c>
      <c r="D2348" t="n">
        <v>14</v>
      </c>
      <c r="E2348" t="n">
        <v>30</v>
      </c>
      <c r="F2348">
        <f>HYPERLINK("https://www.reddit.com/r/COVID19positive/comments/hhgzbc/theres_hope_for_everyone_day_130_heres_my_story/")</f>
        <v/>
      </c>
      <c r="G2348" t="inlineStr">
        <is>
          <t>2020-06-28 09:07:19</t>
        </is>
      </c>
      <c r="H2348" t="inlineStr">
        <is>
          <t>Tested Positive - Me</t>
        </is>
      </c>
    </row>
    <row r="2349">
      <c r="A2349" t="inlineStr">
        <is>
          <t>hhi9cc</t>
        </is>
      </c>
      <c r="B2349" t="inlineStr">
        <is>
          <t>Contact Tracer said I was reinfected, and that lots of people are getting reinfected?</t>
        </is>
      </c>
      <c r="C2349" t="inlineStr">
        <is>
          <t>I took a positive C19 test on Monday, positive nasal swab and negative antibodies. I just got off the phone with a contact tracer who wanted to ask me questions about my illness. I have already gotten Covid in March, which was confirmed by an antibody test performed for a medical study in April. They could measure the amount of antibodies I had and confirmed I had a lot of them, indicating I had already recovered from Covid.
Anyway, I told this to my contact tracer, and she said I was definitely reinfected so she was only interested in my contact for the last 10 days. I said no one in the world has been reinfected yet, and she insisted that she saw it a lot and I had been infected again. I let it go, but it was frustrating to know that the people working in our health department aren't aware of basic information about Covid. My boss called the health department to ask about reopening our business, and the person on the phone argued with her over whether or not our industry is included in phase 2, it DEFINITELY is. 
But I guess I'm even lucky to live somewhere that even has contact tracers?</t>
        </is>
      </c>
      <c r="D2349" t="n">
        <v>2</v>
      </c>
      <c r="E2349" t="n">
        <v>71</v>
      </c>
      <c r="F2349">
        <f>HYPERLINK("https://www.reddit.com/r/COVID19positive/comments/hhi9cc/contact_tracer_said_i_was_reinfected_and_that/")</f>
        <v/>
      </c>
      <c r="G2349" t="inlineStr">
        <is>
          <t>2020-06-28 10:18:34</t>
        </is>
      </c>
      <c r="H2349" t="inlineStr">
        <is>
          <t>Tested Positive - Me</t>
        </is>
      </c>
    </row>
    <row r="2350">
      <c r="A2350" t="inlineStr">
        <is>
          <t>hhj2ii</t>
        </is>
      </c>
      <c r="B2350" t="inlineStr">
        <is>
          <t>The symptoms i experienced (and still experience) after Covid19</t>
        </is>
      </c>
      <c r="C2350" t="inlineStr">
        <is>
          <t>I just wanted to share my experience of symptoms from Covid19 from the start to where i am right now.
Some info:
-Male 18
-Chronic Migrane
When it first hit my body without me even knowing that i was infected:
•The first noticable signs were cough. Just a lught cough, the same one you get in the beginnibg of a cold. It started on a Monday, and i tested positive only 5 days later. 
•I got extremely exhausted when i was walking up just 2 floors. It felt like i just finished a maraton before i walked up the stairs. 
•I got really tired all the time. I just wanted to slepp, literally do nothing. 
The symptoms right after i got the results back of testing positive:
•The first symptoms that hit my body after i found out that i tested positive was fever. My fever wasn’t really high at all either. I had fever for probably 4-5 days, everyday. 
•I started feeling a pain in my back, my arms, legs and my neck (mostly my back). The pain wasn’t extremely bad. 
•Pain when i rolled my eyeballs. This lasted for 4-5 days. I started feeling a horrible pain when moving my eyeballs up. The pain only came when i rolled my eyeballs. 
•Headache. The headache came pretty fast after i got infected. It was not extremely bad, but it got worse some days with the fact that i allready strugled with chronic migrane. 
•Breath problems. Described like this: i felt like i couldn’t breathe in the same amount of oxygen as i used to do. It also felt like i «forgot» to breathe sometimes. This wasn’t affecting me at all, it wasn’t a big problem when walking/sleeping etc. It got worse when i was eating. I sometimes had to stop, then take a deep breath, then continue again.
•Completely loss of taste and smell. These symptoms came a few days after i tested positive. I completely lost my taste and smell.
•Yawning. I started to yawning ALOT after 2 weeks of testing posotive. I yawned alot every day for probably 1 week straight. 
•Runny nose. I had a runny nose for 2 weeks probably. 
3+ months after testing positive. The symptoms i still got this day (the virus is NOT in my body anymore):
•My taste and smell is still completely gone i would say. Nothing has changed. I could taste sour, sweet and spicy, but not any taste of what i’m actually eating/drinking. I could SOMETIMES smell my perfume 10% and taste a specific type of candy 10%. But this isn’t much at all.
•My breath is still the same. I could do anything, so it’s not bothering me in any way when i’m doing activities. I just feel like i’m not breathing in 100% anymore. And i sometimes feel like i’m forgetting to breathe in. I often need to take a deep breath.
•Phantom senses. The Phantom senses came some weeks after i tested positive, probably 3 weeks. For 2-3 weeks, everything tasted / smelled like chocolate cookies. Some weeks later, everything tasted like bacon. I know this is really weird, and i can’t answer why this happend to me.
This is my experience of symptoms.</t>
        </is>
      </c>
      <c r="D2350" t="n">
        <v>7</v>
      </c>
      <c r="E2350" t="n">
        <v>5</v>
      </c>
      <c r="F2350">
        <f>HYPERLINK("https://www.reddit.com/r/COVID19positive/comments/hhj2ii/the_symptoms_i_experienced_and_still_experience/")</f>
        <v/>
      </c>
      <c r="G2350" t="inlineStr">
        <is>
          <t>2020-06-28 11:02:18</t>
        </is>
      </c>
      <c r="H2350" t="inlineStr">
        <is>
          <t>Tested Positive - Me</t>
        </is>
      </c>
    </row>
    <row r="2351">
      <c r="A2351" t="inlineStr">
        <is>
          <t>hhj5qn</t>
        </is>
      </c>
      <c r="B2351" t="inlineStr">
        <is>
          <t>Post-Recovery Cleaning</t>
        </is>
      </c>
      <c r="C2351" t="inlineStr">
        <is>
          <t>Hi guys,
I was diagnosed positive on the 17th and have my first follow up next week to see if I’m now negative. I’m kind of confused at how I will ever test negative though if I’m living in my home and touching the same stuff daily. How are you all handling cleaning while recovering? Should I be cloroxing everything down daily? I guess I have given up a bit when it comes to my over the top cleaning since I have it now I’m kind of like what’s the point.</t>
        </is>
      </c>
      <c r="D2351" t="n">
        <v>2</v>
      </c>
      <c r="E2351" t="n">
        <v>5</v>
      </c>
      <c r="F2351">
        <f>HYPERLINK("https://www.reddit.com/r/COVID19positive/comments/hhj5qn/postrecovery_cleaning/")</f>
        <v/>
      </c>
      <c r="G2351" t="inlineStr">
        <is>
          <t>2020-06-28 11:07:01</t>
        </is>
      </c>
      <c r="H2351" t="inlineStr">
        <is>
          <t>Tested Positive - Me</t>
        </is>
      </c>
    </row>
    <row r="2352">
      <c r="A2352" t="inlineStr">
        <is>
          <t>hhj6jz</t>
        </is>
      </c>
      <c r="B2352" t="inlineStr">
        <is>
          <t>Getting it twice</t>
        </is>
      </c>
      <c r="C2352" t="inlineStr">
        <is>
          <t>Hi friends,
I tested positive for the virus, I'm wondering if anyone on this subreddit has gotten it twice? 
And I miss the gym :/ just wanted to say that :)
Thank you!</t>
        </is>
      </c>
      <c r="D2352" t="n">
        <v>4</v>
      </c>
      <c r="E2352" t="n">
        <v>6</v>
      </c>
      <c r="F2352">
        <f>HYPERLINK("https://www.reddit.com/r/COVID19positive/comments/hhj6jz/getting_it_twice/")</f>
        <v/>
      </c>
      <c r="G2352" t="inlineStr">
        <is>
          <t>2020-06-28 11:08:14</t>
        </is>
      </c>
      <c r="H2352" t="inlineStr">
        <is>
          <t>Tested Positive - Me</t>
        </is>
      </c>
    </row>
    <row r="2353">
      <c r="A2353" t="inlineStr">
        <is>
          <t>hhj7vk</t>
        </is>
      </c>
      <c r="B2353" t="inlineStr">
        <is>
          <t>Sick in March, wasn’t able to test, tested positive June 19th, no symptoms, everyone around me is negative</t>
        </is>
      </c>
      <c r="C2353" t="inlineStr">
        <is>
          <t>Back in March, my husband and I got super sick. We couldn’t get tested for Covid because of the test shortages and we weren’t “high risk.” We quarantined for at least a month (everything was closed down anyways- we are in Seattle.)
Fast forward to June 19th. The city is asking people to get tested no matter if you have symptoms or not. I’m a dental assistant and figured the responsible thing to do was make sure I wasn’t infecting my patients (I went back to work on May 18th.) To my knowledge, I had not come in contact with anyone who was positive. On June 20th, I got a call that I tested positive. The rest of my household (husband and two kids: ages 9 and 11) got tested as well as my coworkers (we are a small office of 7.) Everyone’s test came back negative. I figured something was wrong with my test so I retested. Still positive. We are a very close family, always sharing drinks, food, giving kisses. If anyone would get it from me, it would be them. We are all quarantined together. No one has had any symptoms. 
I’ve spoken to my doctor, the department of health, and the paramedics at the Seattle FD who performed the test to explain this situation. Everyone says “wow that is weird.” But since there are no other tests to determine if I’m shedding the virus or if the virus is even active, there’s nothing anyone can do. I just have to wait it out for 14 days. 
I’m not really looking for advice, I’m just wondering if anyone has similar stories.</t>
        </is>
      </c>
      <c r="D2353" t="n">
        <v>8</v>
      </c>
      <c r="E2353" t="n">
        <v>7</v>
      </c>
      <c r="F2353">
        <f>HYPERLINK("https://www.reddit.com/r/COVID19positive/comments/hhj7vk/sick_in_march_wasnt_able_to_test_tested_positive/")</f>
        <v/>
      </c>
      <c r="G2353" t="inlineStr">
        <is>
          <t>2020-06-28 11:10:06</t>
        </is>
      </c>
      <c r="H2353" t="inlineStr">
        <is>
          <t>Tested Positive - Me</t>
        </is>
      </c>
    </row>
    <row r="2354">
      <c r="A2354" t="inlineStr">
        <is>
          <t>hhjdbv</t>
        </is>
      </c>
      <c r="B2354" t="inlineStr">
        <is>
          <t>Hot tip: Stay away from coffee (and presumably any caffeine)</t>
        </is>
      </c>
      <c r="C2354" t="inlineStr">
        <is>
          <t>On the tail end of my infection, only dealing with the occasional shortness of breath now. Had a cup of coffee this morning, definitely seems to exacerbate the shortness of breath issue. Will now be forgoing caffeine until everything is 100% back to normal and then some.</t>
        </is>
      </c>
      <c r="D2354" t="n">
        <v>22</v>
      </c>
      <c r="E2354" t="n">
        <v>49</v>
      </c>
      <c r="F2354">
        <f>HYPERLINK("https://www.reddit.com/r/COVID19positive/comments/hhjdbv/hot_tip_stay_away_from_coffee_and_presumably_any/")</f>
        <v/>
      </c>
      <c r="G2354" t="inlineStr">
        <is>
          <t>2020-06-28 11:18:17</t>
        </is>
      </c>
      <c r="H2354" t="inlineStr">
        <is>
          <t>Tested Positive - Me</t>
        </is>
      </c>
    </row>
    <row r="2355">
      <c r="A2355" t="inlineStr">
        <is>
          <t>hhjnln</t>
        </is>
      </c>
      <c r="B2355" t="inlineStr">
        <is>
          <t>Months after recovery question</t>
        </is>
      </c>
      <c r="C2355" t="inlineStr">
        <is>
          <t>So I have been recovered for 3 months. Lost my taste and smell, so curious if anyone is in the same boat as me and has noticed some things not smelling or tasting the same? A big one for me has been *freshly roasted* coffee. I emphasize that because coffee smelling things such as candles still have the coffee smell that I know. 
It's so strange..</t>
        </is>
      </c>
      <c r="D2355" t="n">
        <v>1</v>
      </c>
      <c r="E2355" t="n">
        <v>1</v>
      </c>
      <c r="F2355">
        <f>HYPERLINK("https://www.reddit.com/r/COVID19positive/comments/hhjnln/months_after_recovery_question/")</f>
        <v/>
      </c>
      <c r="G2355" t="inlineStr">
        <is>
          <t>2020-06-28 11:34:01</t>
        </is>
      </c>
      <c r="H2355" t="inlineStr">
        <is>
          <t>Tested Positive - Me</t>
        </is>
      </c>
    </row>
    <row r="2356">
      <c r="A2356" t="inlineStr">
        <is>
          <t>hhjp7w</t>
        </is>
      </c>
      <c r="B2356" t="inlineStr">
        <is>
          <t>Bad smell/taste 5 weeks after recovery</t>
        </is>
      </c>
      <c r="C2356" t="inlineStr">
        <is>
          <t xml:space="preserve"> Hey guys,
I want to share my experience and maybe you have the same experience like me.
My first symptoms were on April 15th. I had for one evening light fever and for one week dry cough. I was positiv tested 2 weeks later on 29th April.
My infection wasnt really bad but i couldnt taste for one week and couldnt smell for 3 weeks at the end of the infection.
I got my sense to smell back for like 5 weeks and since 2 weeks I have Parasmia. I have a permanent disgusting smell in my nose and so is my taste also affected.
I got another test and friday I got the result it was negative. In the next weeks I will see an ENT.
Do you have the same experience like me?</t>
        </is>
      </c>
      <c r="D2356" t="n">
        <v>2</v>
      </c>
      <c r="E2356" t="n">
        <v>3</v>
      </c>
      <c r="F2356">
        <f>HYPERLINK("https://www.reddit.com/r/COVID19positive/comments/hhjp7w/bad_smelltaste_5_weeks_after_recovery/")</f>
        <v/>
      </c>
      <c r="G2356" t="inlineStr">
        <is>
          <t>2020-06-28 11:36:28</t>
        </is>
      </c>
      <c r="H2356" t="inlineStr">
        <is>
          <t>Tested Positive - Me</t>
        </is>
      </c>
    </row>
    <row r="2357">
      <c r="A2357" t="inlineStr">
        <is>
          <t>hhjvdt</t>
        </is>
      </c>
      <c r="B2357" t="inlineStr">
        <is>
          <t>Mild symptoms but still testing positive after 4 weeks</t>
        </is>
      </c>
      <c r="C2357" t="inlineStr">
        <is>
          <t>I am a 24 year old female with no underlying health conditions. In late May I had a soar throat, post nasal drip and congestion which I just attributed to allergies since I didn’t have a fever or difficulty breathing. A week later I found out that a friend of mine who I had been in contact with had it so I went and got tested. Turns out I was Covid 19 positive. The symptoms went away about a week after I got tested. My doctor told me I needed to quarantine for 14 days and get a negative test before I could go back to work. After 14 days I got a call from the Massachusetts covid response team and the person on the phone said I no longer had to quarantine. I explained to her that my doctor wanted me to get retested but she told me that wasn’t necessary as people will continue to test positive even when they are no longer contagious. She also sent me an official letter from the state saying I was in the clear. To be safe, I decided to listen to my doctor and get retested. It has been almost 5 weeks since I first started showing symptoms and 4 weeks since I first tested positive and I am still testing positive for Covid 19. 
Has anyone else had a similar experience? When did you stop quarantining? How long did it take to get a negative test?</t>
        </is>
      </c>
      <c r="D2357" t="n">
        <v>6</v>
      </c>
      <c r="E2357" t="n">
        <v>6</v>
      </c>
      <c r="F2357">
        <f>HYPERLINK("https://www.reddit.com/r/COVID19positive/comments/hhjvdt/mild_symptoms_but_still_testing_positive_after_4/")</f>
        <v/>
      </c>
      <c r="G2357" t="inlineStr">
        <is>
          <t>2020-06-28 11:45:31</t>
        </is>
      </c>
      <c r="H2357" t="inlineStr">
        <is>
          <t>Tested Positive - Me</t>
        </is>
      </c>
    </row>
    <row r="2358">
      <c r="A2358" t="inlineStr">
        <is>
          <t>hhjy11</t>
        </is>
      </c>
      <c r="B2358" t="inlineStr">
        <is>
          <t>24-year-old male. Tested positive for COVID and pneumonia April 25th. Two months later I started having chest pains again very similar to before.</t>
        </is>
      </c>
      <c r="C2358" t="inlineStr">
        <is>
          <t>Title says most of it. My breathing was really bad initially and I was given Albuterol to help. After a few weeks things mostly clearly up and my only complaint was decreased lung capacity. I had ZERO chest pain after a few weeks.
A week ago, chest pains came back randomly while I'm sitting in a restaurant and my lung capacity is even worse. The pain is in the exact same places but not quite as severe. A deep breath can consistently recreate the pain/discomfort. I don't necessarily have a bunch of trouble breathing, but it's uncomfortable. It also gets worse whenever I'm laying down and trying to go to bed.
After I had initially "recovered" I was able to start weightlifting again and my lung capacity was getting better each week. A week ago it kind of went to shit and I'm in pain fairly often. The albuterol doesn't seem to do much anymore.  My insurance kicks in on July 1st, so I think I have to wait until then to actually see someone about it if it hasn't improved. Any advice or anything at all? Thank you for your time.
Edit: a couple words</t>
        </is>
      </c>
      <c r="D2358" t="n">
        <v>0</v>
      </c>
      <c r="E2358" t="n">
        <v>8</v>
      </c>
      <c r="F2358">
        <f>HYPERLINK("https://www.reddit.com/r/COVID19positive/comments/hhjy11/24yearold_male_tested_positive_for_covid_and/")</f>
        <v/>
      </c>
      <c r="G2358" t="inlineStr">
        <is>
          <t>2020-06-28 11:49:38</t>
        </is>
      </c>
      <c r="H2358" t="inlineStr">
        <is>
          <t>Tested Positive - Me</t>
        </is>
      </c>
    </row>
    <row r="2359">
      <c r="A2359" t="inlineStr">
        <is>
          <t>hhkhlt</t>
        </is>
      </c>
      <c r="B2359" t="inlineStr">
        <is>
          <t>COVID-19 pneumonia</t>
        </is>
      </c>
      <c r="C2359" t="inlineStr">
        <is>
          <t>Hello all! I am an asthmatic and have been very careful about this virus but I went to a dental cleaning and 3 days later had an incredibly sore throat and a week after I went to the ER and was diagnosed with COVID-19 related pneumonia based on ground glass opacity seen in my left lobe. I was given dexamethosone and sent home to quarantine. A week in and I am not sleeping as much but the coughing and chest pain is worse and I am running a low grade fever with chills. My nasal swab came back negative so my parents and siblings (all live in MN, I live in VA with my husband and 2 kids) think I  "only" have pneumonia and basically just don't care. Haven't even checked in on me but once since I got home from the hospital. The doctors told me they have had a lot of false negatives, especially when it is early in the infection and that my xrays are very indicative of COVID-19 along with the other symptoms. It's bad enough going through this virus having to be isolated from my kids and husband but to have my family basically call me a liar is so depressing. Has anyone else dealt with this?</t>
        </is>
      </c>
      <c r="D2359" t="n">
        <v>2</v>
      </c>
      <c r="E2359" t="n">
        <v>9</v>
      </c>
      <c r="F2359">
        <f>HYPERLINK("https://www.reddit.com/r/COVID19positive/comments/hhkhlt/covid19_pneumonia/")</f>
        <v/>
      </c>
      <c r="G2359" t="inlineStr">
        <is>
          <t>2020-06-28 12:18:00</t>
        </is>
      </c>
      <c r="H2359" t="inlineStr">
        <is>
          <t>Presumed Positive - From Doctor</t>
        </is>
      </c>
    </row>
    <row r="2360">
      <c r="A2360" t="inlineStr">
        <is>
          <t>hhktcs</t>
        </is>
      </c>
      <c r="B2360" t="inlineStr">
        <is>
          <t>Recovered with acid reflux</t>
        </is>
      </c>
      <c r="C2360" t="inlineStr">
        <is>
          <t>I contracted covid and tested positive in late March but only had chills for 1 night and then lost my sense of smell and taste for 2 weeks until it was back to 100%. 
However, I’ve always had acid reflux or GERD, and post-recovery has definitely made my GERD symptoms significantly worse. I have strong dry coughs at night and sometimes day (which rarely happens to me) with an acidic taste. This used to only happen once a month prior to covid.
Just wondering whether anyone has a similar experience to this or whether there’s an explanation. Maybe it isn’t even my acid reflux acting up?</t>
        </is>
      </c>
      <c r="D2360" t="n">
        <v>2</v>
      </c>
      <c r="E2360" t="n">
        <v>8</v>
      </c>
      <c r="F2360">
        <f>HYPERLINK("https://www.reddit.com/r/COVID19positive/comments/hhktcs/recovered_with_acid_reflux/")</f>
        <v/>
      </c>
      <c r="G2360" t="inlineStr">
        <is>
          <t>2020-06-28 12:35:46</t>
        </is>
      </c>
      <c r="H2360" t="inlineStr">
        <is>
          <t>Tested Positive - Me</t>
        </is>
      </c>
    </row>
    <row r="2361">
      <c r="A2361" t="inlineStr">
        <is>
          <t>hhl1qr</t>
        </is>
      </c>
      <c r="B2361" t="inlineStr">
        <is>
          <t>Very fatigued after recovering from covid?l</t>
        </is>
      </c>
      <c r="C2361" t="inlineStr">
        <is>
          <t>Hi, so it has been exactly 2 weeks since my first symptoms started with COVID. I never got an extreme case, but i am SO tired lately. I’m assuming it’s just my body recovering from this virus, but if someone wants to give some insight i would appreciate it! Below are all the symptoms i have had up until a few days ago! I am a 21 year old female.
June 14- VERY fatigued, no fever
June 15- itchy throat, dry cough, tired, back aches, no fever
June 16- back ache, tired, no fever
June 17- back aches, tired, no fever, lost appetite 
June 18th- back ache is less but still there, woke up w drainage &amp;amp; sore throat and extreme tiredness.. developed dry cough (ish).. tight chest, no fever
June 19th- lost smell:((( and taste, drainage &amp;amp; congestion, back aches, difficult to take full deep breath, no fever 
June 20- can’t smell &amp;amp; taste, back ache, drainage, chest sort of tight.. best day so far that i can sense 
June 21- lost smell &amp;amp; taste 
June 22- lost smell &amp;amp; tatse
June 23- lost smell &amp;amp; taste
June 24- no smell</t>
        </is>
      </c>
      <c r="D2361" t="n">
        <v>2</v>
      </c>
      <c r="E2361" t="n">
        <v>3</v>
      </c>
      <c r="F2361">
        <f>HYPERLINK("https://www.reddit.com/r/COVID19positive/comments/hhl1qr/very_fatigued_after_recovering_from_covidl/")</f>
        <v/>
      </c>
      <c r="G2361" t="inlineStr">
        <is>
          <t>2020-06-28 12:48:32</t>
        </is>
      </c>
      <c r="H2361" t="inlineStr">
        <is>
          <t>Tested Positive - Me</t>
        </is>
      </c>
    </row>
    <row r="2362">
      <c r="A2362" t="inlineStr">
        <is>
          <t>hhmbs5</t>
        </is>
      </c>
      <c r="B2362" t="inlineStr">
        <is>
          <t>If a person is asymptotic for over a month are they still contagious?</t>
        </is>
      </c>
      <c r="C2362" t="inlineStr">
        <is>
          <t>Doctors said after like 14 days you can go out just be more cautious around people. If someone is asymptotic for over a month can they still spread it to other people? I’ve read it’s still possible but I don’t know.</t>
        </is>
      </c>
      <c r="D2362" t="n">
        <v>3</v>
      </c>
      <c r="E2362" t="n">
        <v>3</v>
      </c>
      <c r="F2362">
        <f>HYPERLINK("https://www.reddit.com/r/COVID19positive/comments/hhmbs5/if_a_person_is_asymptotic_for_over_a_month_are/")</f>
        <v/>
      </c>
      <c r="G2362" t="inlineStr">
        <is>
          <t>2020-06-28 13:59:39</t>
        </is>
      </c>
      <c r="H2362" t="inlineStr">
        <is>
          <t>Tested Positive - Family</t>
        </is>
      </c>
    </row>
    <row r="2363">
      <c r="A2363" t="inlineStr">
        <is>
          <t>hhmueg</t>
        </is>
      </c>
      <c r="B2363" t="inlineStr">
        <is>
          <t>My "How to" guide on dealing with the virus</t>
        </is>
      </c>
      <c r="C2363" t="inlineStr">
        <is>
          <t>A while back a poster had a  "How to" guide that probably disappeared in the depths of Reddit so I'm sharing my tips from my experience. I had all the CDC symptoms (except vomiting &amp;amp; runny nose) plus brain fog, COVID toes and blisters, convulsing chills, blurry vision, bruising, allergic reactions, and more. If I list the other remaining symptoms I will probably cry. It was a pure, whole body system attack. 4 months in my recovery and I'm still sticking to what I learned, and living better for it.
I learned from my post-concussion experience that I needed to be proactive and intentional on how I dealt with this virus. That meant journaling and looking at how I was living with an analytical eye. Luckily, this sub has also helped me tremendously with additional tips and advice. It was a long journey full of blind spots and scares but this sub helped me cope and move forward with a healthier life and now I would like to do the same in return.
Here are my guides and excuse my hurricane metaphors but I lived through one and this sure felt like one physically and mentally taxing hurricane.
REST: People aren't getting the recommended amount in their normal lives, so with this virus you're probably gonna come down with immense fatigue (bordering on narcoleptic exhaustion), so don't short change your sleep time. Your body will probably make you want to sleep for half a day and that is OK! Don't fight your body's starving-for-rest signals. I was stubborn and I pushed back at those signals because I thought "Stuff gotta get done!" It only prolonged symptoms for me. Sleep and rest ultimately restores and rebuilds your body. Work with it.
EAT: Eat veggies, fruits, &amp;amp; lean meats. All that stuff will be kind to your digestive system (non-inflammatory, replenishing body with essential nutrients while hydrating you, too) as I came down with some gnarly GI issues. If you can't cancel your sugars and high fat processed foods, at least dial back the amount. Those foods can cause inflammation and inflammation is not good for your aches and pains, too. Everything is so connected in your body. The times I ate like crap, my body treated me like I was crap.
HYDRATE: Drink water to flush out what your body is trying to get rid of. Electrolyte yourself with whatever stuff is out there. If you are a social drinker, avoid alcohol. If you are a coffee drinker, cut it down. Alcohol and coffee dehydrate you, constrict your blood flow, and raise your heart rate. Don't beat your body while it's down. I drank alcohol (1 glass 3 different times) and paid for it each time. Self-inflicted myself more with coffee and that was the hardest to give up but the end goal was to breathe and feel better.
REST Part 2: If you think you got better, don't go resuming your hurricane-force pre-virus life the next day. Your body may have given you a breather signal, a kind of eye-of-the-hurricane calmness, but be prepared for the possible aftermath. I thought I felt great one day, finally got over it, but my body was still putting out fires that I wasn't aware of. Thinking I can do things like normal turned into a type of overexertion and my body paid for it. I know it's hard to relinquish that control of needing to catch up and get back on track but ask for help, delegate chores, and ease your way back into things like exercise and break-a-sweat type cleaning. My body would have thanked me if I took it easy during what I dub the aftermath/clean-up phase.
SUN &amp;amp; AIR: Circulate clean air in the house. Open windows, have an air purifier if it helps, change your bedding. Hang out on your balcony, patio, backyard if you have one. Vitamin D is good for you! This all made me feel better.
POSITIVITY: Avoid the news. Do stuff that make you happy. If I even had the focus, attention, and energy to watch TV or read, I watched comedies and comedy specials, and read essays from comedians. Journal your health victories. Seek out your POSITIVE, supportive friends and family. 
All these guides helped lessen the severity of my symptoms like headaches, fatigue, aches and pains, GI issues, and breathing issues. 
And remember to lean on your healthcare system if things aren't going well or improving, especially with breathing. I did.
I hope you all have a speedy recovery and best wishes. If this gets removed, then I might be looking for a ghostwriter to do my posts.
Feel free to add tips.</t>
        </is>
      </c>
      <c r="D2363" t="n">
        <v>97</v>
      </c>
      <c r="E2363" t="n">
        <v>47</v>
      </c>
      <c r="F2363">
        <f>HYPERLINK("https://www.reddit.com/r/COVID19positive/comments/hhmueg/my_how_to_guide_on_dealing_with_the_virus/")</f>
        <v/>
      </c>
      <c r="G2363" t="inlineStr">
        <is>
          <t>2020-06-28 14:28:22</t>
        </is>
      </c>
      <c r="H2363" t="inlineStr">
        <is>
          <t>Presumed Positive - From Doctor</t>
        </is>
      </c>
    </row>
    <row r="2364">
      <c r="A2364" t="inlineStr">
        <is>
          <t>hhmvwh</t>
        </is>
      </c>
      <c r="B2364" t="inlineStr">
        <is>
          <t>Tested positive and recovered - should I retest?</t>
        </is>
      </c>
      <c r="C2364" t="inlineStr">
        <is>
          <t>I think I’m one of the lucky ones. My fever only lasted about a day, I had no respiratory issues, no loss of taste/smell. What other symptoms I had only lasted a day or two more. 
Still, I took the test because my wife is pregnant and we wanted to be safe. It came back positive and since then we’ve been separating. It’s been a little over two weeks without symptoms. 
The question is: should I get tested again?
I’m in Mexico and the tests here are really expensive. (About US$140 with the exchange). If it comes back positive I’m just going to have to keep paying every time I want to take a test. 
But if I don’t get tested, when can I get back to a somewhat regular self-isolated routine? (Walking dogs, going to the grocery store, that kind of thing)</t>
        </is>
      </c>
      <c r="D2364" t="n">
        <v>5</v>
      </c>
      <c r="E2364" t="n">
        <v>3</v>
      </c>
      <c r="F2364">
        <f>HYPERLINK("https://www.reddit.com/r/COVID19positive/comments/hhmvwh/tested_positive_and_recovered_should_i_retest/")</f>
        <v/>
      </c>
      <c r="G2364" t="inlineStr">
        <is>
          <t>2020-06-28 14:30:34</t>
        </is>
      </c>
      <c r="H2364" t="inlineStr">
        <is>
          <t>Tested Positive - Me</t>
        </is>
      </c>
    </row>
    <row r="2365">
      <c r="A2365" t="inlineStr">
        <is>
          <t>hhn7j3</t>
        </is>
      </c>
      <c r="B2365" t="inlineStr">
        <is>
          <t>Smokers who tested positive - how to satisfy your nicotine addiction while infected?</t>
        </is>
      </c>
      <c r="C2365" t="inlineStr">
        <is>
          <t>I tested positive a week ago and I barely have any symptoms (the only reason I was tested is because my coworkers got infected, otherwise I would've never known).
The only symptom is that I cough for an hour after I smoke a cigarette (or even a strong perfume or some dust). Since I want to avoid pneumonia, but it's also unbearable for me not to smoke at least one ciggy per day, I would like to somehow find an alternative to cigarettes or to smoke less often. 
How did you get by? Did you manage to even quit smoking?</t>
        </is>
      </c>
      <c r="D2365" t="n">
        <v>1</v>
      </c>
      <c r="E2365" t="n">
        <v>4</v>
      </c>
      <c r="F2365">
        <f>HYPERLINK("https://www.reddit.com/r/COVID19positive/comments/hhn7j3/smokers_who_tested_positive_how_to_satisfy_your/")</f>
        <v/>
      </c>
      <c r="G2365" t="inlineStr">
        <is>
          <t>2020-06-28 14:49:11</t>
        </is>
      </c>
      <c r="H2365" t="inlineStr">
        <is>
          <t>Tested Positive - Me</t>
        </is>
      </c>
    </row>
    <row r="2366">
      <c r="A2366" t="inlineStr">
        <is>
          <t>hhnpf8</t>
        </is>
      </c>
      <c r="B2366" t="inlineStr">
        <is>
          <t>Did anyone get a chest CT scan that turned out normal but still have lingering symptoms?</t>
        </is>
      </c>
      <c r="C2366" t="inlineStr">
        <is>
          <t>I tested for allergies, lung test, and 2 chest X-rays. All turned out normal. I also took steroid inhaler Advair Diskus for a month and antibiotics. Currently taking meds for GERD because at this point, I’ll try anything. I also did echocardiography and will get results in a few days. I’m scheduled for a CT scan on Tuesday and also have an appointment to see neck and head doctor. I have a feeling everything will turn out normal. What else should I get tested on?</t>
        </is>
      </c>
      <c r="D2366" t="n">
        <v>1</v>
      </c>
      <c r="E2366" t="n">
        <v>9</v>
      </c>
      <c r="F2366">
        <f>HYPERLINK("https://www.reddit.com/r/COVID19positive/comments/hhnpf8/did_anyone_get_a_chest_ct_scan_that_turned_out/")</f>
        <v/>
      </c>
      <c r="G2366" t="inlineStr">
        <is>
          <t>2020-06-28 15:18:23</t>
        </is>
      </c>
      <c r="H2366" t="inlineStr">
        <is>
          <t>Presumed Positive - From Doctor</t>
        </is>
      </c>
    </row>
    <row r="2367">
      <c r="A2367" t="inlineStr">
        <is>
          <t>hho1w1</t>
        </is>
      </c>
      <c r="B2367" t="inlineStr">
        <is>
          <t>On June 28th, I find out I potentially got exposed to COVID</t>
        </is>
      </c>
      <c r="C2367" t="inlineStr">
        <is>
          <t>Coworker from clinicals is potentially exposed from his roommate, and, unfortunately, I was sitting close to him during our lunch for a full hour and had to remove my masks to eat. My throat felt funny yesterday, but I do have a sensitive throat and it has been cold lately, other than that no symptoms yet. I talked to my doctor and he is saying there is a chance I am positive due to that exposure. I'm a 26 y/o nursing student and I live with my family. I'm more scared for my parents than I am for myself..
I haven't been taking my vitamins as of late but other than the exposure at lunch I did not remove my N95 and surgical mask (I double masked) for 11 hours and I removed my scrubs before I got into my car they're currently wrapped in a plastic bag in the trunk. I had small running shorts and an undershirt under my scrubs so I wore those in the car. I walked straight into my room and took a long shower, including washing my hair as soon as I got in. I also remained in my room until up to Friday, coming down only to get food and water (eating in my room). I'm just playing minecraft now to pass the time.</t>
        </is>
      </c>
      <c r="D2367" t="n">
        <v>2</v>
      </c>
      <c r="E2367" t="n">
        <v>4</v>
      </c>
      <c r="F2367">
        <f>HYPERLINK("https://www.reddit.com/r/COVID19positive/comments/hho1w1/on_june_28th_i_find_out_i_potentially_got_exposed/")</f>
        <v/>
      </c>
      <c r="G2367" t="inlineStr">
        <is>
          <t>2020-06-28 15:38:42</t>
        </is>
      </c>
      <c r="H2367" t="inlineStr">
        <is>
          <t>Presumed Positive - From Doctor</t>
        </is>
      </c>
    </row>
    <row r="2368">
      <c r="A2368" t="inlineStr">
        <is>
          <t>hho4bc</t>
        </is>
      </c>
      <c r="B2368" t="inlineStr">
        <is>
          <t>Can I still get to hospital? Or maybe I already made it? Thanks</t>
        </is>
      </c>
      <c r="C2368" t="inlineStr">
        <is>
          <t>My wife tested positive 16 days ago (57). She still feel very bad. No lung or chest issues. I tested positive 10 days ago (58) high blood pressure, overweight. Mild symptoms until today. Chest pressure and funny filling on the lungs. Wet cough also. Can I still get very sick? I read that is you made it after the 10 day you will be ok. Is that true?</t>
        </is>
      </c>
      <c r="D2368" t="n">
        <v>1</v>
      </c>
      <c r="E2368" t="n">
        <v>12</v>
      </c>
      <c r="F2368">
        <f>HYPERLINK("https://www.reddit.com/r/COVID19positive/comments/hho4bc/can_i_still_get_to_hospital_or_maybe_i_already/")</f>
        <v/>
      </c>
      <c r="G2368" t="inlineStr">
        <is>
          <t>2020-06-28 15:42:55</t>
        </is>
      </c>
      <c r="H2368" t="inlineStr">
        <is>
          <t>Tested Positive</t>
        </is>
      </c>
    </row>
    <row r="2369">
      <c r="A2369" t="inlineStr">
        <is>
          <t>hho5pp</t>
        </is>
      </c>
      <c r="B2369" t="inlineStr">
        <is>
          <t>Exposed at work - flight attendant. Feel very alone.</t>
        </is>
      </c>
      <c r="C2369" t="inlineStr">
        <is>
          <t>Hey there. I found this group and thought I’d just say howdy. 
I’m a flight attendant at a major airline. I went through the worst of it (I live in NYC). I just remember the ambulances non stop in my area of Brooklyn. It was terrible. 
It’s very hurtful when we have people protesting on flights against the mask. Flight crews are very exposed. I usually come into minimum contact with hundreds of people a day. I flew throughout the pandemic and was shocked to see the difference in precautions from one part of the US to another. In New York, there was a form of solidarity to get through our shared tragedy. In Tennessee, people scoffed at me when I asked them if they had a mask while entering a shared space (just the mask, never inquired if they had health issues!). In Alaska, the state required a test upon arrival and many options were given to travelers. In Florida, my friends were asking me when I’d come down to visit and have “Big Fun.” The response has ranged from: “What pandemic?” to “What can I do to help my community get through this?”. Flight attendants have these visceral reminders every day that the pandemic will stretch out for a while. 
We have to push beyond our idea of American individualism during this time.
Last week, I decided to get tested while at work with one of my co-workers (from the South). I tested negative on both the COVID-19 and antibody tests; I was elated. Just 3 days ago I received a message from her that she had tested positive when we went together. I soon came down with symptoms and now I have tested positive. My symptoms have ranged from a body rash (anyone else?) on initial exposure, to a headache, mucus, and general fatigue. I’m at the beginning of the experience. 
It only takes one second with your guard down to pick COVID-19 up. 
I also hope my industry re-examines itself as a whole to adapt to the times (among many others). I fear people are going to work sick for a variety of reasons. We can’t have that. 
I definitely feel alone. How is everyone managing? And happy Sunday, despite the circumstances. I’m thankful I will not pass this on to friends and family.
Just wanted to send some love to everyone from the crews at 38,000 feet and for those of us grounded.</t>
        </is>
      </c>
      <c r="D2369" t="n">
        <v>59</v>
      </c>
      <c r="E2369" t="n">
        <v>33</v>
      </c>
      <c r="F2369">
        <f>HYPERLINK("https://www.reddit.com/r/COVID19positive/comments/hho5pp/exposed_at_work_flight_attendant_feel_very_alone/")</f>
        <v/>
      </c>
      <c r="G2369" t="inlineStr">
        <is>
          <t>2020-06-28 15:45:21</t>
        </is>
      </c>
      <c r="H2369" t="inlineStr">
        <is>
          <t>Tested Positive - Me</t>
        </is>
      </c>
    </row>
    <row r="2370">
      <c r="A2370" t="inlineStr">
        <is>
          <t>hhodxf</t>
        </is>
      </c>
      <c r="B2370" t="inlineStr">
        <is>
          <t>Cough</t>
        </is>
      </c>
      <c r="C2370" t="inlineStr">
        <is>
          <t>Good afternoon reddit, I tested positive yesterday with symptoms beginning two days ago. I had a rapid test done where results were available within a couple hours (essential worker). Anyways the first night was muscle aches, chills and a headache. Woke up next day same way so decided to get tested. Came out positive. I have now developed a scratchy throat, low grade fevers, fatigue and at times lung soreness. My biggest concern though is the cough. It’s one of those coughs where I can choose if I want to cough or not for the most part, I have never had an illness where a cough was developed so quickly.
When I do cough it feels pretty unproductive, not satisfying and painful. At what point did your cough get worse? Should I be concerned? How do my symptoms sound? This would be day three for me. I am a 27yo male, who is prehypertensive. I like to exercise and I exercise daily. I am not feeling lack of oxygen</t>
        </is>
      </c>
      <c r="D2370" t="n">
        <v>2</v>
      </c>
      <c r="E2370" t="n">
        <v>7</v>
      </c>
      <c r="F2370">
        <f>HYPERLINK("https://www.reddit.com/r/COVID19positive/comments/hhodxf/cough/")</f>
        <v/>
      </c>
      <c r="G2370" t="inlineStr">
        <is>
          <t>2020-06-28 15:59:45</t>
        </is>
      </c>
      <c r="H2370" t="inlineStr">
        <is>
          <t>Tested Positive - Me</t>
        </is>
      </c>
    </row>
    <row r="2371">
      <c r="A2371" t="inlineStr">
        <is>
          <t>hhofao</t>
        </is>
      </c>
      <c r="B2371" t="inlineStr">
        <is>
          <t>Sleeping Problems</t>
        </is>
      </c>
      <c r="C2371" t="inlineStr">
        <is>
          <t>Hey all,
Day 101, 25m - Was wondering if anybody did anything or has any advice on how to get some better sleep? I am falling asleep alright but waking up once or twice during the night and it takes me usually 30 minutes to get back asleep (not checking phone, not really moving, just focusing on sleeping). Anybody find success in anything at all? Feeling mostly okay these days except for this, GI issues and a bit of a wonky heart rate at times.. feel like the sleeping may help with the others. Thanks!</t>
        </is>
      </c>
      <c r="D2371" t="n">
        <v>1</v>
      </c>
      <c r="E2371" t="n">
        <v>6</v>
      </c>
      <c r="F2371">
        <f>HYPERLINK("https://www.reddit.com/r/COVID19positive/comments/hhofao/sleeping_problems/")</f>
        <v/>
      </c>
      <c r="G2371" t="inlineStr">
        <is>
          <t>2020-06-28 16:02:04</t>
        </is>
      </c>
      <c r="H2371" t="inlineStr">
        <is>
          <t>Presumed Positive - From Test</t>
        </is>
      </c>
    </row>
    <row r="2372">
      <c r="A2372" t="inlineStr">
        <is>
          <t>hhoowx</t>
        </is>
      </c>
      <c r="B2372" t="inlineStr">
        <is>
          <t>My Perspective on mental health post-infection: 100+ days</t>
        </is>
      </c>
      <c r="C2372" t="inlineStr">
        <is>
          <t>I wanted to start by saying that I appreciate this community in so many ways and am amazed by the resiliency of so many people here. 
I’ve been on a roller coaster ride of sickness for over 3 months now and sometimes it seems like there is no end in sight. I spend days feeling hopeless. Feeling like I’m slowly being killed by the very thing that has turned our world upside down. I’ve watched my health deteriorate and repair only to deteriorate once again. I’ve had to quit my job because of my sickness and am only met with disbelief from family members about the condition I’m in. My anxiety is relentless, my depression that I thought I got rid of after high school has returned. And if I’m being completely honest, I’ve had brief moments of suicidal thoughts race through my mind. 
But it isn’t all doom and gloom. I’ve grown to appreciate the little things like I never have. The feeling of fresh air hitting my lungs brings a type of joy that I never would have thought such a thing would. A sunrise has a whole different meaning now as it represents another day to be thankful to be living despite the trials that life brings. While laughter and happiness has been rare since the beginning of this, when it occurs it feels sweeter than ever. I know many of us are confused about the state of our health and it may seem like normalcy is a fading commodity but I’m sure that at some point this will all be over and we can look back on this experience with a renewed sense of gratitude for the gift that is good health. 
I’m a very emotional person and I tend to go to dark places when times get hard. I don’t have the mental strength that so many of you do. So this is for anyone like me that is struggling with the mental side of this thing called “Covid- 19”. It may feel hopeless but please try to keep your spirits up and choose optimism over pessimism, and trust me i know that’s easier said than done. I hope for the best for everyone that has dealt with this and if anyone feels like giving up or you just need to be heard, feel free to contact me.</t>
        </is>
      </c>
      <c r="D2372" t="n">
        <v>10</v>
      </c>
      <c r="E2372" t="n">
        <v>10</v>
      </c>
      <c r="F2372">
        <f>HYPERLINK("https://www.reddit.com/r/COVID19positive/comments/hhoowx/my_perspective_on_mental_health_postinfection_100/")</f>
        <v/>
      </c>
      <c r="G2372" t="inlineStr">
        <is>
          <t>2020-06-28 16:18:46</t>
        </is>
      </c>
      <c r="H2372" t="inlineStr">
        <is>
          <t>Presumed Positive - From Doctor</t>
        </is>
      </c>
    </row>
    <row r="2373">
      <c r="A2373" t="inlineStr">
        <is>
          <t>hhoqfs</t>
        </is>
      </c>
      <c r="B2373" t="inlineStr">
        <is>
          <t>Did anyone else experience these symptoms?</t>
        </is>
      </c>
      <c r="C2373" t="inlineStr">
        <is>
          <t>Hey everyone -
I hope you're all staying safe, recovering, and/or feeling better.
I'm a 23 year old female, healthy, no pre-existing health conditions I'm aware of.
Here's a quick rundown of my symptoms before I go into detail of how I felt below:
&amp;gt;**Thursday:** *intense back-ache, overall body fatigue, chills, felt extremely hot at night, sweating at night, slight chest tightness and breath felt short when taking long inhales, mild sore throat. no appetite whatsoever which is really odd because typically during my period I'm ravenous.*  
&amp;gt;  
&amp;gt;**Friday:** *continued back pain, worsening fatigue, couldn't take full inhales without feeling tightness in chest, felt hot throughout the day now, chills at night, sore throat disappeared. no appetite. Period started as usual.*  
&amp;gt;  
&amp;gt;**Saturday:** *debhilitating stomach cramps, overall feeling of malaise, sore throat, intense back pain, worsening body fatigue, chills, feverish, sweaty, shortness of breath became more noticeable in that chest felt progressively tighter. reverberating headache that wouldn't stop. no appetite.*  
&amp;gt;  
&amp;gt;**Sunday:** *felt generally fine in the morning, mild sore throat, no more stomach cramps, back pain still present, but not as bad as before, chills and fever returned at night. headaches continued. weird sharp pains would happen throughout my body in odd places.*  
&amp;gt;  
&amp;gt;**Monday:** *woke up around 3am feeling an intense feeling of malaise, felt like something was really off in my body, heart rate was high, breathing felt much tighter, woke up with an urge to go to the restroom and had my first bought of diahhrea (again, weird because i never have diahhrea). felt chills, feverish, intense back pain returned, shortness of breath became much more noticeable in that every breath i took felt tight. body fatigue transformed into something worse, it felt as if i went to the gym and exhausted all of my muscles. my muscles felt extremely sore, tired, and exhausted. still experienced headaches. this continued throughout the day and into the night. this was probably one of my worst days.*  
&amp;gt;  
&amp;gt;**Tuesday:** *decided to go get tested. experienced all symptoms i felt above on monday but worse. another bought of diahhrea in the early morning. headaches all day, chills, feverish at night, shortness of breath and tight chest continued throughout the day. body felt extremely fatigued. went to take a shower and felt completely out of breath and exhausted. i had to lay down afterwards. i'd never experienced that before. appetite started getting better, but i started to notice a diminished sense of smell. odd sharp pains returned.*  
&amp;gt;  
&amp;gt;**Wednesday:** *body aches slowly subsided throughout the day, still experienced a tightness in my chest and shortness of breath. constant headache that wouldn't subside with aleve or tylenol. mild sore throat returned, back-ache still present. showers still exhausted me. episodic SOB.*  
&amp;gt;  
&amp;gt;**Thursday:** *body aches gone. fatigue mostly gone. shortness of breath, chest tightness, headaches, and back-ache all still present. experienced episodes of very noticeable SOB. mild chest pain.*  
&amp;gt;  
&amp;gt;**Friday - Sunday (today):** *no more fatigue. no more body aches. shortness of breath, chest tightness, and headaches still a thing. back-aches come and go. still get tired after taking showers and making short walks. heart rate is much higher than usual after doing simple tasks such as getting up out of bed or walking to the bathroom. mild chest pain throughout the day, sometimes feels like heartburn.* 
I would say that I'm generally on the mend? The thing that concerns me the most is that I was around my family this past weekend because I live with them. I live with an elderly mother and father, and a older brother. The crazy thing is all of them feel completely fine and no symptoms at all. I've been completely quarantining myself since Sunday night and haven't left my room, but they were around me Thursday - Sunday afternoon. I was also with a close friend over the weekend who insisted on watching over me. She, too, has shown no symptoms.
At first, I thought maybe this was all PMS because of how close it was to my period, but, it started hitting me how odd it was because of several things:
1. I NEVER experience a loss of appetite around/before/during my period. I'm always ravenous and I crave everything in sight. So the loss of appetite was alarming to me.
2. I also NEVER experience physical symptoms around my period. I haven't experienced cramps, or anything like that since middle school. My PMS symptoms are typically light, and honestly, barely noticeable. So the fact that I was experiencing cramps that left me hunched over in my chair unable to speak was really odd to me.
3. I haven't experienced back pain before. So the sudden onset of backpain, especially inwhich I felt extremely uncomfortable, achy, dull, etc. was just odd.
4. Chills, diahhrea, and feeling feverish at night. That doesn't happen during a period. Atleast not for me.
5. Monday morning. When I woke up at 3am feeling extremely off sent alarm bells through my mind. I had only felt that way once (which was several years ago before I had to be sent to the hospital to get my gallbladder removed). So having that similar feeling felt really odd to me. My body just felt extreme malaise.
6. Overall body fatigue, muscle aches/muscle soreness. This was probably one of the weirdest things I experienced so far. It legitimately felt like my body had been hit by a truck or I'd lifted 100 lb weights the night before, only for all of my arm and leg muscles to feel completely sore and exhausted. I had legitimately no energy.
7. Taking a shower was exhausting and left me breathing very quickly, making the SOB and chest tightness more noticeable.
Personally, I'm stunned my family isn’t experiencing any symptoms at all. 
They're all perfectly fine. No coughs, no sore throat, no body aches, fatigue, SOB, nothing. All of them are fine and have been for the past week. Even including my 80 year old father. He's completely fine. Which, bless their hearts, I hope it stays that way.
Is this COVID or could I be experiencing something entirely else?
Could my family just be asymptomatic?
Did anyone else experience a similar trajectory/symptoms?</t>
        </is>
      </c>
      <c r="D2373" t="n">
        <v>3</v>
      </c>
      <c r="E2373" t="n">
        <v>3</v>
      </c>
      <c r="F2373">
        <f>HYPERLINK("https://www.reddit.com/r/COVID19positive/comments/hhoqfs/did_anyone_else_experience_these_symptoms/")</f>
        <v/>
      </c>
      <c r="G2373" t="inlineStr">
        <is>
          <t>2020-06-28 16:21:20</t>
        </is>
      </c>
      <c r="H2373" t="inlineStr">
        <is>
          <t>Presumed Positive - From Doctor</t>
        </is>
      </c>
    </row>
    <row r="2374">
      <c r="A2374" t="inlineStr">
        <is>
          <t>hhp4d3</t>
        </is>
      </c>
      <c r="B2374" t="inlineStr">
        <is>
          <t>Best vitamins to take?</t>
        </is>
      </c>
      <c r="C2374" t="inlineStr">
        <is>
          <t>I’ve been symptomatic on and off since April 25, a month ago I started listening to people and taking any vitamin I can.
I think I was hit with my worst relapse yet starting Friday night. I’ve been taking Centrum multivitamin, extra vitamin D 2000 micro grams (old blood test said I was 24mg in vitamin D so on the low side)
Zycum chewable, turmeric supplement
I’ve also started taking Chewable vitamin C tablet recently, and Tylenol
Is there anything I can do or try to help me recover? I’m tired of these waves and I just wanna get better before it gets worse :(</t>
        </is>
      </c>
      <c r="D2374" t="n">
        <v>1</v>
      </c>
      <c r="E2374" t="n">
        <v>8</v>
      </c>
      <c r="F2374">
        <f>HYPERLINK("https://www.reddit.com/r/COVID19positive/comments/hhp4d3/best_vitamins_to_take/")</f>
        <v/>
      </c>
      <c r="G2374" t="inlineStr">
        <is>
          <t>2020-06-28 16:45:50</t>
        </is>
      </c>
      <c r="H2374" t="inlineStr">
        <is>
          <t>Presumed Positive - From Doctor</t>
        </is>
      </c>
    </row>
    <row r="2375">
      <c r="A2375" t="inlineStr">
        <is>
          <t>hhpiv1</t>
        </is>
      </c>
      <c r="B2375" t="inlineStr">
        <is>
          <t>Low grade fevers</t>
        </is>
      </c>
      <c r="C2375" t="inlineStr">
        <is>
          <t>Hi friends, I am on day 12 or so and still having low-grade fever‘s. I usually wake up at a normal temperature but by the afternoon I can get up to 99.9. It fluctuates between 99.5 and 99.9 for a few hours and then usually goes back to normal overnight. This is how my symptoms started and it continues to be the only one I’ve had consistently. The sore throat is gone, the headaches are here and there, the chest pain is just starting. I have not been sleeping well but I am resting and have been quarantined since June 19th. Incidentally on June 19 I tested negative, but spoke to two doctors since via telemedicine and they have both sais to treat it as a false negative due to my symptoms. Does anyone have any advice on how much longer the fevers will continue? Do you think I am out of the woods yet? My pulse ox continues to be about 98%. Thank you and good luck everyone!</t>
        </is>
      </c>
      <c r="D2375" t="n">
        <v>2</v>
      </c>
      <c r="E2375" t="n">
        <v>32</v>
      </c>
      <c r="F2375">
        <f>HYPERLINK("https://www.reddit.com/r/COVID19positive/comments/hhpiv1/low_grade_fevers/")</f>
        <v/>
      </c>
      <c r="G2375" t="inlineStr">
        <is>
          <t>2020-06-28 17:10:39</t>
        </is>
      </c>
      <c r="H2375" t="inlineStr">
        <is>
          <t>Presumed Positive - From Doctor</t>
        </is>
      </c>
    </row>
    <row r="2376">
      <c r="A2376" t="inlineStr">
        <is>
          <t>hhpj8p</t>
        </is>
      </c>
      <c r="B2376" t="inlineStr">
        <is>
          <t>My Progression</t>
        </is>
      </c>
      <c r="C2376" t="inlineStr">
        <is>
          <t>17 - White - Male - No Underlying Conditions
I've posted here a few times and in order to relieve my mind and other people's I'd like to share my story in case anyone can relate and feel less isolated than they already are. And let me start off by saying that I feel isolated... but here I can at least be among others who are going through the same thing. In that regard, here has been my progression so far:
Day 1 - I was coming home from shopping feeling sick to my stomach and tired. I developed a fever later in the day before bed and knew something was up.
Day 2 - Low grade fever continues throughout the day. Diarrhea ensues, along with stomach pain, anxiety. I develop a lump in my throat. Maybe anxiety, but I made a post anyways.
Day 3-4 - Same exact symptoms, anxiety most likely caused any SOB that I thought I had as it's definitely different now. I got tested on day 3, negative on Day 5, but this can be attributed to the fact that she merely touched the tip of my nostril. Literally tickled slightly inside. Not sure how anything could test positive there. I
Day 5 - Chest pain starts, very random chest pain. Doesn't feel constant, feels like random stings like I'm being poked, also happens in my kidney and in my ribs. I start to feel a pain in my arm, legs feel somewhat weak, fever still here. I am, however, less tired. Sore throat seems to develop. I get an X-Ray on this day as well as another test. Still awaiting the results of the second test. X-Ray came out fine. Doctor prescribes antibiotics (For what reason? I question taking the antibiotics until Day 7).
Day 6-7 Same symptoms, however diarrhea goes away, stomach pain goes away. I start antibiotics on the 7th day. (Azithromycin). Cough develops, like a tickle every once in a while. Very minor.
Day 8 - I begin to have spells of dizziness/feeling lightheaded every 30 minutes. Really weird. Symptoms persist. Dizzy spells may be due to antibiotics. Diarrhea comes back, may also be due to the antibiotics.
Day 9 (Today) - My chest has developed a pain that is a bit more constant. Feels like it exists in the center of my chest as some sort of pleurisy or costochondritis. Random stings of pain still continue, mainly in my ribs and kidneys and upper chest. SOB maybe while talking? Fever still continues. Still low grade. Is that good for my body? Probably not...
My symptoms vary greatly based on time of day. From approximately the time I wake up (9 A.M.) to around 1 P.M., I have hardly any symptoms. Then, like clockwork, symptoms appear, reach full force around 4-5 P.M., then seem to go down by 8. Lying down seems to aggravate my chest pain but standing up and walking seems to aggravate my dizzy spells.
I have been taking the following: Tylenol, Vitamin D3, Vitamin C, Zinc, Melatonin (3 MG), Azithromycin (250 MG), electrolyte mix.
I am, for my age, pretty darn healthy. I have been avoiding any kind of sugar since this started. Trying to eat as much as possible and am drinking around 6-7 water bottles a day.
I do not smoke, drink or vape. I can run a mile under 7 minutes and had a very active job prior to getting this. However, what may have caused my more intense case is the fact that I rarely go in the sun. I would only go outside to play basketball as my job was indoors, and I'd hang out with friends inside restaurants or at their houses. This may have led to vitamin D deficiency. I never took supplements prior to becoming sick. Furthermore, I worked as a stocking associate at Walmart. I was exposed to around 200 people probably per day passing by me without masks (I do live in Florida). I may have been exposed to an extremely high viral load. This may explain the severity of coronavirus cases in many young, healthy healthcare workers.
I do own a pulse ox as well as a thermometer and blood pressure monitor. Readings are ok (except of course for the low grade fever). Highest fever has ever been was 100.2. BP shows very slight elevation, may be due to anxiety.
Thanks for reading. Hope someone can feel comfort that they may be experiencing the same timeline as me. We can make it through these shitty symptoms together.
Edit: A symptom I did forget to mention that has been the weirdest thing ever was pain in my teeth. Was so severe at the start that I could not chew anything. Has gotten mostly better on the left side but the right side still can't take hard foods.
Another Edit: Note to self, do not eat burritos. Stomach pain is not worth the burrito.</t>
        </is>
      </c>
      <c r="D2376" t="n">
        <v>5</v>
      </c>
      <c r="E2376" t="n">
        <v>20</v>
      </c>
      <c r="F2376">
        <f>HYPERLINK("https://www.reddit.com/r/COVID19positive/comments/hhpj8p/my_progression/")</f>
        <v/>
      </c>
      <c r="G2376" t="inlineStr">
        <is>
          <t>2020-06-28 17:11:17</t>
        </is>
      </c>
      <c r="H2376" t="inlineStr">
        <is>
          <t>Presumed Positive - From Doctor</t>
        </is>
      </c>
    </row>
    <row r="2377">
      <c r="A2377" t="inlineStr">
        <is>
          <t>hhps70</t>
        </is>
      </c>
      <c r="B2377" t="inlineStr">
        <is>
          <t>Lesser known/talked about symptoms</t>
        </is>
      </c>
      <c r="C2377" t="inlineStr">
        <is>
          <t>Hello! 
I’m presumed positive but I am also waiting on a lab test to come back. I’m really just wanting to see that I’m not alone with what I’m experiencing. 
I’ve got all-over body aches, a slight fever, and extreme fatigue. That’s all fine. What isn’t fine is the severe stomach cramps and the diarrhea 5-10 times a day. Is anyone else experiencing 5-10 times a day? I feel like I’m going crazy with this...</t>
        </is>
      </c>
      <c r="D2377" t="n">
        <v>2</v>
      </c>
      <c r="E2377" t="n">
        <v>9</v>
      </c>
      <c r="F2377">
        <f>HYPERLINK("https://www.reddit.com/r/COVID19positive/comments/hhps70/lesser_knowntalked_about_symptoms/")</f>
        <v/>
      </c>
      <c r="G2377" t="inlineStr">
        <is>
          <t>2020-06-28 17:26:58</t>
        </is>
      </c>
      <c r="H2377" t="inlineStr">
        <is>
          <t>Presumed Positive - From Doctor</t>
        </is>
      </c>
    </row>
    <row r="2378">
      <c r="A2378" t="inlineStr">
        <is>
          <t>hhqa03</t>
        </is>
      </c>
      <c r="B2378" t="inlineStr">
        <is>
          <t>I realized today was my 100th day</t>
        </is>
      </c>
      <c r="C2378" t="inlineStr">
        <is>
          <t>Wow! I’m on my literal 100th day since the start of my very odd sore throat which had me grab my things and head to the basement to isolate. I had a mild case (didn’t ever go to the hospital) but it was hard and really lasted a long time. Including multiple relapses. 
I’m posting to let you all know that I am at 90 to 95 percent. I work full time, can manage life, am still tired. I’m taking mitt fulls of vitamins twice a day, I’m down to one or two Tylenol for the lingering sore throat and chest symptoms, SOB is almost completely gone. 
I will have to work on getting my fitness level back up (I’m no athlete, by any standards, but I used to be stronger) but I was scared to push myself before in case it brought on another relapse. 
I’ve cleared medical testing. So far, they aren’t concerned with any of my results. (Blood work, chest and sinus X-ray, echocardiogram and stress test) 
Friends, it took a long time, but I’m feeling pretty good for someone who went through Covid. We all know everyone’s experience is unique, but I thought it would be nice to read about one that went well. I wish you all the best of health and speedy recoveries ❤️</t>
        </is>
      </c>
      <c r="D2378" t="n">
        <v>25</v>
      </c>
      <c r="E2378" t="n">
        <v>16</v>
      </c>
      <c r="F2378">
        <f>HYPERLINK("https://www.reddit.com/r/COVID19positive/comments/hhqa03/i_realized_today_was_my_100th_day/")</f>
        <v/>
      </c>
      <c r="G2378" t="inlineStr">
        <is>
          <t>2020-06-28 17:59:19</t>
        </is>
      </c>
      <c r="H2378" t="inlineStr">
        <is>
          <t>Presumed Positive - From Doctor</t>
        </is>
      </c>
    </row>
    <row r="2379">
      <c r="A2379" t="inlineStr">
        <is>
          <t>hhqg5u</t>
        </is>
      </c>
      <c r="B2379" t="inlineStr">
        <is>
          <t>Saliva</t>
        </is>
      </c>
      <c r="C2379" t="inlineStr">
        <is>
          <t>This may sound like an uncommon question but has anyone else experienced frothy, white saliva during or after their infection?</t>
        </is>
      </c>
      <c r="D2379" t="n">
        <v>2</v>
      </c>
      <c r="E2379" t="n">
        <v>2</v>
      </c>
      <c r="F2379">
        <f>HYPERLINK("https://www.reddit.com/r/COVID19positive/comments/hhqg5u/saliva/")</f>
        <v/>
      </c>
      <c r="G2379" t="inlineStr">
        <is>
          <t>2020-06-28 18:10:21</t>
        </is>
      </c>
      <c r="H2379" t="inlineStr">
        <is>
          <t>Presumed Positive - From Doctor</t>
        </is>
      </c>
    </row>
    <row r="2380">
      <c r="A2380" t="inlineStr">
        <is>
          <t>hhqv9d</t>
        </is>
      </c>
      <c r="B2380" t="inlineStr">
        <is>
          <t>My 32 year old wife died of the virus in early May. Tomorrow I'm donating my plasma in hopes some family doesn't have to go through this.</t>
        </is>
      </c>
      <c r="C2380" t="inlineStr">
        <is>
          <t>We both tested positive in early April. I was pretty sick for a week but recovered. She had really bad respiratory issues and spent 22 days in the hospital before finally losing the fight. Our kids lost their mom and I lost my soulmate.
I took an antibody test last week and am positive so I'm taking a half day at work tomorrow to donate plasma. They say it helps people recover from this and I want to help. I'd love to think I helped some family avoid what we're going through.</t>
        </is>
      </c>
      <c r="D2380" t="n">
        <v>527</v>
      </c>
      <c r="E2380" t="n">
        <v>213</v>
      </c>
      <c r="F2380">
        <f>HYPERLINK("https://www.reddit.com/r/COVID19positive/comments/hhqv9d/my_32_year_old_wife_died_of_the_virus_in_early/")</f>
        <v/>
      </c>
      <c r="G2380" t="inlineStr">
        <is>
          <t>2020-06-28 18:38:35</t>
        </is>
      </c>
      <c r="H2380" t="inlineStr">
        <is>
          <t>Tested Positive</t>
        </is>
      </c>
    </row>
    <row r="2381">
      <c r="A2381" t="inlineStr">
        <is>
          <t>hhr3jn</t>
        </is>
      </c>
      <c r="B2381" t="inlineStr">
        <is>
          <t>Respiratory issues 5+ weeks since diagnoses</t>
        </is>
      </c>
      <c r="C2381" t="inlineStr">
        <is>
          <t>I tested positive for COVID-19 on the 20th of May.  During my isolation, I was entirely asymptomatic aside from mild to moderate fatigue.  Fast-forward to 15 June, I wake up and throughout my day I start having:
- "crackling" sounds in my lungs
- sudden, onset asthma symptoms such as chest tightness and wheezing (no history of asthma).
- productive coughing
- very mild fever (99-99.5F)
Sought urgent care a few days later after hoping symptoms would go away.  They took chest xrays, drew blood for pneumonia (neg), &amp;amp; gave me an EKG (normal). COVID test 2 days earlier was neg.
I left urgent care without a diagnosis, and the symptoms are STILL here roughly 2 weeks later, and I finally was able to get an appt w/ pulmonary booked early this week.
Has anyone else had any issues with lung crackles or sudden onset breathing problems?  I'm really baffled how I can be this debilitated over a whole month after having this...especially after having been asymptomatic.</t>
        </is>
      </c>
      <c r="D2381" t="n">
        <v>4</v>
      </c>
      <c r="E2381" t="n">
        <v>7</v>
      </c>
      <c r="F2381">
        <f>HYPERLINK("https://www.reddit.com/r/COVID19positive/comments/hhr3jn/respiratory_issues_5_weeks_since_diagnoses/")</f>
        <v/>
      </c>
      <c r="G2381" t="inlineStr">
        <is>
          <t>2020-06-28 18:54:36</t>
        </is>
      </c>
      <c r="H2381" t="inlineStr">
        <is>
          <t>Tested Positive - Me</t>
        </is>
      </c>
    </row>
    <row r="2382">
      <c r="A2382" t="inlineStr">
        <is>
          <t>hhr6wa</t>
        </is>
      </c>
      <c r="B2382" t="inlineStr">
        <is>
          <t>Feeling very alone.</t>
        </is>
      </c>
      <c r="C2382" t="inlineStr">
        <is>
          <t>I think this virus is taking more a mental toll on me than anything else.</t>
        </is>
      </c>
      <c r="D2382" t="n">
        <v>5</v>
      </c>
      <c r="E2382" t="n">
        <v>9</v>
      </c>
      <c r="F2382">
        <f>HYPERLINK("https://www.reddit.com/r/COVID19positive/comments/hhr6wa/feeling_very_alone/")</f>
        <v/>
      </c>
      <c r="G2382" t="inlineStr">
        <is>
          <t>2020-06-28 19:01:04</t>
        </is>
      </c>
      <c r="H2382" t="inlineStr">
        <is>
          <t>Tested Positive - Me</t>
        </is>
      </c>
    </row>
    <row r="2383">
      <c r="A2383" t="inlineStr">
        <is>
          <t>hhroaq</t>
        </is>
      </c>
      <c r="B2383" t="inlineStr">
        <is>
          <t>Experiencing shortness of breath after all my previous symptoms have disappeared; anxiety not helping the situation.</t>
        </is>
      </c>
      <c r="C2383" t="inlineStr">
        <is>
          <t>Hi all,
I am 27F and my partner is 27M. He’s a cop and can’t always be distanced from everyone at his job, so he got sick, and thus I got sick as well, right at the end of May.
We were both truly sick for about three weeks, then started getting better. My partner then tested negative and is totally symptom-free and back to work and his normal life.
I’m not. I never had a fever or shortness of breath, so I figured my case was extremely mild and would be gone soon enough. I steadily got better and felt I had no symptoms anymore. But I still tested positive on the same day that he tested negative.
That was over a week ago, and in the last few days I suddenly feel like I am experiencing a slight shortness of breath even though my other symptoms are 99% gone. This is really exacerbating my anxiety, and now I can’t really tell if my breathing is truly worsening or if I’m just freaking out.
I’m young and healthy, although I do have high blood pressure so that’s cause for concern, so I’m surprised that this illness has lingered for so long, especially given what happened with my partner.
Has anyone else experienced shortness of breath coming on toward the end? Now I can’t stop reading about Covid Pneumonia and freaking out about having to go on a ventilator.
Please excuse the erratic nature of this post. Any tips on dealing with anxiety during the illness would be great too...
Stay safe y’all.</t>
        </is>
      </c>
      <c r="D2383" t="n">
        <v>3</v>
      </c>
      <c r="E2383" t="n">
        <v>14</v>
      </c>
      <c r="F2383">
        <f>HYPERLINK("https://www.reddit.com/r/COVID19positive/comments/hhroaq/experiencing_shortness_of_breath_after_all_my/")</f>
        <v/>
      </c>
      <c r="G2383" t="inlineStr">
        <is>
          <t>2020-06-28 19:33:39</t>
        </is>
      </c>
      <c r="H2383" t="inlineStr">
        <is>
          <t>Tested Positive</t>
        </is>
      </c>
    </row>
    <row r="2384">
      <c r="A2384" t="inlineStr">
        <is>
          <t>hhrzww</t>
        </is>
      </c>
      <c r="B2384" t="inlineStr">
        <is>
          <t>What’s the highest fever everyone is getting?</t>
        </is>
      </c>
      <c r="C2384" t="inlineStr">
        <is>
          <t>I’m currently at 102-103 and it’s really worrying me, I never get fevers this high and I feel horrible and cannot think.</t>
        </is>
      </c>
      <c r="D2384" t="n">
        <v>2</v>
      </c>
      <c r="E2384" t="n">
        <v>21</v>
      </c>
      <c r="F2384">
        <f>HYPERLINK("https://www.reddit.com/r/COVID19positive/comments/hhrzww/whats_the_highest_fever_everyone_is_getting/")</f>
        <v/>
      </c>
      <c r="G2384" t="inlineStr">
        <is>
          <t>2020-06-28 19:55:52</t>
        </is>
      </c>
      <c r="H2384" t="inlineStr">
        <is>
          <t>Tested Positive - Me</t>
        </is>
      </c>
    </row>
    <row r="2385">
      <c r="A2385" t="inlineStr">
        <is>
          <t>hhs06e</t>
        </is>
      </c>
      <c r="B2385" t="inlineStr">
        <is>
          <t>SOB Tight Chest Asthma</t>
        </is>
      </c>
      <c r="C2385" t="inlineStr">
        <is>
          <t>Does anyone have any idea what would cause a tight chest when standing. I believe I’m 80-90 days in. I started a biologic treatment and that seems to work on the asthma I would get. Still I have a super tight chest that gets worse with activity. 
I’ve had two CT’s and 7 xrays that were all clear from week 3-11. I am at a loss. My O2 sat is normally 97+. 
What type of disease would cause sob and tight chest with no signs of damage to the lungs?</t>
        </is>
      </c>
      <c r="D2385" t="n">
        <v>1</v>
      </c>
      <c r="E2385" t="n">
        <v>4</v>
      </c>
      <c r="F2385">
        <f>HYPERLINK("https://www.reddit.com/r/COVID19positive/comments/hhs06e/sob_tight_chest_asthma/")</f>
        <v/>
      </c>
      <c r="G2385" t="inlineStr">
        <is>
          <t>2020-06-28 19:56:23</t>
        </is>
      </c>
      <c r="H2385" t="inlineStr">
        <is>
          <t>Presumed Positive - From Doctor</t>
        </is>
      </c>
    </row>
    <row r="2386">
      <c r="A2386" t="inlineStr">
        <is>
          <t>hhswry</t>
        </is>
      </c>
      <c r="B2386" t="inlineStr">
        <is>
          <t>This treatment protocol has significantly helped my friends, and people in the Russian internet sphere.</t>
        </is>
      </c>
      <c r="C2386" t="inlineStr">
        <is>
          <t>**Disclaimer: I am not a medical professional. I’m studying medicine, but I’m not a board-certified healthcare provider yet**.
There’s a treatment protocol written by a Russian healthcare clinic for the treatment of COVID-19, especially longer-term cases. 
I now have had seven acquaintances who had a moderate-severe bout of this illness, and this treatment protocol worked wonders for them. It’s making rounds on Russian Internet forums for COVID-19 patients as well, people say it’s helping them significantly. 
It was originally written in Russian but I did my best to translate it into English for you guys. I hope this helps someone. 
**COVID-19 Treatment Protocol**
Caution: Consult with your healthcare provider prior to starting this regimen, especially if you’ve had a history of kidney issues. 
THIS INFORMATION DOES NOT REPLACE YOUR HEALTHCARE PROVIDER. SEEK MEDICAL ATTENTION IF NEED BE. 
This treatment protocol **must** be followed with extreme discipline. You need to remember to take each dose every day. Missing even one dose can reduce the benefits.  
It’s broken down into three parts — supplementation, diet, and daily habits. 
**Part 1: Supplementation**
These are apparatuses that will help reduce the severity and duration of this illness. All of these can be bought online. Please purchase from a reputable source. Space these dosages apart throughout the day, don’t consume all at once.
1. Quercetin with Bromelain 
- Dosage: 800 mg of Quercetin, 2x daily. 200 mg of Bromelain, 2x daily with Quercetin. 
- Why: Zinc Ionophore, Protects Lung Tissue 
2. Zinc 
- Dosage: 50 mg 2x daily, take with Quercetin 
- Warning: discontinue use after three (3) weeks.
- Why: Deactivates viral RNA replication
3. NAC 
- Dosage: 600 mg 1x daily
- Why: Stimulates glutathione production, thins mucous, simulates antibody production
4. Liposomal Vitamin C
- Dosage: 2,000 mg, 5x daily
- Why: antiviral, protects epithelial tissue, prevents blood clots 
5. Magnesium 
- Dosage: 300 mg, 2x daily 
- Note: Can be any form, if glycinate, consume prior to bed.
- Why: Reduces severity of potential myocarditis and tachycardia. Reduces incidence of blood clots. 
6. Black Seed Oil
- Dosage: 1 teaspoon, 4x daily
- Why: Antiviral effect, helps fight any potential secondary infections, reduces inflammatory markers.
7. Chlorophyll 
- 30 standard drops, consume with water, 4x a day
- Why: Improves oxygen saturation
8. Turmeric 
- ONLY consume after the first two weeks of symptomatic illness. 
- 2,000 mg Turmeric / day 
- Why: Blood thinner
9. Vitamin B Complex
- Follow manufacturer’s dosage information 
- Ensure you consume at least 500mcg of Vitamin B12
10. Melatonin 
- 0.3mg first dose, progressively increase to 5mg per night 
- Take prior to sleep
11. Grape Seed Extract
- Follow manufacturer’s dosage information 
12. Vitamin D3 and Vitamin K2
- 4000 ui of D3 per day, consume with 75mcg of vitamin k2
- Why: reduces potential for cytokine storm.
Optional: Ivermectin 
- 150-200 ug/kg (single dose)
Optional: ASA
- 81/325/mg/day
Optional: Famotidine 
- 20-40mg/day
Discontinue use of these supplements after 30 days since beginning the regimen, except for Vitamin D and Vitamin C which you can continue taking. Reduce Vitamin C dosage to 2000 mg / day (1 daily dose) after 30 days. 
**Part 2: Diet**
- AVOID ALL SUGARS. Cut all sugar out of diet. Avoid high fructose corn syrup especially. Do not exceed 5g of added refined sugars / day. Fruit are okay. 
- AVOID all dairy products. 
- DRINK LOTS OF WATER. Try to achieve 3L of water consumption per day with food and preferably electrolytes. 
**Part 3: Lifestyle**
- Sleep on your stomach
There was much more information but I translated what I could. I verified this in both Google translator and my own native knowledge of Russian (some medical terms I didn’t know the meaning to so I used Google translate). 
Stay strong.</t>
        </is>
      </c>
      <c r="D2386" t="n">
        <v>6</v>
      </c>
      <c r="E2386" t="n">
        <v>38</v>
      </c>
      <c r="F2386">
        <f>HYPERLINK("https://www.reddit.com/r/COVID19positive/comments/hhswry/this_treatment_protocol_has_significantly_helped/")</f>
        <v/>
      </c>
      <c r="G2386" t="inlineStr">
        <is>
          <t>2020-06-28 21:00:40</t>
        </is>
      </c>
      <c r="H2386" t="inlineStr">
        <is>
          <t>Tested Positive - Friends</t>
        </is>
      </c>
    </row>
    <row r="2387">
      <c r="A2387" t="inlineStr">
        <is>
          <t>hht13p</t>
        </is>
      </c>
      <c r="B2387" t="inlineStr">
        <is>
          <t>I tested positive for COVID-19 today.</t>
        </is>
      </c>
      <c r="C2387" t="inlineStr">
        <is>
          <t>I’m (23F) and I just got my test results back stating that I tested positive for coronavirus. Can anyone who has had a mild case give me some insight on their symptoms? The only symptom that prompted me to go get tested was that two days ago I lost my ability to smell completely. I can still taste just fine and I have had zero other symptoms. I don’t know what to expect going forward as currently I feel perfectly healthy other than the not being able to smell issue.</t>
        </is>
      </c>
      <c r="D2387" t="n">
        <v>2</v>
      </c>
      <c r="E2387" t="n">
        <v>15</v>
      </c>
      <c r="F2387">
        <f>HYPERLINK("https://www.reddit.com/r/COVID19positive/comments/hht13p/i_tested_positive_for_covid19_today/")</f>
        <v/>
      </c>
      <c r="G2387" t="inlineStr">
        <is>
          <t>2020-06-28 21:09:43</t>
        </is>
      </c>
      <c r="H2387" t="inlineStr">
        <is>
          <t>Tested Positive - Me</t>
        </is>
      </c>
    </row>
    <row r="2388">
      <c r="A2388" t="inlineStr">
        <is>
          <t>hht2aa</t>
        </is>
      </c>
      <c r="B2388" t="inlineStr">
        <is>
          <t>READY TO GET OFF THIS ROLLER COASTER OF CONFUSION</t>
        </is>
      </c>
      <c r="C2388" t="inlineStr">
        <is>
          <t>Prior to this recent hospitalization I was seen at the ER in January. Early morning of the day WHO made the official announcement of Global Concern. 
I presented with SOB, heavy wheezing, pain in chest, fatigue, headache, and dizziness. I also had issues with a pathetic little cough that felt more like a  spasm, constant swallowing pain and a few nights prior I would have to keep a trash can by my bed to spit out what felt like buckets of fluid every few seconds. It was disgusting. It had gone on for weeks and prior to that episode I had been in for what the doctor thought was allergies. He gave me Loratidine and Prednisone. 
This other doctor immediately called in a prednisone injection and I declined because I hate the side effects. 
Instead I was given an immediate breathing treatment and sent home with an inhaler of Albuterol and Tessalon Pearls for my cough. The doctor thought I had developed adult asthma. Shortly thereafter I was issued a Nebulizer and scheduled for several Pulmonary function tests using a Spirometer. 
I’m now suddenly allergic to dairy but no reason why. We originally thought I had contracted a tick borne illness called Alpha-Gal but it came back negative. Dairy now causes me to produce a bunch of phlegm and when I lay down it’s hard to breathe and it sounds like angry cats in my throat. Despite the negative result I decided I enjoy breathing more than dairy so I gave it up. 
This went on for months until I ended up in the ER (VA Urgent Care).
My new imaging shows not only lesions of the brain but a pulmonary cyst in the lower left lobe with no risk factors, no effusion and no evidence of acute or active cardiovascular disease. 😯
Now I have low potassium, low blood sugar, and lymphadenopathy they can’t quite place why. The doctor said my body was manifesting an infection but not in the normal way. 
We are stumped 
My results still have not come back but maybe I should skip and go straight for the antibody test.</t>
        </is>
      </c>
      <c r="D2388" t="n">
        <v>1</v>
      </c>
      <c r="E2388" t="n">
        <v>16</v>
      </c>
      <c r="F2388">
        <f>HYPERLINK("https://www.reddit.com/r/COVID19positive/comments/hht2aa/ready_to_get_off_this_roller_coaster_of_confusion/")</f>
        <v/>
      </c>
      <c r="G2388" t="inlineStr">
        <is>
          <t>2020-06-28 21:12:12</t>
        </is>
      </c>
      <c r="H2388" t="inlineStr">
        <is>
          <t>Presumed Positive - From Doctor</t>
        </is>
      </c>
    </row>
    <row r="2389">
      <c r="A2389" t="inlineStr">
        <is>
          <t>hht8n3</t>
        </is>
      </c>
      <c r="B2389" t="inlineStr">
        <is>
          <t>Day 14 since first symptom</t>
        </is>
      </c>
      <c r="C2389" t="inlineStr">
        <is>
          <t>I know the evidence is scarce and from what I’ve found, I am likely to not be very contagious(if at all) at this point. But did any of you test positive and then keep testing until negative? If so, how long did it take to finally get that negative. Hoping I hear something that makes me more optimistic!!!
Fiancé (she managed to avoid it miraculously) is 37 weeks pregnant and I am horrified that I won’t be able to be near my baby because I am still “positive”. 
Had my first symptom 14 days ago and pretty much all gone for about 6 days now..  just strange nasal feeling is still persistent but less noticeable.</t>
        </is>
      </c>
      <c r="D2389" t="n">
        <v>2</v>
      </c>
      <c r="E2389" t="n">
        <v>4</v>
      </c>
      <c r="F2389">
        <f>HYPERLINK("https://www.reddit.com/r/COVID19positive/comments/hht8n3/day_14_since_first_symptom/")</f>
        <v/>
      </c>
      <c r="G2389" t="inlineStr">
        <is>
          <t>2020-06-28 21:25:27</t>
        </is>
      </c>
      <c r="H2389" t="inlineStr">
        <is>
          <t>Tested Positive - Me</t>
        </is>
      </c>
    </row>
    <row r="2390">
      <c r="A2390" t="inlineStr">
        <is>
          <t>hht98b</t>
        </is>
      </c>
      <c r="B2390" t="inlineStr">
        <is>
          <t>I think this is a positive test result. Can someone smarter than me verify my assumption?</t>
        </is>
      </c>
      <c r="C2390" t="inlineStr">
        <is>
          <t>My daughter's test results show the following.
SARS CoV-2 RNA (COVID-19) Qualitative NAAT
Value Detected
Standard Range Not Detected
This is a positive result correct?
Can someone please verify my assumption?
Thanks!</t>
        </is>
      </c>
      <c r="D2390" t="n">
        <v>1</v>
      </c>
      <c r="E2390" t="n">
        <v>11</v>
      </c>
      <c r="F2390">
        <f>HYPERLINK("https://www.reddit.com/r/COVID19positive/comments/hht98b/i_think_this_is_a_positive_test_result_can/")</f>
        <v/>
      </c>
      <c r="G2390" t="inlineStr">
        <is>
          <t>2020-06-28 21:26:40</t>
        </is>
      </c>
      <c r="H2390" t="inlineStr">
        <is>
          <t>Presumed Positive - From Test</t>
        </is>
      </c>
    </row>
    <row r="2391">
      <c r="A2391" t="inlineStr">
        <is>
          <t>hhtqid</t>
        </is>
      </c>
      <c r="B2391" t="inlineStr">
        <is>
          <t>The anti-malarial herb Artemisia Annua has a potential to be the cure for Covid-19, according to first findings of German scientists studies</t>
        </is>
      </c>
      <c r="C2391" t="inlineStr">
        <is>
          <t>First I have heard of Artemisia Annua in the news report of Madagascar president claiming it to be the cure for Covid back in April. This herb is usually used for treatment of Malaria in African and Asian countries. The WHO and the scientists discouraged the use of such unproven treatment against covid since it might promote the malaria resistance.
However, Madagascar president was promoting it, making tonics out of it and supplying the neighboring countries as well. Ever since I’ve read about it, I started looking into it and read  that in April scientists in Germany initiated a study to see if there is any effect of artemisia on Sars-Cov-2.
The first findings came out a few days ago and claim that artemisia is effective:
“Recent lab studies by chemists at the Max Planck Institute of Colloids and Interfaces (Potsdam, Germany) in close collaboration with virologists at Freie Universität Berlin have shown that extract from the medicinal plant Artemisia annua, also known as Sweet Wormwood, is active against SARS-CoV-2”
The study is currently being peer-reviewed.</t>
        </is>
      </c>
      <c r="D2391" t="n">
        <v>1</v>
      </c>
      <c r="E2391" t="n">
        <v>20</v>
      </c>
      <c r="F2391">
        <f>HYPERLINK("https://www.reddit.com/r/COVID19positive/comments/hhtqid/the_antimalarial_herb_artemisia_annua_has_a/")</f>
        <v/>
      </c>
      <c r="G2391" t="inlineStr">
        <is>
          <t>2020-06-28 22:03:14</t>
        </is>
      </c>
      <c r="H2391" t="inlineStr">
        <is>
          <t>Presumed Positive - From Doctor</t>
        </is>
      </c>
    </row>
    <row r="2392">
      <c r="A2392" t="inlineStr">
        <is>
          <t>hhubqb</t>
        </is>
      </c>
      <c r="B2392" t="inlineStr">
        <is>
          <t>Weird passive smells as your sense returns?</t>
        </is>
      </c>
      <c r="C2392" t="inlineStr">
        <is>
          <t>So June 14th I started with (what I later found out was covid) symptoms, and June 18th I tested positive. The next two days I could smell, then all of a sudden it was gone. 
Well fast forward to now, and my sense is barely returned, ut it is progress. If I deeply huff strongly scented things, I get a whisper of a smell. 
My main post is anyone else getting weird passive smells? Two days ago it was burnt hair just stuck in my nose. Now it is dirty bird bedding (I dont own a bird, but know the smell from working at a petstore last year). 
I cant be the only one recovering and having this happen.</t>
        </is>
      </c>
      <c r="D2392" t="n">
        <v>1</v>
      </c>
      <c r="E2392" t="n">
        <v>3</v>
      </c>
      <c r="F2392">
        <f>HYPERLINK("https://www.reddit.com/r/COVID19positive/comments/hhubqb/weird_passive_smells_as_your_sense_returns/")</f>
        <v/>
      </c>
      <c r="G2392" t="inlineStr">
        <is>
          <t>2020-06-28 22:50:55</t>
        </is>
      </c>
      <c r="H2392" t="inlineStr">
        <is>
          <t>Tested Positive - Me</t>
        </is>
      </c>
    </row>
    <row r="2393">
      <c r="A2393" t="inlineStr">
        <is>
          <t>hhutrc</t>
        </is>
      </c>
      <c r="B2393" t="inlineStr">
        <is>
          <t>Sharing symptoms/When would it be a good time to get tested?</t>
        </is>
      </c>
      <c r="C2393" t="inlineStr">
        <is>
          <t>Hello everyone! I am a 21F who tested positive on June 24th with no underlying conditions. I've had symptoms up to this day which is day 10. 
Day 1: Massive headache which was weird for me because I never get headaches.
Day 2:  Feeling very lethargic, no appetite and feeling very weak in general
Day 3-6: Loss of smell and taste, lethargic, hypersensitive to light and sounds (only 2 days)
Day 7-9: No sense of smell or taste, hot flashes, starting to have chest in pressure and feels like there is something in my throat when inhaling. Hypersensitivity is gone and no more body weakness.
Day 10: Chest pressure and feeling in throat is still there and I randomly got like a hot flash.
I still have 4 more days to go until I hit the 14 day mark. I want to go get tested ASAP because this quarantine is seriously affecting my mental health. I was thinking of going right on the 14th day mark to get the antibody test or should I wait an extra day?</t>
        </is>
      </c>
      <c r="D2393" t="n">
        <v>1</v>
      </c>
      <c r="E2393" t="n">
        <v>6</v>
      </c>
      <c r="F2393">
        <f>HYPERLINK("https://www.reddit.com/r/COVID19positive/comments/hhutrc/sharing_symptomswhen_would_it_be_a_good_time_to/")</f>
        <v/>
      </c>
      <c r="G2393" t="inlineStr">
        <is>
          <t>2020-06-28 23:32:44</t>
        </is>
      </c>
      <c r="H2393" t="inlineStr">
        <is>
          <t>Tested Positive - Me</t>
        </is>
      </c>
    </row>
    <row r="2394">
      <c r="A2394" t="inlineStr">
        <is>
          <t>hhuvfa</t>
        </is>
      </c>
      <c r="B2394" t="inlineStr">
        <is>
          <t>whole household is infected but got symptoms on different days, what do we do?</t>
        </is>
      </c>
      <c r="C2394" t="inlineStr">
        <is>
          <t>Hello! My family and I all tested positive and we are all staying in the same household. My brother got his first day of symptoms on June 15th, I started on June 18th and my mother on June 19th. I have told my family that when the 14th day mark hits we should separate for a bit. I suggested my brother goes and stays at his apartment until we all hit the 14th day mark and then completely sanitize the house. I would also be staying out of the house for a day until my mom finishes her days. The reason for this, of course, is so we do not get infected all over again. Are these good ideas? What would you guys do?</t>
        </is>
      </c>
      <c r="D2394" t="n">
        <v>1</v>
      </c>
      <c r="E2394" t="n">
        <v>4</v>
      </c>
      <c r="F2394">
        <f>HYPERLINK("https://www.reddit.com/r/COVID19positive/comments/hhuvfa/whole_household_is_infected_but_got_symptoms_on/")</f>
        <v/>
      </c>
      <c r="G2394" t="inlineStr">
        <is>
          <t>2020-06-28 23:36:47</t>
        </is>
      </c>
      <c r="H2394" t="inlineStr">
        <is>
          <t>Tested Positive - Family</t>
        </is>
      </c>
    </row>
    <row r="2395">
      <c r="A2395" t="inlineStr">
        <is>
          <t>hhva0c</t>
        </is>
      </c>
      <c r="B2395" t="inlineStr">
        <is>
          <t>Anxiety and Fear</t>
        </is>
      </c>
      <c r="C2395" t="inlineStr">
        <is>
          <t>I’m struggling with anxiety and fear after getting Covid-19. I started showing symptoms on  June 2nd and felt terrible for about 2 days (fever just below 102, body weakness, stomach discomfort, chills, headache and dry cough) but never really had difficultly breathing. I got my test results after the terrible days and it was positive and my symptoms subsided but my anxiety skyrocketed. After a few days I started to feel normal again no fever no problems however over the last few days I feel my stomach discomfort coming back and my chest feels pressure and I’m coughing ever so often. I like to run and I tried to run this last Thursday and it didn’t feel great but figured it could be because i hadn’t ran in close to a month. My wife also got the virus and she’s pretty much back to normal other than loss of taste and smell. I’m just concerned that my anxiety may be mimicking my symptoms and causing things to get worse but at the same point in time I’m very worried that I’m getting sick again and it could be worse this time. I’m stressing out a lot and struggling to get sleep and that’s probably not helping out either. Any advice or tips on how to fight this anxiety would be greatly appreciated.</t>
        </is>
      </c>
      <c r="D2395" t="n">
        <v>1</v>
      </c>
      <c r="E2395" t="n">
        <v>8</v>
      </c>
      <c r="F2395">
        <f>HYPERLINK("https://www.reddit.com/r/COVID19positive/comments/hhva0c/anxiety_and_fear/")</f>
        <v/>
      </c>
      <c r="G2395" t="inlineStr">
        <is>
          <t>2020-06-29 00:11:45</t>
        </is>
      </c>
      <c r="H2395" t="inlineStr">
        <is>
          <t>Tested Positive - Me</t>
        </is>
      </c>
    </row>
    <row r="2396">
      <c r="A2396" t="inlineStr">
        <is>
          <t>hhwdju</t>
        </is>
      </c>
      <c r="B2396" t="inlineStr">
        <is>
          <t>A message of hope to those newly infected</t>
        </is>
      </c>
      <c r="C2396" t="inlineStr">
        <is>
          <t>I’m seeing a lot of new people on this sub who are just now testing positive, so I thought I’d weigh in. 34m and very fit before the apocalypse started. 
There was a time about a month in on this illness that I was seriously concerned that this might kill me. 
I’m now 110 days science first symptoms and I am probably back to 90%.  And I assume I will make a full recovery. 
The illness comes in waves. You will have periods where you feel better, and periods where you will feel worse. 
Resting and eating helps the most. 
Get a pulse Oximeter. It really helps with peace of mind. 
I kept trying to work out after each wave. Don’t do that. I didn’t really improve until I stopped intense (relative term) workouts. 
My whole family got infected through an aunt and everyone improved, even my 77 year old uncle who doctors told us would die. (He was put on hospice. Made a full recovery)
There is hope. Stay positive!!</t>
        </is>
      </c>
      <c r="D2396" t="n">
        <v>1</v>
      </c>
      <c r="E2396" t="n">
        <v>36</v>
      </c>
      <c r="F2396">
        <f>HYPERLINK("https://www.reddit.com/r/COVID19positive/comments/hhwdju/a_message_of_hope_to_those_newly_infected/")</f>
        <v/>
      </c>
      <c r="G2396" t="inlineStr">
        <is>
          <t>2020-06-29 01:51:38</t>
        </is>
      </c>
      <c r="H2396" t="inlineStr">
        <is>
          <t>Tested Positive - Me</t>
        </is>
      </c>
    </row>
    <row r="2397">
      <c r="A2397" t="inlineStr">
        <is>
          <t>hhwwwc</t>
        </is>
      </c>
      <c r="B2397" t="inlineStr">
        <is>
          <t>I've got the coof.</t>
        </is>
      </c>
      <c r="C2397" t="inlineStr">
        <is>
          <t>Just gotta ride it out. I've got the whole house to myself.</t>
        </is>
      </c>
      <c r="D2397" t="n">
        <v>1</v>
      </c>
      <c r="E2397" t="n">
        <v>4</v>
      </c>
      <c r="F2397">
        <f>HYPERLINK("https://www.reddit.com/r/COVID19positive/comments/hhwwwc/ive_got_the_coof/")</f>
        <v/>
      </c>
      <c r="G2397" t="inlineStr">
        <is>
          <t>2020-06-29 02:39:41</t>
        </is>
      </c>
      <c r="H2397" t="inlineStr">
        <is>
          <t>Tested Positive - Me</t>
        </is>
      </c>
    </row>
    <row r="2398">
      <c r="A2398" t="inlineStr">
        <is>
          <t>hhx4es</t>
        </is>
      </c>
      <c r="B2398" t="inlineStr">
        <is>
          <t>Day 13: A little bit of happiness</t>
        </is>
      </c>
      <c r="C2398" t="inlineStr">
        <is>
          <t>SOME OF MY SMELL TEMPORARILY CAME BACK....then it left. It was a small glimmer of hope and happiness. My mother made popcorn earlier, and I briefly smelled how she had burnt it. Before I could notice it myself, I asked her "what's that smell". She's the one who pointed out that I asked about the smell. It lasted for about a minute before it went away. 
It's been coming and going for the last couple of days but never this strong. I experienced a total loss of smell and taste on Day 4. Still can't really taste flavors, only can tell if something is sweet or sour.</t>
        </is>
      </c>
      <c r="D2398" t="n">
        <v>1</v>
      </c>
      <c r="E2398" t="n">
        <v>3</v>
      </c>
      <c r="F2398">
        <f>HYPERLINK("https://www.reddit.com/r/COVID19positive/comments/hhx4es/day_13_a_little_bit_of_happiness/")</f>
        <v/>
      </c>
      <c r="G2398" t="inlineStr">
        <is>
          <t>2020-06-29 02:59:21</t>
        </is>
      </c>
      <c r="H2398" t="inlineStr">
        <is>
          <t>Tested Positive - Me</t>
        </is>
      </c>
    </row>
    <row r="2399">
      <c r="A2399" t="inlineStr">
        <is>
          <t>hhzmas</t>
        </is>
      </c>
      <c r="B2399" t="inlineStr">
        <is>
          <t>Day 40 something I'm losing track of the days</t>
        </is>
      </c>
      <c r="C2399" t="inlineStr">
        <is>
          <t>Its day 40 something  I'm honestly losing track  but I'm getting  the symptoms  again throat  pain when I I swallow  feels like tonsil are swollen chest was burning (middle towards the right)  then my back hurts  now I'm worried and panicking if I got reinfected  dry cough is there I might cough a few times in a day (in the past 3 days) then it goes away my body aches on and off</t>
        </is>
      </c>
      <c r="D2399" t="n">
        <v>1</v>
      </c>
      <c r="E2399" t="n">
        <v>2</v>
      </c>
      <c r="F2399">
        <f>HYPERLINK("https://www.reddit.com/r/COVID19positive/comments/hhzmas/day_40_something_im_losing_track_of_the_days/")</f>
        <v/>
      </c>
      <c r="G2399" t="inlineStr">
        <is>
          <t>2020-06-29 06:13:36</t>
        </is>
      </c>
      <c r="H2399" t="inlineStr">
        <is>
          <t>Tested Positive - Me</t>
        </is>
      </c>
    </row>
    <row r="2400">
      <c r="A2400" t="inlineStr">
        <is>
          <t>hi0a1w</t>
        </is>
      </c>
      <c r="B2400" t="inlineStr">
        <is>
          <t>I tested postive - here is a schedule of my symptoms</t>
        </is>
      </c>
      <c r="C2400" t="inlineStr">
        <is>
          <t>For whatever its worth, I documented my symptoms since the onset and thought i would share with the community. So far my symptoms have been mild, and I have not had any fever:
&amp;amp;#x200B;
* **Day 1 - Monday** \- Woke up feeling a bit of fatigue. As the day went on, I had a light dry cough.
* **Day 2 - Tuesday** \- Still minor fatigue. Started feeling like I had some sort of sickness (that feeling in your throat, hot breath, etc.). Knew something was off. Still had a light dry cough. I was driving Tuesday night and started getting anxious/shortness of breathe, but looking back I'm pretty sure this was more mental and me being nervous and having a panic attack of some sort.
* **Day 3 - Wednesday** \- Light fatigue, dry cough, my lymph nodes in my neck swelled up a little. I decided to get a COVID test.
* **Day 4 - Thursday** \- This was the worst day so far, it was fatigue throughout the day and still a light dry cough.
* **Day 5 - Friday** \- COVID test results came back positive. Told to isolate 10 days from beginning of symptoms onset. On this day i completely lost my sense of taste and smell. Besides that just some light fatigue.
* **Day 6 - Saturday** \- Light fatigue, just kind of sat around and read all day but that's because i am isolating, i think if i had walked around the park or something i would have felt more energetic. Smell and tase still gone. Tried taking a huge deep breath to test my lungs which caused minor discomfort.
* **Day 7 - Sunday** \- Light fatigue. Did a light workout in my home, I would say my strength was where it always was but my endurance was at 80%. Taste is coming back a little, smell still gone.
* **Day 8 - Today** \- Feel fine, going to try another light workout later. Taste is pretty much back but i can't smell anything which is weird.
Happy to answer any questions. Thanks!</t>
        </is>
      </c>
      <c r="D2400" t="n">
        <v>1</v>
      </c>
      <c r="E2400" t="n">
        <v>45</v>
      </c>
      <c r="F2400">
        <f>HYPERLINK("https://www.reddit.com/r/COVID19positive/comments/hi0a1w/i_tested_postive_here_is_a_schedule_of_my_symptoms/")</f>
        <v/>
      </c>
      <c r="G2400" t="inlineStr">
        <is>
          <t>2020-06-29 06:55:52</t>
        </is>
      </c>
      <c r="H2400" t="inlineStr">
        <is>
          <t>Tested Positive - Me</t>
        </is>
      </c>
    </row>
    <row r="2401">
      <c r="A2401" t="inlineStr">
        <is>
          <t>hi0kde</t>
        </is>
      </c>
      <c r="B2401" t="inlineStr">
        <is>
          <t>Day 90 - Update on lungs, exercise and overall health (27M, 125lb)</t>
        </is>
      </c>
      <c r="C2401" t="inlineStr">
        <is>
          <t>Hey guys, just posting my story incase it may help others out there. I am 90 days out from my fever and doing much better. It's been.. quite a ride and I wanted to share my story with this subreddit.
I'm a generally health 27 year old male. I regularly exercise and am a marathon runner. I have healthy diet and take good care. Nonetheless this virus rocked me for a couple months.
On day 1, I woke up with a 101.1 fever, aches, chills, and this immediate overwhelming feeling that something was wrong. I've been sick many times before, but I was having nightmares of having a fever and illness and when I woke up I just knew something was wrong. I was sick, but more than just "sick". It was a hard feeling to explain, however I knew it was COVID-19.
I called my local health network and unfortunately at this time they had almost zero tests available and instructed me to stay home, and that I would only be tested if I was hospitalized. This sucked. My co-worker who I believe gave it to me was instructed to do the same but her grandfather who lives with her was hospitalized and tested positive. My roommates girlfriend also worked in a hospital as a nurse and could have also brought it home. Both her and my roommate showed very mild symptoms. Anyway, my doctor has categorized me as an assumed positive and I have an antibody test I will take next week.
For days 1-3 I experienced extreme body aches, like it felt like my muscles were all tensing up and straining. On day 1 I slept for almost 20 hours, which actually helped a lot. I was feverish and felt just general malaise. On day 3 I started feeling this burning sensation in my lungs and it kept me up all night. I was sleeping in 30 minute segments. It was terrible. On day 4 I actually started to feel much better and these immediate symptoms started to subside. On day 5 I completely lost my test and smell, and this lasted for almost 2 weeks.
On day 14 I tried to go on a light jog again as I felt much better. About 5 minutes into my run, something felt very wrong. I could not get a breath in and my chest felt very tight and I started feeling extremely short of breath and my face and hands felt like they were going numb. I immediately stopped and walked home. I was very scared. This feeling lasted for about 2 hours but then went away. I almost called an ambulance.
I stopped exercise for another 2 weeks. I called my doctor and I was given an inhaler to help my lungs heal. I didn't start running again. until about 45 days post symptoms. When I did start again, it felt as if I was short of breath the whole time.. could not get a deep breath, had to run very slow and for very short periods of time. If I felt uncomfortable at any point I would just stop.
Between days 45-90 this slowly went away. It took a lot of time, but it did get better. I still feel little discomfort here and there, but I seem to be back to full lung capacity now. I ran 32 miles this week and was able to reach speeds I was at pre-infection. I am still going to take it slow, take some time off next week, but I do feel good again.
Basically, give your body time. Stop drinking, stop eating unhealthy, and do everything you can to help yourself heal. I have been trying to practice meditation regularly and the breathing exercises have helped a lot. Hang in there everyone, and take good care. We will get over this virus and we will (hopefully) move on as a species. The symptoms were scary at times, especially for someone like me who has experienced almost zero breathing-related issues in their lifetime, but just take care and stay strong.</t>
        </is>
      </c>
      <c r="D2401" t="n">
        <v>1</v>
      </c>
      <c r="E2401" t="n">
        <v>9</v>
      </c>
      <c r="F2401">
        <f>HYPERLINK("https://www.reddit.com/r/COVID19positive/comments/hi0kde/day_90_update_on_lungs_exercise_and_overall/")</f>
        <v/>
      </c>
      <c r="G2401" t="inlineStr">
        <is>
          <t>2020-06-29 07:12:24</t>
        </is>
      </c>
      <c r="H2401" t="inlineStr">
        <is>
          <t>Presumed Positive - From Doctor</t>
        </is>
      </c>
    </row>
    <row r="2402">
      <c r="A2402" t="inlineStr">
        <is>
          <t>hi2hu0</t>
        </is>
      </c>
      <c r="B2402" t="inlineStr">
        <is>
          <t>My sister might have covid-19, is it too late for me to leave?</t>
        </is>
      </c>
      <c r="C2402" t="inlineStr">
        <is>
          <t>I have been staying almost all tge time at home since this pandemic started, however my sister ignored quarantine and was going out quite a bit lately. Since yesterday she has been having this dry cough. Her son had vomiting and fever couple days ago but it seemed more like food poisoning, now he is fine. What do I do now? I don't have any symptoms for now. Is too late for me to leave and live somewhere else?</t>
        </is>
      </c>
      <c r="D2402" t="n">
        <v>1</v>
      </c>
      <c r="E2402" t="n">
        <v>4</v>
      </c>
      <c r="F2402">
        <f>HYPERLINK("https://www.reddit.com/r/COVID19positive/comments/hi2hu0/my_sister_might_have_covid19_is_it_too_late_for/")</f>
        <v/>
      </c>
      <c r="G2402" t="inlineStr">
        <is>
          <t>2020-06-29 08:59:38</t>
        </is>
      </c>
      <c r="H2402" t="inlineStr">
        <is>
          <t>Tested Positive - Friends</t>
        </is>
      </c>
    </row>
    <row r="2403">
      <c r="A2403" t="inlineStr">
        <is>
          <t>hi2s8l</t>
        </is>
      </c>
      <c r="B2403" t="inlineStr">
        <is>
          <t>Am I still contagious?</t>
        </is>
      </c>
      <c r="C2403" t="inlineStr">
        <is>
          <t>I’m on day 15 of symptoms. I never had a cough or fever. I went to get tested today just to see and the results were negative. I have had diarrhea once a day for the past 3-4 days. Am I still contagious because if the diarrhea or no? I have a daughter with asthma and I’m paranoid of getting her sick.</t>
        </is>
      </c>
      <c r="D2403" t="n">
        <v>1</v>
      </c>
      <c r="E2403" t="n">
        <v>13</v>
      </c>
      <c r="F2403">
        <f>HYPERLINK("https://www.reddit.com/r/COVID19positive/comments/hi2s8l/am_i_still_contagious/")</f>
        <v/>
      </c>
      <c r="G2403" t="inlineStr">
        <is>
          <t>2020-06-29 09:14:41</t>
        </is>
      </c>
      <c r="H2403" t="inlineStr">
        <is>
          <t>Tested Positive - Me</t>
        </is>
      </c>
    </row>
    <row r="2404">
      <c r="A2404" t="inlineStr">
        <is>
          <t>hi33ik</t>
        </is>
      </c>
      <c r="B2404" t="inlineStr">
        <is>
          <t>Cough developed on Day 11?</t>
        </is>
      </c>
      <c r="C2404" t="inlineStr">
        <is>
          <t>I was exposed to someone with Covid about 2.5weeks ago. Started developing symptoms 12 days ago on a Wednesday. Other people I was with got tested and was positive. 
I started feeling fatigued on (day 1) Wednesday. And got worse over the weekend. No cough. Just headache, fatigue and felt pretty weak cardio wise. Like if I were to go for a long walk I would feel a bit gassed. 
It was pretty much like that up until day 10-11 and fatigue and headache is gone but now I have a dry cough. It feels like a scratch on the bottom of my throat and causes me to cough and it’s just dry. Feels like I need to cough up mucus but nothing comes up unless I take a hot shower. 
So my only symptom is cough and a bit of anxiousness. No more fatigue. I have one of those pulse oximeter and everything is normal. 98+ and BPM is 60-80 throughout the day.
I was tested negative. I got my test on day 3 and came back a week later negative. Which was strange and I don’t believe it to be true, it was a self swab. Plus I know a lot of people who have it now.
My main question is, since this cough appeared is that a bad sign or a good sign? Other than the cough I feel fine except anxiety.</t>
        </is>
      </c>
      <c r="D2404" t="n">
        <v>2</v>
      </c>
      <c r="E2404" t="n">
        <v>9</v>
      </c>
      <c r="F2404">
        <f>HYPERLINK("https://www.reddit.com/r/COVID19positive/comments/hi33ik/cough_developed_on_day_11/")</f>
        <v/>
      </c>
      <c r="G2404" t="inlineStr">
        <is>
          <t>2020-06-29 09:30:53</t>
        </is>
      </c>
      <c r="H2404" t="inlineStr">
        <is>
          <t>Presumed Positive - From Test</t>
        </is>
      </c>
    </row>
    <row r="2405">
      <c r="A2405" t="inlineStr">
        <is>
          <t>hi4kwy</t>
        </is>
      </c>
      <c r="B2405" t="inlineStr">
        <is>
          <t>Negative: But presumed positive (per January symptoms) looking into antibody test because none of this makes sense</t>
        </is>
      </c>
      <c r="C2405" t="inlineStr">
        <is>
          <t>Doctor just called and is completely stumped. Had me stop my antibiotics because they were making me sick so switching me to another. 
Doing more labs. We figured the test would be negative because I didn’t have the symptoms last week but in January I definitely did. 
A D-Dimer was actually done on the 26th and came back within range so yay 🤷🏻‍♀️</t>
        </is>
      </c>
      <c r="D2405" t="n">
        <v>1</v>
      </c>
      <c r="E2405" t="n">
        <v>1</v>
      </c>
      <c r="F2405">
        <f>HYPERLINK("https://www.reddit.com/r/COVID19positive/comments/hi4kwy/negative_but_presumed_positive_per_january/")</f>
        <v/>
      </c>
      <c r="G2405" t="inlineStr">
        <is>
          <t>2020-06-29 10:43:02</t>
        </is>
      </c>
      <c r="H2405" t="inlineStr">
        <is>
          <t>Presumed Positive - From Doctor</t>
        </is>
      </c>
    </row>
    <row r="2406">
      <c r="A2406" t="inlineStr">
        <is>
          <t>hi6a66</t>
        </is>
      </c>
      <c r="B2406" t="inlineStr">
        <is>
          <t>A lot of people didn’t like getting tested for Covid</t>
        </is>
      </c>
      <c r="C2406" t="inlineStr">
        <is>
          <t>But I saw my test as a huge plus. 
Because I tested positive, hello everyone.</t>
        </is>
      </c>
      <c r="D2406" t="n">
        <v>3</v>
      </c>
      <c r="E2406" t="n">
        <v>14</v>
      </c>
      <c r="F2406">
        <f>HYPERLINK("https://www.reddit.com/r/COVID19positive/comments/hi6a66/a_lot_of_people_didnt_like_getting_tested_for/")</f>
        <v/>
      </c>
      <c r="G2406" t="inlineStr">
        <is>
          <t>2020-06-29 12:04:28</t>
        </is>
      </c>
      <c r="H2406" t="inlineStr">
        <is>
          <t>Tested Positive - Me</t>
        </is>
      </c>
    </row>
    <row r="2407">
      <c r="A2407" t="inlineStr">
        <is>
          <t>hi6lmp</t>
        </is>
      </c>
      <c r="B2407" t="inlineStr">
        <is>
          <t>Okay to come out?</t>
        </is>
      </c>
      <c r="C2407" t="inlineStr">
        <is>
          <t>When is it okay for me to come out and run some errands? I’ve been experiencing symptoms since last Monday and Wednesday I had to stay in bed because I couldn’t handle it. My symptoms the past 4 days include super low grade fever, dry cough, sense of smell comes and goes, little winded, and dizzynesss. I have my test this Wednesday but I feel almost fine now. Would I still be considered contagious ? I called off work this past week already too</t>
        </is>
      </c>
      <c r="D2407" t="n">
        <v>1</v>
      </c>
      <c r="E2407" t="n">
        <v>8</v>
      </c>
      <c r="F2407">
        <f>HYPERLINK("https://www.reddit.com/r/COVID19positive/comments/hi6lmp/okay_to_come_out/")</f>
        <v/>
      </c>
      <c r="G2407" t="inlineStr">
        <is>
          <t>2020-06-29 12:19:49</t>
        </is>
      </c>
      <c r="H2407" t="inlineStr">
        <is>
          <t>Presumed Positive - From Test</t>
        </is>
      </c>
    </row>
    <row r="2408">
      <c r="A2408" t="inlineStr">
        <is>
          <t>hi74hp</t>
        </is>
      </c>
      <c r="B2408" t="inlineStr">
        <is>
          <t>Just got tested after a very uncomfortable night</t>
        </is>
      </c>
      <c r="C2408" t="inlineStr">
        <is>
          <t>Last night, out of nowhere, I woke up with shortness of breath and tightness in my chest. I felt weak and I felt disoriented. I walked out of the house for some fresh air and took my phone out to call 911. But then I held back and thought I’d stick it out for a few. 
Wet back to my room and tossed and turned all night. I left a message for my doctor and by morning he had responded saying I should go to the hospital drive thru testing.  
I went for the test and have also developed fever. Highest so far has been 100.3.</t>
        </is>
      </c>
      <c r="D2408" t="n">
        <v>1</v>
      </c>
      <c r="E2408" t="n">
        <v>1</v>
      </c>
      <c r="F2408">
        <f>HYPERLINK("https://www.reddit.com/r/COVID19positive/comments/hi74hp/just_got_tested_after_a_very_uncomfortable_night/")</f>
        <v/>
      </c>
      <c r="G2408" t="inlineStr">
        <is>
          <t>2020-06-29 12:45:05</t>
        </is>
      </c>
      <c r="H2408" t="inlineStr">
        <is>
          <t>Presumed Positive - From Test</t>
        </is>
      </c>
    </row>
    <row r="2409">
      <c r="A2409" t="inlineStr">
        <is>
          <t>hi75ku</t>
        </is>
      </c>
      <c r="B2409" t="inlineStr">
        <is>
          <t>There's a chance I/family got infected</t>
        </is>
      </c>
      <c r="C2409" t="inlineStr">
        <is>
          <t>Let me explain: my mom discovered after going to work that her friend was in contact with someone infected, her friend is testing currently and if she's positive, we are in trouble...
Before knowing this we went to a meeting with our big family...
My brother&amp;amp;sister are now scared that we infected some people before we got notified by this. If she gets positive for Covid-19 There's a chance they got infected as well as my grandpa who visited us yesterday (he's one floor above us). Actually I'm more scared for my mother because she's in a risk (diabetes, hypertension and hypercholesterollemia).
But too be honest, I feel like if her friend was telling her about the contact earlier we would be less scared now for infecting innocents, I know going to the meeting was also dangerous but still...
I'll give an update when my mom's friend will get her results, it's most likely gonna happen tommorow...</t>
        </is>
      </c>
      <c r="D2409" t="n">
        <v>1</v>
      </c>
      <c r="E2409" t="n">
        <v>1</v>
      </c>
      <c r="F2409">
        <f>HYPERLINK("https://www.reddit.com/r/COVID19positive/comments/hi75ku/theres_a_chance_ifamily_got_infected/")</f>
        <v/>
      </c>
      <c r="G2409" t="inlineStr">
        <is>
          <t>2020-06-29 12:46:30</t>
        </is>
      </c>
      <c r="H2409" t="inlineStr">
        <is>
          <t>Tested Positive</t>
        </is>
      </c>
    </row>
    <row r="2410">
      <c r="A2410" t="inlineStr">
        <is>
          <t>hi7adg</t>
        </is>
      </c>
      <c r="B2410" t="inlineStr">
        <is>
          <t>No childcare for quarantine</t>
        </is>
      </c>
      <c r="C2410" t="inlineStr">
        <is>
          <t>I know any single parent out there has had these concerns with everything going on with the corona virus. 
I just kind of need to vent some frustrations.
One night l let my two kids spend the night with their grandma who watches them while I work. This is a Very rare occurrence because she sees them often enough. The next morning I woke up with fever and body aches and felt horrible. I got tested later that day as I was presumed positive and the nature of my work puts me at risk of contracting it and others at great risk if they were to get it from me. 
Either way, my mom agreed to watch them until I got my test results back and if I was positive she said she’d watch them until my quarantine was over and I could get a negative test result. 
I feel horrible because I feel like this is such a burden on her. However with no dad in the picture and no other real support system- I have no other choice. On one hand I know that it’s likely they were exposed already from living with me, but it still seemed prudent to quarantine just in case they hadn’t. 
It’s day 5, no results back yet. Every day since the first day my mom has been making me feel like shit about this. She is sure to let me know what a burden she is being put under and has even said that once I get my results and my kids back she said she would be “Mia for a long time.” She calls for complain about my son daily, will ask 5 times a day when it’ll be over and if I got results back and to complain about what a handful they are. 
Being away from my kids and having this pending test hanging over my head has caused me to slip into a depression that I am desperately fighting against, but I keep seeing warning signs. Losing track of time, crying randomly frequently, insomnia, nausea/anxiety, lack of appetite, lack of desire to do anything. I’ve had to start talking night time cold medicine just to sleep. When I tell her I want them back ASAP and apologize and ask if there’s anything I can do or anything she needs she says it’s ok, but goes right back into guilting me. 
Today I had enough. When she asked me for the 3rd time today if I got my results and how much longer this will last, I told her I was going to get in my car and come get them. I don’t want to put my kids at risk but it feels like that’s what it’s coming down to. I got half way there before she told me not to get them before I got my test results, but what does she want from me?! 
I don’t want to be sick. I don’t want to be out of work or without my kids. I don’t want to burden her. I’m not over here maxing and relaxing and having vacation- I’m wringing my hands, trying to stay busy, trying to put mind over matter and ... idk. I’ve tried to talk to her and it goes nowhere.
I’m just tired of all of this and it is wearing me thin.</t>
        </is>
      </c>
      <c r="D2410" t="n">
        <v>1</v>
      </c>
      <c r="E2410" t="n">
        <v>8</v>
      </c>
      <c r="F2410">
        <f>HYPERLINK("https://www.reddit.com/r/COVID19positive/comments/hi7adg/no_childcare_for_quarantine/")</f>
        <v/>
      </c>
      <c r="G2410" t="inlineStr">
        <is>
          <t>2020-06-29 12:52:57</t>
        </is>
      </c>
      <c r="H2410" t="inlineStr">
        <is>
          <t>Presumed Positive - From Doctor</t>
        </is>
      </c>
    </row>
    <row r="2411">
      <c r="A2411" t="inlineStr">
        <is>
          <t>hi7vd3</t>
        </is>
      </c>
      <c r="B2411" t="inlineStr">
        <is>
          <t>Folks here with asthma: how are you doing? I’m right there with you! ♥️</t>
        </is>
      </c>
      <c r="C2411" t="inlineStr">
        <is>
          <t>I have asthma so I was particularly concerned about getting covid but here we are! I started feeling oddly exhausted last Monday night and by Tuesday morning I was down with fatigue, muscle pain, and a huge headache so I went to get tested and it came back positive on Friday. Oddly, I’ve had no fever this entire time.
For the following 3 days after that Tuesday, breathing sucked quite a bit but I got through it with an emergency inhaler every 4-6 hours (on care team’s advice). Breathing exercises also helped quite a bit. I’m currently on day 7 and feeling completely exhausted. I am breathing “okay-ish”, as if it were a particularly crappy allergy day in the middle of spring but it is not as bad as last week.
How are my fellow positive tests with asthma doing? I hope you’re hanging in there okay! Like my doc said, if it gets scary then get to the hospital! Much love to everyone and I hope we all recover as fast as we can. Take it easy and rest.</t>
        </is>
      </c>
      <c r="D2411" t="n">
        <v>5</v>
      </c>
      <c r="E2411" t="n">
        <v>30</v>
      </c>
      <c r="F2411">
        <f>HYPERLINK("https://www.reddit.com/r/COVID19positive/comments/hi7vd3/folks_here_with_asthma_how_are_you_doing_im_right/")</f>
        <v/>
      </c>
      <c r="G2411" t="inlineStr">
        <is>
          <t>2020-06-29 13:20:32</t>
        </is>
      </c>
      <c r="H2411" t="inlineStr">
        <is>
          <t>Tested Positive - Me</t>
        </is>
      </c>
    </row>
    <row r="2412">
      <c r="A2412" t="inlineStr">
        <is>
          <t>hi8efa</t>
        </is>
      </c>
      <c r="B2412" t="inlineStr">
        <is>
          <t>Low-grade fever for 100+ days</t>
        </is>
      </c>
      <c r="C2412" t="inlineStr">
        <is>
          <t>Anyone else? I wake up mostly OK, usually ending up in the mid to high 99s by the end of the day. Every single day. I also tested negative for antibodies and wondering if the two things are connected. Bloodwork is totally normal with no inflammatory markers. Tylenol and Advil do nothing.</t>
        </is>
      </c>
      <c r="D2412" t="n">
        <v>4</v>
      </c>
      <c r="E2412" t="n">
        <v>68</v>
      </c>
      <c r="F2412">
        <f>HYPERLINK("https://www.reddit.com/r/COVID19positive/comments/hi8efa/lowgrade_fever_for_100_days/")</f>
        <v/>
      </c>
      <c r="G2412" t="inlineStr">
        <is>
          <t>2020-06-29 13:46:15</t>
        </is>
      </c>
      <c r="H2412" t="inlineStr">
        <is>
          <t>Presumed Positive - From Doctor</t>
        </is>
      </c>
    </row>
    <row r="2413">
      <c r="A2413" t="inlineStr">
        <is>
          <t>hi955q</t>
        </is>
      </c>
      <c r="B2413" t="inlineStr">
        <is>
          <t>Fever came back!</t>
        </is>
      </c>
      <c r="C2413" t="inlineStr">
        <is>
          <t>I’m on day 14, I was fever free for 2 days and supposed to get my retest tomorrow but my fever spiked again! 
Is this normal? Has this happened to anyone else where symptoms just reappeared?</t>
        </is>
      </c>
      <c r="D2413" t="n">
        <v>2</v>
      </c>
      <c r="E2413" t="n">
        <v>8</v>
      </c>
      <c r="F2413">
        <f>HYPERLINK("https://www.reddit.com/r/COVID19positive/comments/hi955q/fever_came_back/")</f>
        <v/>
      </c>
      <c r="G2413" t="inlineStr">
        <is>
          <t>2020-06-29 14:22:56</t>
        </is>
      </c>
      <c r="H2413" t="inlineStr">
        <is>
          <t>Tested Positive</t>
        </is>
      </c>
    </row>
    <row r="2414">
      <c r="A2414" t="inlineStr">
        <is>
          <t>hi97lc</t>
        </is>
      </c>
      <c r="B2414" t="inlineStr">
        <is>
          <t>COVID test swab wasn’t taken from my nose?</t>
        </is>
      </c>
      <c r="C2414" t="inlineStr">
        <is>
          <t>Hi everyone, I got a COVID test taken today and the nurse who took a swab from me didn’t collect it from my nose? She just swiped around my mouth... correct me if I’m wrong but isn’t it supposed to be collected from your nose?</t>
        </is>
      </c>
      <c r="D2414" t="n">
        <v>1</v>
      </c>
      <c r="E2414" t="n">
        <v>8</v>
      </c>
      <c r="F2414">
        <f>HYPERLINK("https://www.reddit.com/r/COVID19positive/comments/hi97lc/covid_test_swab_wasnt_taken_from_my_nose/")</f>
        <v/>
      </c>
      <c r="G2414" t="inlineStr">
        <is>
          <t>2020-06-29 14:26:15</t>
        </is>
      </c>
      <c r="H2414" t="inlineStr">
        <is>
          <t>Presumed Positive - From Test</t>
        </is>
      </c>
    </row>
    <row r="2415">
      <c r="A2415" t="inlineStr">
        <is>
          <t>hi9us7</t>
        </is>
      </c>
      <c r="B2415" t="inlineStr">
        <is>
          <t>Asymptomatic?</t>
        </is>
      </c>
      <c r="C2415" t="inlineStr">
        <is>
          <t>I'm a 38 year old male.  Had a slightly scratchy throat late last week, maybe some swollen glands.  I  did a community test on a whim Saturday.  I honestly felt silly doing the test, I had no known contact with a positive case and it felt like a stretch to call the only symptom I had a "sore throat".
Just got the call a few hours ago that I'm positive and I'm trying not to freak out.  I live in a small house with my wife who goes to work every day and my two daughters who had their first day of summer camp today.
I still have no temperature, I don't feel great since the call but I think it's mostly anxiety.  Is this likely to be it, or is there a chance I'll be like Wile E. Coyote realizing only falling after I realize there's no road?
Also did you all broadcast to your friends and family that you have COVID or have you kept it quiet?  I feel oddly embarrassed about it, but I also feel like people should know my story in case that nudges people on the fence to get tested.</t>
        </is>
      </c>
      <c r="D2415" t="n">
        <v>5</v>
      </c>
      <c r="E2415" t="n">
        <v>20</v>
      </c>
      <c r="F2415">
        <f>HYPERLINK("https://www.reddit.com/r/COVID19positive/comments/hi9us7/asymptomatic/")</f>
        <v/>
      </c>
      <c r="G2415" t="inlineStr">
        <is>
          <t>2020-06-29 14:58:41</t>
        </is>
      </c>
      <c r="H2415" t="inlineStr">
        <is>
          <t>Tested Positive - Me</t>
        </is>
      </c>
    </row>
    <row r="2416">
      <c r="A2416" t="inlineStr">
        <is>
          <t>hi9y49</t>
        </is>
      </c>
      <c r="B2416" t="inlineStr">
        <is>
          <t>Tested Positive Today- very mild symptoms</t>
        </is>
      </c>
      <c r="C2416" t="inlineStr">
        <is>
          <t>I am a 31 year old male and healthy. My wife called me on the 18th freaking out because a coworker tested positive with the virus. The coworker returned from vacation on the 17th with symptoms, and tested positive the next day. I immediately left the office on the 18th and was ordered by work to stay at home for two weeks. I went and got a test on the 24th. My Dr called today that I tested positive. My wife's test was botched but they assume she has it too.
Symptoms- A little bit of a stuffy nose, and a little bit of fatigue. I am an avid runner, and I was able to run 4 miles in the summer heat this weekend. However, after the run my energy was zapped. I do not have a fever or cough. I'm in shock that I have it.
I take a multivitamin and zinc every day. I really think this is helping fight the virus. I'm trying to stay active by working out at home.</t>
        </is>
      </c>
      <c r="D2416" t="n">
        <v>8</v>
      </c>
      <c r="E2416" t="n">
        <v>121</v>
      </c>
      <c r="F2416">
        <f>HYPERLINK("https://www.reddit.com/r/COVID19positive/comments/hi9y49/tested_positive_today_very_mild_symptoms/")</f>
        <v/>
      </c>
      <c r="G2416" t="inlineStr">
        <is>
          <t>2020-06-29 15:03:26</t>
        </is>
      </c>
      <c r="H2416" t="inlineStr">
        <is>
          <t>Tested Positive - Me</t>
        </is>
      </c>
    </row>
    <row r="2417">
      <c r="A2417" t="inlineStr">
        <is>
          <t>hiaq0e</t>
        </is>
      </c>
      <c r="B2417" t="inlineStr">
        <is>
          <t>CVS Self-testing?? Accurate?</t>
        </is>
      </c>
      <c r="C2417" t="inlineStr">
        <is>
          <t>My boyfriend whom I live with was recently hospitalized for COVID. The minute he started feeling symptoms, we both got tested. However, I was only experiencing minimal irritation in my throat at the time. He tested at urgent care, I self-tested at a CVS. It was weird because his swab went deep into his nasal cavity like I expected but mine was no more than an inch or two deep as instructed. Since then, my symptoms progressed and are nowhere compared to his but still abnormal and painful. I’ve been experiencing excruciating back pain and a lot of fatigue, chills, headaches but no fever to my knowledge. His test obviously came back positive and mine came back negative?? I’m wondering if anyone experienced something similar. Should I go get retested??</t>
        </is>
      </c>
      <c r="D2417" t="n">
        <v>3</v>
      </c>
      <c r="E2417" t="n">
        <v>17</v>
      </c>
      <c r="F2417">
        <f>HYPERLINK("https://www.reddit.com/r/COVID19positive/comments/hiaq0e/cvs_selftesting_accurate/")</f>
        <v/>
      </c>
      <c r="G2417" t="inlineStr">
        <is>
          <t>2020-06-29 15:45:10</t>
        </is>
      </c>
      <c r="H2417" t="inlineStr">
        <is>
          <t>Tested Positive - Family</t>
        </is>
      </c>
    </row>
    <row r="2418">
      <c r="A2418" t="inlineStr">
        <is>
          <t>hib1ro</t>
        </is>
      </c>
      <c r="B2418" t="inlineStr">
        <is>
          <t>Post Viral Fatigue - How long?</t>
        </is>
      </c>
      <c r="C2418" t="inlineStr">
        <is>
          <t>How long did fatigue last for you?
I am early 30s, no pre-existing conditions and was diagnosed mid May and after 10 nightmarish days that felt like aliens had invaded my body, I felt okay. I went to work. Then a few days in came the fatigue. I haven’t been able to work since. Patience around me is fading. I can’t concentrate on anything, walking stairs is hell. The joint and muscle pain and headache has gotten better but the mental and physical fatigue has not. Sleep has been bad (apart from the first night, it was actually terrific during active Covid!). My left kidney is suddenly too big and I’m yet to do a chest CT but I don’t imagine any major lung damage given my pulse oxy was usually around 97 during Covid (still massive breathing difficulties!). 
What can I expect? 
Is there a support group specifically for Post Covid fatigue?
Also, how has your mental health been? I’m pretty sure I have depression. I’m typically a positive, resilient person. Anxious, mild PTSD, always - but depressed, never before.</t>
        </is>
      </c>
      <c r="D2418" t="n">
        <v>3</v>
      </c>
      <c r="E2418" t="n">
        <v>71</v>
      </c>
      <c r="F2418">
        <f>HYPERLINK("https://www.reddit.com/r/COVID19positive/comments/hib1ro/post_viral_fatigue_how_long/")</f>
        <v/>
      </c>
      <c r="G2418" t="inlineStr">
        <is>
          <t>2020-06-29 16:03:22</t>
        </is>
      </c>
      <c r="H2418" t="inlineStr">
        <is>
          <t>Tested Positive</t>
        </is>
      </c>
    </row>
    <row r="2419">
      <c r="A2419" t="inlineStr">
        <is>
          <t>hib1yw</t>
        </is>
      </c>
      <c r="B2419" t="inlineStr">
        <is>
          <t>Does anyone else feel a burning sensation in nostrils (along with no smell)?</t>
        </is>
      </c>
      <c r="C2419" t="inlineStr">
        <is>
          <t>For the past three days I've had this ongoing burning/stinging sensation in my nostrils.  My sense of smell has been gone for 4 days.  Has anyone else experienced this?</t>
        </is>
      </c>
      <c r="D2419" t="n">
        <v>2</v>
      </c>
      <c r="E2419" t="n">
        <v>24</v>
      </c>
      <c r="F2419">
        <f>HYPERLINK("https://www.reddit.com/r/COVID19positive/comments/hib1yw/does_anyone_else_feel_a_burning_sensation_in/")</f>
        <v/>
      </c>
      <c r="G2419" t="inlineStr">
        <is>
          <t>2020-06-29 16:03:41</t>
        </is>
      </c>
      <c r="H2419" t="inlineStr">
        <is>
          <t>Tested Positive - Me</t>
        </is>
      </c>
    </row>
    <row r="2420">
      <c r="A2420" t="inlineStr">
        <is>
          <t>hib90a</t>
        </is>
      </c>
      <c r="B2420" t="inlineStr">
        <is>
          <t>Is it safe for people who have tested positive to quarantine together?</t>
        </is>
      </c>
      <c r="C2420" t="inlineStr">
        <is>
          <t>We were thinking it would make quarantine a lot less painful, and we can take care of each other if our symptoms worsen. Is there any chance we could make things worse by being together?</t>
        </is>
      </c>
      <c r="D2420" t="n">
        <v>3</v>
      </c>
      <c r="E2420" t="n">
        <v>15</v>
      </c>
      <c r="F2420">
        <f>HYPERLINK("https://www.reddit.com/r/COVID19positive/comments/hib90a/is_it_safe_for_people_who_have_tested_positive_to/")</f>
        <v/>
      </c>
      <c r="G2420" t="inlineStr">
        <is>
          <t>2020-06-29 16:14:34</t>
        </is>
      </c>
      <c r="H2420" t="inlineStr">
        <is>
          <t>Tested Positive</t>
        </is>
      </c>
    </row>
    <row r="2421">
      <c r="A2421" t="inlineStr">
        <is>
          <t>hibvv7</t>
        </is>
      </c>
      <c r="B2421" t="inlineStr">
        <is>
          <t>Question: two positive COVID patients (husband and wife) live together. Should they be isolating from each other? They are currently isolating together.</t>
        </is>
      </c>
      <c r="C2421" t="inlineStr">
        <is>
          <t>Public health told them to self isolate from each other and just wanted a second opinion. Any resources would be greatly appreciated! Thanks!</t>
        </is>
      </c>
      <c r="D2421" t="n">
        <v>1</v>
      </c>
      <c r="E2421" t="n">
        <v>15</v>
      </c>
      <c r="F2421">
        <f>HYPERLINK("https://www.reddit.com/r/COVID19positive/comments/hibvv7/question_two_positive_covid_patients_husband_and/")</f>
        <v/>
      </c>
      <c r="G2421" t="inlineStr">
        <is>
          <t>2020-06-29 16:51:45</t>
        </is>
      </c>
      <c r="H2421" t="inlineStr">
        <is>
          <t>Tested Positive - Family</t>
        </is>
      </c>
    </row>
    <row r="2422">
      <c r="A2422" t="inlineStr">
        <is>
          <t>hiby6j</t>
        </is>
      </c>
      <c r="B2422" t="inlineStr">
        <is>
          <t>Do you suffer loss of taste and smell? Aka anosmia?</t>
        </is>
      </c>
      <c r="C2422" t="inlineStr">
        <is>
          <t>March 17, I noticed I couldn’t even smell cologne, my first inkling that I didn’t have a cold.
I then realised I couldn’t taste things.
I had 100% anosmia. This lasted a good month, and then started to come back.
Now, 3 months later, I’m still not 100%.
I can smell things if I put my nose right in it, but some things that sit in the air I can barely smell.
Scented candles, cigar smoke, etc, are weak.
Using the bathroom, also, I can barely smell my devils donuts (sorry to get gross.)
Perspiration also doesn’t have much odor.
Taste is better, but some foods still taste bland.
I fear that this damage is permanent, given that it seems to be stationary for the past month.</t>
        </is>
      </c>
      <c r="D2422" t="n">
        <v>1</v>
      </c>
      <c r="E2422" t="n">
        <v>24</v>
      </c>
      <c r="F2422">
        <f>HYPERLINK("https://www.reddit.com/r/COVID19positive/comments/hiby6j/do_you_suffer_loss_of_taste_and_smell_aka_anosmia/")</f>
        <v/>
      </c>
      <c r="G2422" t="inlineStr">
        <is>
          <t>2020-06-29 16:55:38</t>
        </is>
      </c>
      <c r="H2422" t="inlineStr">
        <is>
          <t>Tested Positive</t>
        </is>
      </c>
    </row>
    <row r="2423">
      <c r="A2423" t="inlineStr">
        <is>
          <t>hicftp</t>
        </is>
      </c>
      <c r="B2423" t="inlineStr">
        <is>
          <t>Weird sensation in head</t>
        </is>
      </c>
      <c r="C2423" t="inlineStr">
        <is>
          <t>So I’m having these weird sensations in my head, I’m trying to figure out how to describe them. It comes in like a wave, lasts about 20-30 seconds and then goes away. I’ve been having them all day (I’m on day 72ish of illness, currently on a relapse in sorts) and they have increased frequency in the last hour or so (evening—which we all know is the hour of covid). It kind of feels like when sleep aid kicks in, not quite a normal tired feeling or dizzy. Just weird and not right. They kind of feel like what I had towards the middle of my illness—once I was able to stay out of bed for more than 30 minutes—-and this feeling would last longer and I would just go lay down and back to sleep. 
I’m wondering if anyone has hand anything similar? Or any other weird head sensations?</t>
        </is>
      </c>
      <c r="D2423" t="n">
        <v>1</v>
      </c>
      <c r="E2423" t="n">
        <v>22</v>
      </c>
      <c r="F2423">
        <f>HYPERLINK("https://www.reddit.com/r/COVID19positive/comments/hicftp/weird_sensation_in_head/")</f>
        <v/>
      </c>
      <c r="G2423" t="inlineStr">
        <is>
          <t>2020-06-29 17:25:25</t>
        </is>
      </c>
      <c r="H2423" t="inlineStr">
        <is>
          <t>Presumed Positive - From Doctor</t>
        </is>
      </c>
    </row>
    <row r="2424">
      <c r="A2424" t="inlineStr">
        <is>
          <t>hicg6q</t>
        </is>
      </c>
      <c r="B2424" t="inlineStr">
        <is>
          <t>43 year old male</t>
        </is>
      </c>
      <c r="C2424" t="inlineStr">
        <is>
          <t>First symptom was Friday 6/26. Started with light cough. As day went on had body chills, achy and finally developed a fever at 3pm. Went in and got tested at 4pm. Fever topped out at 100.5. 
Was very tired and slept 2 hours on and the up a bit all night. Woke up at 5am and fever had broke on its own. 
Had to nap by 9am Saturday 6/27. Cough worsened all day Saturday. On Saturday night my wife lost all her taste and smell. It’s been her only symptom. 
Sunday 6/28 - more coughing, general fatigue. At 2pm got a call that my test was positive. Was told need to quarantine for 10 days (including wife and kids) from first symptom.  The doctor said To assume they are all positive. Even though my kids have no symptoms.
Overall felt pretty good though. Went to bed by 9pm. 
Monday 6/29 - Up at 5:30 (normal). Cough started to really improve. Still some achiness but overall pretty good. Had to take a nap by 9:30 AM however :-)</t>
        </is>
      </c>
      <c r="D2424" t="n">
        <v>1</v>
      </c>
      <c r="E2424" t="n">
        <v>6</v>
      </c>
      <c r="F2424">
        <f>HYPERLINK("https://www.reddit.com/r/COVID19positive/comments/hicg6q/43_year_old_male/")</f>
        <v/>
      </c>
      <c r="G2424" t="inlineStr">
        <is>
          <t>2020-06-29 17:26:01</t>
        </is>
      </c>
      <c r="H2424" t="inlineStr">
        <is>
          <t>Tested Positive - Me</t>
        </is>
      </c>
    </row>
    <row r="2425">
      <c r="A2425" t="inlineStr">
        <is>
          <t>hicwjb</t>
        </is>
      </c>
      <c r="B2425" t="inlineStr">
        <is>
          <t>False positive Covid tests</t>
        </is>
      </c>
      <c r="C2425" t="inlineStr">
        <is>
          <t>Several people I know tested postive and then tested negative on subsequent tests.
Can someone (hopefully a medical professional) explain how a false positive covid test happens? Also are nasal or oral swab tests more accurate?</t>
        </is>
      </c>
      <c r="D2425" t="n">
        <v>1</v>
      </c>
      <c r="E2425" t="n">
        <v>3</v>
      </c>
      <c r="F2425">
        <f>HYPERLINK("https://www.reddit.com/r/COVID19positive/comments/hicwjb/false_positive_covid_tests/")</f>
        <v/>
      </c>
      <c r="G2425" t="inlineStr">
        <is>
          <t>2020-06-29 17:53:52</t>
        </is>
      </c>
      <c r="H2425" t="inlineStr">
        <is>
          <t>Tested Positive - Friends</t>
        </is>
      </c>
    </row>
    <row r="2426">
      <c r="A2426" t="inlineStr">
        <is>
          <t>hid2fu</t>
        </is>
      </c>
      <c r="B2426" t="inlineStr">
        <is>
          <t>Mom tested positive today. How worried should I be?</t>
        </is>
      </c>
      <c r="C2426" t="inlineStr">
        <is>
          <t>My mom tested positive today and I live with her. I have been keeping my interactions with her to a minimum since 06/19 when she first started feeling bad. So far I feel fine, and haven't had any symptoms. Am I okay?</t>
        </is>
      </c>
      <c r="D2426" t="n">
        <v>2</v>
      </c>
      <c r="E2426" t="n">
        <v>7</v>
      </c>
      <c r="F2426">
        <f>HYPERLINK("https://www.reddit.com/r/COVID19positive/comments/hid2fu/mom_tested_positive_today_how_worried_should_i_be/")</f>
        <v/>
      </c>
      <c r="G2426" t="inlineStr">
        <is>
          <t>2020-06-29 18:03:52</t>
        </is>
      </c>
      <c r="H2426" t="inlineStr">
        <is>
          <t>Tested Positive - Family</t>
        </is>
      </c>
    </row>
    <row r="2427">
      <c r="A2427" t="inlineStr">
        <is>
          <t>hid4jc</t>
        </is>
      </c>
      <c r="B2427" t="inlineStr">
        <is>
          <t>Coronavirus Recovery and Symptoms</t>
        </is>
      </c>
      <c r="C2427" t="inlineStr">
        <is>
          <t>Hey everyone,
I’m 24 years old with no previous medical issues. So I first became sick on May 6 and tested positive for coronavirus on May 12. It took one month to test negative. Since then I still have been dealing with symptoms. By 12 pm I feel tired and very low energy, I‘m still experiencing chest tightness near my heart, and when I wake up in the mornings I smell something burning and have a chemical taste in my mouth. My chest X-ray and blood results came back normal. Today I decided to get tested for coronavirus again and also had an EKG. I should receive the results by Wednesday. I’m starting graduate school this fall so I’m a bit worried about my symptoms. I wanted to know if anyone is else is experiencing similar symptoms since they’ve “recovered”?</t>
        </is>
      </c>
      <c r="D2427" t="n">
        <v>1</v>
      </c>
      <c r="E2427" t="n">
        <v>4</v>
      </c>
      <c r="F2427">
        <f>HYPERLINK("https://www.reddit.com/r/COVID19positive/comments/hid4jc/coronavirus_recovery_and_symptoms/")</f>
        <v/>
      </c>
      <c r="G2427" t="inlineStr">
        <is>
          <t>2020-06-29 18:07:17</t>
        </is>
      </c>
      <c r="H2427" t="inlineStr">
        <is>
          <t>Tested Positive - Me</t>
        </is>
      </c>
    </row>
    <row r="2428">
      <c r="A2428" t="inlineStr">
        <is>
          <t>hid51j</t>
        </is>
      </c>
      <c r="B2428" t="inlineStr">
        <is>
          <t>Acidic taste and smell</t>
        </is>
      </c>
      <c r="C2428" t="inlineStr">
        <is>
          <t>I’m on day 3 of the virus and today I was doing pretty well with a low fever and feeling pretty good, but all of a sudden I go to eat dinner and everything from spaghetti to strawberries is tasting and smelling very acidic or just off in general. Anybody else dealing with this and did your sickness get worse afterward?</t>
        </is>
      </c>
      <c r="D2428" t="n">
        <v>2</v>
      </c>
      <c r="E2428" t="n">
        <v>12</v>
      </c>
      <c r="F2428">
        <f>HYPERLINK("https://www.reddit.com/r/COVID19positive/comments/hid51j/acidic_taste_and_smell/")</f>
        <v/>
      </c>
      <c r="G2428" t="inlineStr">
        <is>
          <t>2020-06-29 18:08:07</t>
        </is>
      </c>
      <c r="H2428" t="inlineStr">
        <is>
          <t>Tested Positive - Me</t>
        </is>
      </c>
    </row>
    <row r="2429">
      <c r="A2429" t="inlineStr">
        <is>
          <t>hidvus</t>
        </is>
      </c>
      <c r="B2429" t="inlineStr">
        <is>
          <t>Random Test Positive</t>
        </is>
      </c>
      <c r="C2429" t="inlineStr">
        <is>
          <t>Hey all. 32M no medical problems, pretty active. I'm a healthcare worker and get routine nasal swabs every two weeks. My swab I had performed on 6/24 came back positive on 6/26. Absolutely no symptoms. I had a second swab performed, and it came back the next day positive as well. Still nothing, now 5 days from the initial test except maybe mild fatigue. The exposure was probably around the 20th or 21st presumably? Is it typical for asymptomatic positives to develop symptoms later on? My wife tested negative twice and doesn't have symptoms either, she may get another one this week to confirm. TIA. Scary about the asymptomatic carrier, I never ever would have gotten tested otherwise.</t>
        </is>
      </c>
      <c r="D2429" t="n">
        <v>1</v>
      </c>
      <c r="E2429" t="n">
        <v>14</v>
      </c>
      <c r="F2429">
        <f>HYPERLINK("https://www.reddit.com/r/COVID19positive/comments/hidvus/random_test_positive/")</f>
        <v/>
      </c>
      <c r="G2429" t="inlineStr">
        <is>
          <t>2020-06-29 18:54:25</t>
        </is>
      </c>
      <c r="H2429" t="inlineStr">
        <is>
          <t>Tested Positive - Me</t>
        </is>
      </c>
    </row>
    <row r="2430">
      <c r="A2430" t="inlineStr">
        <is>
          <t>hidw94</t>
        </is>
      </c>
      <c r="B2430" t="inlineStr">
        <is>
          <t>Day 100 here. Improving very slowly, I think, but having weird slithering sensations in my chest?</t>
        </is>
      </c>
      <c r="C2430" t="inlineStr">
        <is>
          <t>Hi all, I just hit day 100 today. Through March, April, and May I was in the hospital several times. My stomach was wrecked and my heart was tachycardic all the time. You are more than welcome to check my history if you'd like to know more.
I've managed to stay out of the hospital for a little over a month now, mostly due to metoprolol, which is great, but I still can't get back into normal life and have some annoying and odd lingering symptoms.
One of these symptoms started during my last stay in the hospital. Previously, for weeks, I had this pocket of tightness that I always felt on the left side of my chest. One night in the hospital, after being given Flagyl for a suspected parasitic infection, this feeling was replaced.
From there on to now, it feels like there is something sticking out in the area around my heart, and it rubs on the wall of my chest whenever I bend, strech, or move. 
Another feeling I get is like this - imagine taking your second largest toe and putting it on top of your big toe over and over again, rubbing the two together. I feel that in my chest several hours a day.
At night, when I lay down, whatever it is moves up into my throat, and stays there, making me feel like I've got something stuck in my neck and need to swallow.
Anybody else have anything like this? My doctors have just guessed it's some kind of nerve sensitivity or damage and don't have any interest in investigating it further.
My other lingering symptoms are:
Sinus congestion,
Fluid in ears,
All day fatigue worsened by light exertion,
Dizziness,
Lightheadedness,
Belching after every meal or even water,
Acid reflux,
Decreased appetite,
Tachycardia with any exertion,
Tachycardia after any normal sized meal,
Random sharp chest pains that come/go,
Nausea that follows dizziness,
Increased thirst
And whatever is going to happen, it usually always happens or happens worse in the evening. Mornings are the only time I feel semi normal.
Things are improving slowly I suppose. But days are short and kind of empty. People are confused and even angry at me for being unable to get back to life for so long. During the course of this I lost 15-20 pounds, have a BMI of 17, and can't seem to gain any weight back.
Anyway, just wondering mostly if anybody else is feeling this weird movement around in their chest, because it's a symptom I haven't seen here. Any recommendations, advice, or even just your own stories are appreciated. Thanks for reading.</t>
        </is>
      </c>
      <c r="D2430" t="n">
        <v>1</v>
      </c>
      <c r="E2430" t="n">
        <v>23</v>
      </c>
      <c r="F2430">
        <f>HYPERLINK("https://www.reddit.com/r/COVID19positive/comments/hidw94/day_100_here_improving_very_slowly_i_think_but/")</f>
        <v/>
      </c>
      <c r="G2430" t="inlineStr">
        <is>
          <t>2020-06-29 18:55:09</t>
        </is>
      </c>
      <c r="H2430" t="inlineStr">
        <is>
          <t>Presumed Positive - From Doctor</t>
        </is>
      </c>
    </row>
    <row r="2431">
      <c r="A2431" t="inlineStr">
        <is>
          <t>hidx4u</t>
        </is>
      </c>
      <c r="B2431" t="inlineStr">
        <is>
          <t>Burning chest</t>
        </is>
      </c>
      <c r="C2431" t="inlineStr">
        <is>
          <t>When my lungs would hurt it would only be usually laying down at night?  Did this happen to anyone? Was it all the time or mostly at night?</t>
        </is>
      </c>
      <c r="D2431" t="n">
        <v>1</v>
      </c>
      <c r="E2431" t="n">
        <v>10</v>
      </c>
      <c r="F2431">
        <f>HYPERLINK("https://www.reddit.com/r/COVID19positive/comments/hidx4u/burning_chest/")</f>
        <v/>
      </c>
      <c r="G2431" t="inlineStr">
        <is>
          <t>2020-06-29 18:56:43</t>
        </is>
      </c>
      <c r="H2431" t="inlineStr">
        <is>
          <t>Tested Positive - Me</t>
        </is>
      </c>
    </row>
    <row r="2432">
      <c r="A2432" t="inlineStr">
        <is>
          <t>hig32y</t>
        </is>
      </c>
      <c r="B2432" t="inlineStr">
        <is>
          <t>When did y’all start getting taste and smell back?</t>
        </is>
      </c>
      <c r="C2432" t="inlineStr">
        <is>
          <t>Hi guys. I got my results today (positive) and I’m on day 11 of having symptoms. The first 3-4 days were awful, maybe the sickest I’ve ever been. So far my symptoms have been fever, nausea, cough, congestion, headache, chills, body aches, and the “fizzing” feeling. On day 6, I lost my smell and taste. 
When did y’all start getting some smell and taste back? It’s so disorienting.</t>
        </is>
      </c>
      <c r="D2432" t="n">
        <v>1</v>
      </c>
      <c r="E2432" t="n">
        <v>17</v>
      </c>
      <c r="F2432">
        <f>HYPERLINK("https://www.reddit.com/r/COVID19positive/comments/hig32y/when_did_yall_start_getting_taste_and_smell_back/")</f>
        <v/>
      </c>
      <c r="G2432" t="inlineStr">
        <is>
          <t>2020-06-29 21:17:48</t>
        </is>
      </c>
      <c r="H2432" t="inlineStr">
        <is>
          <t>Tested Positive - Me</t>
        </is>
      </c>
    </row>
    <row r="2433">
      <c r="A2433" t="inlineStr">
        <is>
          <t>hikds7</t>
        </is>
      </c>
      <c r="B2433" t="inlineStr">
        <is>
          <t>Anyone had a relapse of symptoms after 8 weeks</t>
        </is>
      </c>
      <c r="C2433" t="inlineStr">
        <is>
          <t>Really thought things were easing up but symptoms have came back with a vengeance eg. burning stinging eyes, burning skin, chest and heart symptoms worse than ever</t>
        </is>
      </c>
      <c r="D2433" t="n">
        <v>1</v>
      </c>
      <c r="E2433" t="n">
        <v>26</v>
      </c>
      <c r="F2433">
        <f>HYPERLINK("https://www.reddit.com/r/COVID19positive/comments/hikds7/anyone_had_a_relapse_of_symptoms_after_8_weeks/")</f>
        <v/>
      </c>
      <c r="G2433" t="inlineStr">
        <is>
          <t>2020-06-30 02:57:29</t>
        </is>
      </c>
      <c r="H2433" t="inlineStr">
        <is>
          <t>Tested Positive</t>
        </is>
      </c>
    </row>
    <row r="2434">
      <c r="A2434" t="inlineStr">
        <is>
          <t>hil4f9</t>
        </is>
      </c>
      <c r="B2434" t="inlineStr">
        <is>
          <t>Should I self-quarantine?</t>
        </is>
      </c>
      <c r="C2434" t="inlineStr">
        <is>
          <t>So I spent the last weekend (Saturday, Friday) with friends, we took airbnb and hiked together. At Saturday afternoon, while hiking, we received a call telling two of my friends might need to quarantine because they had spent time at the beach on Wednesday with someone that was exposed to someone with corona at Tuesday. Apparently that person has fever and so we decided to split up and go home in the middle of hiking. At Sunday we received the news that the person with the fever has corona so two of my friends are now quarantined. I came back home, my boss told me to work from home for now. So I'm home and I didn't quarantine myself from Saturday night untill now (Tuesday), and I'm kinda skeptical I have corona too. But the problem is that healthcare refuses to test me since I wasn't in direct contact with someone with corona and my quarantined friends are not tested too because they show no symptoms and therefore healthcare refuse to test them too (and they refuse to lie about symptoms to get tested). So, I'm with my family at home (Mom, sister and our cat), and I have mixed feeling whether I should start quarantine now. I mean, according to our healthcare I don't need to, and I'm already couple days with mask at home but not quarantined to my room but I'm afraid that if I do have the coronavirus I'll spread it to my family. Another problem is that we can't really sperate bathrooms, so we have to take a shower in the same bathroom and my mom kinda don't care, isn't afraid to get coronavirus, and doesn't really believe that I have it and my sister is kinda afraid but says "decide whatever you want, I got no responsibility for this". And as a matter of fact I don't really want to self quarantine but I'm afraid I'll spread it to my family. I have no idea what to do. I'm currently in my room and I wear mask whenever I get out of it. I currently show no symptoms (I do have a runny nose and cough a little, but it was like that before the weekend and is something regular considering my asthma). I feel real shit in this situation, the weekend was supposed to be my way out of this stressful times and to have fun with my friends.</t>
        </is>
      </c>
      <c r="D2434" t="n">
        <v>1</v>
      </c>
      <c r="E2434" t="n">
        <v>2</v>
      </c>
      <c r="F2434">
        <f>HYPERLINK("https://www.reddit.com/r/COVID19positive/comments/hil4f9/should_i_selfquarantine/")</f>
        <v/>
      </c>
      <c r="G2434" t="inlineStr">
        <is>
          <t>2020-06-30 03:55:07</t>
        </is>
      </c>
      <c r="H2434" t="inlineStr">
        <is>
          <t>Tested Positive - Friends</t>
        </is>
      </c>
    </row>
    <row r="2435">
      <c r="A2435" t="inlineStr">
        <is>
          <t>hilg2f</t>
        </is>
      </c>
      <c r="B2435" t="inlineStr">
        <is>
          <t>Should I self-quarantine?</t>
        </is>
      </c>
      <c r="C2435" t="inlineStr">
        <is>
          <t>So I spent the last weekend (Saturday, Friday) with friends, we took airbnb and hiked together. At Saturday afternoon, while hiking, we received a call telling two of my friends might need to quarantine because they had spent time at the beach on Wednesday with someone that was exposed to someone with corona at Tuesday. Apparently that person has fever and so we decided to split up and go home in the middle of hiking. At Sunday we received the news that the person with the fever has corona so two of my friends are now quarantined. I came back home, my boss told me to work from home for now. So I'm home and I didn't quarantine myself from Saturday night untill now (Tuesday), and I'm kinda skeptical I have corona too. But the problem is that healthcare refuses to test me since I wasn't in direct contact with someone with corona and my quarantined friends are not tested too because they show no symptoms and therefore healthcare refuse to test them too (and they refuse to lie about symptoms to get tested). So, I'm with my family at home (Mom, sister and our cat), and I have mixed feeling whether I should start quarantine now. I mean, according to our healthcare I don't need to, and I'm already couple days with mask at home but not quarantined to my room but I'm afraid that if I do have the coronavirus I'll spread it to my family. Another problem is that we can't really sperate bathrooms, so we have to take a shower in the same bathroom and my mom kinda don't care, isn't afraid to get coronavirus, and doesn't really believe that I have it and my sister is kinda afraid but says "decide whatever you want, I got no responsibility for this". And as a matter of fact I don't really want to self quarantine but I'm afraid I'll spread it to my family. I have no idea what to do. I'm currently in my room and I wear mask whenever I get out of it. I currently show no symptoms (I do have a runny nose and cough a little, but it was like that before the weekend and is something regular considering my asthma). I feel real shit in this situation, the weekend was supposed to be my way out of this stressful times and to have fun with my friends.</t>
        </is>
      </c>
      <c r="D2435" t="n">
        <v>1</v>
      </c>
      <c r="E2435" t="n">
        <v>7</v>
      </c>
      <c r="F2435">
        <f>HYPERLINK("https://www.reddit.com/r/COVID19positive/comments/hilg2f/should_i_selfquarantine/")</f>
        <v/>
      </c>
      <c r="G2435" t="inlineStr">
        <is>
          <t>2020-06-30 04:19:04</t>
        </is>
      </c>
      <c r="H2435" t="inlineStr">
        <is>
          <t>Tested Positive - Friends</t>
        </is>
      </c>
    </row>
    <row r="2436">
      <c r="A2436" t="inlineStr">
        <is>
          <t>himkas</t>
        </is>
      </c>
      <c r="B2436" t="inlineStr">
        <is>
          <t>Feeling winded after covid</t>
        </is>
      </c>
      <c r="C2436" t="inlineStr">
        <is>
          <t>So I’ve been negative for three weeks. I was positive for 42 days. I notice i get out of breath / winded now even when talking to people or doing simple tasks. Does this go away? I feel like I just got this symptom this week. I never had a cough. I had such a mild case.</t>
        </is>
      </c>
      <c r="D2436" t="n">
        <v>1</v>
      </c>
      <c r="E2436" t="n">
        <v>17</v>
      </c>
      <c r="F2436">
        <f>HYPERLINK("https://www.reddit.com/r/COVID19positive/comments/himkas/feeling_winded_after_covid/")</f>
        <v/>
      </c>
      <c r="G2436" t="inlineStr">
        <is>
          <t>2020-06-30 05:38:27</t>
        </is>
      </c>
      <c r="H2436" t="inlineStr">
        <is>
          <t>Tested Positive - Me</t>
        </is>
      </c>
    </row>
    <row r="2437">
      <c r="A2437" t="inlineStr">
        <is>
          <t>hinc19</t>
        </is>
      </c>
      <c r="B2437" t="inlineStr">
        <is>
          <t>Tested positive two days ago!</t>
        </is>
      </c>
      <c r="C2437" t="inlineStr">
        <is>
          <t>Hey friends, I tested positive two days ago and I'm not sure what to do with myself. I'm a RN who is usually a very busy person, I don't watch TV a alot and I'm not a big video game player (not that I don't play them, I LOVE the SIMS, so suggestions are welcome). On the upside I'm currently living alone and away from family because I moved for my job, so it's just me! I'm constantly on the go even on my days off. I don't doubt there are many ways I can be kept occupied, so I want some help trying to figure out what that could be. Right now I'm feeling pretty defeated, and can't think of anything, because I feel like I'm going to spend the next two weeks bored and hating life. I like being outdoors, hiking, going to the lake, riding my bike, traveling, going on day trips to places, and being active. I'm a healthy diagnosis. By that I mean I only really have a small cough and by body aches a little, so I'm not compromised and can still safely exert myself and so things. I also haven't had a fever and my BP and O2 levels are fine. Thanks for all your help!</t>
        </is>
      </c>
      <c r="D2437" t="n">
        <v>1</v>
      </c>
      <c r="E2437" t="n">
        <v>15</v>
      </c>
      <c r="F2437">
        <f>HYPERLINK("https://www.reddit.com/r/COVID19positive/comments/hinc19/tested_positive_two_days_ago/")</f>
        <v/>
      </c>
      <c r="G2437" t="inlineStr">
        <is>
          <t>2020-06-30 06:27:26</t>
        </is>
      </c>
      <c r="H2437" t="inlineStr">
        <is>
          <t>Tested Positive - Me</t>
        </is>
      </c>
    </row>
    <row r="2438">
      <c r="A2438" t="inlineStr">
        <is>
          <t>hinwj3</t>
        </is>
      </c>
      <c r="B2438" t="inlineStr">
        <is>
          <t>Pretty mild case so far</t>
        </is>
      </c>
      <c r="C2438" t="inlineStr">
        <is>
          <t>Hi guys I’m a 24F who tested positive from the virus last week. The minute I showed symptoms, I started self isolation from my family (still living at home). 
The only symptoms I’ve really experienced are fever for the first day and a half, nasal congestion, headache and back pain. The back pain would kinda radiate mid back and it felt more like muscle strain than anything. 
I haven’t had any shortness of breath, no loss of taste or smell, and no cough at all. 
I would say my case is pretty mild I honestly just assumed it was allergies. 
Here is a list of my symptoms by day:
Symptoms 
Day 1- Tuesday, June 23
Bad Headache (like a rubber band around my head) 
Day 2- Wednesday, June 24
Headache 
Temperature:  100 degrees 
Congestion 
Took aleve 
Foggy head 
Day 3- Thursday, June 25th 
Congestion 
98.2 degrees 
Mid Back pains 
Day 4- Friday, June 26th 
Congestion 
Temperature: 98.6 degrees 
Mid Back pains 
Day 5- Saturday, June 27th 
Congestion 
Temperature: 97.1 
back pain 
Fatigue 
Day 6- Sunday, June 28th 
Temperature: 97.5
Nasal congestion eased with Sudafed 
Day 7- Monday, June 29th 
Temperature: 97.9
Nasal congestion 
Day 8- Tuesday, June 30th 
Temperature 97.7 
Slight nasal congestion 
Hoping I just continue to get better. I feel really okay, and the congestion is easily helped with Sudafed and keeping really well hydrated. I take vitamins but I’ve always done this so not sure how much it’s helped. 
Just praying that my family is fine, they should get their test results back soon. But no one has showed any symptoms and we all take our temperature twice a day. 
Hope this helps!</t>
        </is>
      </c>
      <c r="D2438" t="n">
        <v>5</v>
      </c>
      <c r="E2438" t="n">
        <v>30</v>
      </c>
      <c r="F2438">
        <f>HYPERLINK("https://www.reddit.com/r/COVID19positive/comments/hinwj3/pretty_mild_case_so_far/")</f>
        <v/>
      </c>
      <c r="G2438" t="inlineStr">
        <is>
          <t>2020-06-30 07:01:52</t>
        </is>
      </c>
      <c r="H2438" t="inlineStr">
        <is>
          <t>Tested Positive - Me</t>
        </is>
      </c>
    </row>
    <row r="2439">
      <c r="A2439" t="inlineStr">
        <is>
          <t>hio754</t>
        </is>
      </c>
      <c r="B2439" t="inlineStr">
        <is>
          <t>After more then 3 weeks, I’m finally negative!</t>
        </is>
      </c>
      <c r="C2439" t="inlineStr">
        <is>
          <t>My doctor just called and told me I’m negative and will have to go again tomorrow to get a second negative test. For those who have recovered from the virus, what kind of after effects should I expect or feel now that I’ve recovered? Has this virus effected your health?</t>
        </is>
      </c>
      <c r="D2439" t="n">
        <v>1</v>
      </c>
      <c r="E2439" t="n">
        <v>1</v>
      </c>
      <c r="F2439">
        <f>HYPERLINK("https://www.reddit.com/r/COVID19positive/comments/hio754/after_more_then_3_weeks_im_finally_negative/")</f>
        <v/>
      </c>
      <c r="G2439" t="inlineStr">
        <is>
          <t>2020-06-30 07:18:03</t>
        </is>
      </c>
      <c r="H2439" t="inlineStr">
        <is>
          <t>Tested Positive - Me</t>
        </is>
      </c>
    </row>
    <row r="2440">
      <c r="A2440" t="inlineStr">
        <is>
          <t>hioc8v</t>
        </is>
      </c>
      <c r="B2440" t="inlineStr">
        <is>
          <t>I am the 5th member of my family to test positive-here’s my experience.</t>
        </is>
      </c>
      <c r="C2440" t="inlineStr">
        <is>
          <t>I recently tested positive for Covid after a month of tending to 4 others in my family who also tested positive early-on. They all had similar symptoms(including my 70-year old grandfather and my 12 year-old brother)- low-grade fever, fatigue and a loss of senses of taste and smell. They all recovered quickly and smoothly. This may not be the case for a lot of people testing positive here in Delhi, India. 
Despite following all possible social distancing and sanitation norms at home, I caught the virus from one of them and I’m mostly asymptomatic. The only symptoms I felt were nasal congestion and slight chills, which I mistook for sweat out of tiredness and the heat. 
Physically, I feel absolutely normal now. I’m isolating in one room and there isn’t much to do physically but I manage to walk around the room for an hour everyday and do 40 minutes of exercise (mainly Yoga or slight cardio). I’m keeping myself as hydrated as possible, and eating normally. 
Mentally, the isolation has been tough for me. I long to be with my family and roam the house freely, but the silver lining here is that I have ample time now to study and catch on with my reading! 
Feel free to reach out to me for any queries related to Covid-related resources (especially in Delhi, India) and I’ll help with whatever I have experienced!</t>
        </is>
      </c>
      <c r="D2440" t="n">
        <v>36</v>
      </c>
      <c r="E2440" t="n">
        <v>68</v>
      </c>
      <c r="F2440">
        <f>HYPERLINK("https://www.reddit.com/r/COVID19positive/comments/hioc8v/i_am_the_5th_member_of_my_family_to_test/")</f>
        <v/>
      </c>
      <c r="G2440" t="inlineStr">
        <is>
          <t>2020-06-30 07:26:02</t>
        </is>
      </c>
      <c r="H2440" t="inlineStr">
        <is>
          <t>Tested Positive - Me</t>
        </is>
      </c>
    </row>
    <row r="2441">
      <c r="A2441" t="inlineStr">
        <is>
          <t>hioiix</t>
        </is>
      </c>
      <c r="B2441" t="inlineStr">
        <is>
          <t>Anyone 3+ month had no bad relapse?</t>
        </is>
      </c>
      <c r="C2441" t="inlineStr">
        <is>
          <t>I'm about 14 weeks and I have had no bad relapses and no bad lung issues except for 3 weeks of sob in the beginning. Mine has been more "waves" of lessening symptoms over time. I'm starting to increase my activity slowly now to test the waters.</t>
        </is>
      </c>
      <c r="D2441" t="n">
        <v>3</v>
      </c>
      <c r="E2441" t="n">
        <v>7</v>
      </c>
      <c r="F2441">
        <f>HYPERLINK("https://www.reddit.com/r/COVID19positive/comments/hioiix/anyone_3_month_had_no_bad_relapse/")</f>
        <v/>
      </c>
      <c r="G2441" t="inlineStr">
        <is>
          <t>2020-06-30 07:36:00</t>
        </is>
      </c>
      <c r="H2441" t="inlineStr">
        <is>
          <t>Presumed Positive - From Doctor</t>
        </is>
      </c>
    </row>
    <row r="2442">
      <c r="A2442" t="inlineStr">
        <is>
          <t>hiojtt</t>
        </is>
      </c>
      <c r="B2442" t="inlineStr">
        <is>
          <t>After I recover, how long should I wait for my lungs to heal until I can go to the gym again</t>
        </is>
      </c>
      <c r="C2442" t="inlineStr">
        <is>
          <t>Please I want to do fitness again but I am nervous about the recovery process</t>
        </is>
      </c>
      <c r="D2442" t="n">
        <v>1</v>
      </c>
      <c r="E2442" t="n">
        <v>14</v>
      </c>
      <c r="F2442">
        <f>HYPERLINK("https://www.reddit.com/r/COVID19positive/comments/hiojtt/after_i_recover_how_long_should_i_wait_for_my/")</f>
        <v/>
      </c>
      <c r="G2442" t="inlineStr">
        <is>
          <t>2020-06-30 07:37:58</t>
        </is>
      </c>
      <c r="H2442" t="inlineStr">
        <is>
          <t>Tested Positive - Me</t>
        </is>
      </c>
    </row>
    <row r="2443">
      <c r="A2443" t="inlineStr">
        <is>
          <t>hiop6a</t>
        </is>
      </c>
      <c r="B2443" t="inlineStr">
        <is>
          <t>Feeling disheartened</t>
        </is>
      </c>
      <c r="C2443" t="inlineStr">
        <is>
          <t>I tested positive 8 weeks ago but in the last two weeks I seem to have made a big improvement and have had no shortness of breath or any symptoms at all really. I was feeling really good and so confident I was now on my way to better days. Two weeks is a long time without any symptoms, I almost forgot what it felt like to be sick! However the last two days I have felt so rotten, lung pain and burning in my chest, headache, awful GI problems and just so emotional. Really feeling like crap. I don’t think I overdid it when I was feeling better, I did return to work but I am working from home and only for 12 hours a week. I know there seems to be no linear path to recovery where covid is concerned  but it is just so disheartening 😞</t>
        </is>
      </c>
      <c r="D2443" t="n">
        <v>4</v>
      </c>
      <c r="E2443" t="n">
        <v>11</v>
      </c>
      <c r="F2443">
        <f>HYPERLINK("https://www.reddit.com/r/COVID19positive/comments/hiop6a/feeling_disheartened/")</f>
        <v/>
      </c>
      <c r="G2443" t="inlineStr">
        <is>
          <t>2020-06-30 07:46:07</t>
        </is>
      </c>
      <c r="H2443" t="inlineStr">
        <is>
          <t>Tested Positive - Me</t>
        </is>
      </c>
    </row>
    <row r="2444">
      <c r="A2444" t="inlineStr">
        <is>
          <t>hip3xo</t>
        </is>
      </c>
      <c r="B2444" t="inlineStr">
        <is>
          <t>Is it still covid? Symptoms 7+ weeks later and after 2 negative tests?</t>
        </is>
      </c>
      <c r="C2444" t="inlineStr">
        <is>
          <t>F40. Tested + 5/17. Rough two weeks and then slowly started to be more functional (5/31-6/10).
I have never felt 100%, but had chest pain/heart burn and symptoms increasingly during week 6. 
6/21 Was diagnosed with pneumonia in one lung based on chest CT scan with dye. They put me on antibiotics and steroids for a week. But 6/26 and 6/29 I had a 100.1 fever with terrible headache, sore throat, painful glands and ears- all the same I had with covid onset (except headache). Burning eyes again too. 
These are not common symptoms of viral pneumonia. What could it be, other than covid continuing despite my negative tests (6/2 and 6/21)?</t>
        </is>
      </c>
      <c r="D2444" t="n">
        <v>1</v>
      </c>
      <c r="E2444" t="n">
        <v>3</v>
      </c>
      <c r="F2444">
        <f>HYPERLINK("https://www.reddit.com/r/COVID19positive/comments/hip3xo/is_it_still_covid_symptoms_7_weeks_later_and/")</f>
        <v/>
      </c>
      <c r="G2444" t="inlineStr">
        <is>
          <t>2020-06-30 08:08:16</t>
        </is>
      </c>
      <c r="H2444" t="inlineStr">
        <is>
          <t>Tested Positive</t>
        </is>
      </c>
    </row>
    <row r="2445">
      <c r="A2445" t="inlineStr">
        <is>
          <t>hipu97</t>
        </is>
      </c>
      <c r="B2445" t="inlineStr">
        <is>
          <t>Post Covid-19 Alchohol Intolerance</t>
        </is>
      </c>
      <c r="C2445" t="inlineStr">
        <is>
          <t>I had the virus back in March/April. Since then whenever I consume even a moderate amount of alcohol, I get what feels like tremors and low blood sugar the next day. Anyone else have this or know why its happening. I figure the virus messed my liver or kidneys up.</t>
        </is>
      </c>
      <c r="D2445" t="n">
        <v>3</v>
      </c>
      <c r="E2445" t="n">
        <v>14</v>
      </c>
      <c r="F2445">
        <f>HYPERLINK("https://www.reddit.com/r/COVID19positive/comments/hipu97/post_covid19_alchohol_intolerance/")</f>
        <v/>
      </c>
      <c r="G2445" t="inlineStr">
        <is>
          <t>2020-06-30 08:46:21</t>
        </is>
      </c>
      <c r="H2445" t="inlineStr">
        <is>
          <t>Tested Positive</t>
        </is>
      </c>
    </row>
    <row r="2446">
      <c r="A2446" t="inlineStr">
        <is>
          <t>hiqn5a</t>
        </is>
      </c>
      <c r="B2446" t="inlineStr">
        <is>
          <t>Looking for support</t>
        </is>
      </c>
      <c r="C2446" t="inlineStr">
        <is>
          <t>I was sick in early May for only 2 weeks, moderate symptoms(fever, slight cough, body aches). I think I’m having a recurrence now, I had a sore throat for 24 hours and now for the last 48 I have diarrhea, no appetite, and just feel exhausted. Got a swab on day 1, and waiting for results. I saw my family for Father’s Day and I was so happy to be feeling better, and now this feels like a punch in the gut. I’m so depressed, I moved recently and my new building flooded, and the boxes I’ve been unpacking are now soaked from the flood, and I’m stuck in my room too weak and tired to keep unpacking. I feel so disheartened and like this will never end. The last 3 days have felt like forever. I miss my family so much but obviously can’t expose them to this, but I miss when I was sick and my mom could take care of me. 
I can’t tell if this post belong here or r/depression. I just feel so stuck. I’m grateful that my symptoms are mild, and I’m not taking it for granted, but this is an absolutely miserable feeling.</t>
        </is>
      </c>
      <c r="D2446" t="n">
        <v>3</v>
      </c>
      <c r="E2446" t="n">
        <v>13</v>
      </c>
      <c r="F2446">
        <f>HYPERLINK("https://www.reddit.com/r/COVID19positive/comments/hiqn5a/looking_for_support/")</f>
        <v/>
      </c>
      <c r="G2446" t="inlineStr">
        <is>
          <t>2020-06-30 09:27:37</t>
        </is>
      </c>
      <c r="H2446" t="inlineStr">
        <is>
          <t>Presumed Positive - From Doctor</t>
        </is>
      </c>
    </row>
    <row r="2447">
      <c r="A2447" t="inlineStr">
        <is>
          <t>hir70t</t>
        </is>
      </c>
      <c r="B2447" t="inlineStr">
        <is>
          <t>Flare in symptoms 3 weeks after positive results</t>
        </is>
      </c>
      <c r="C2447" t="inlineStr">
        <is>
          <t>I got tested on 6/9 and received positive results on 6/11. My symptoms were faint headache, major head congestion, major fatigue, and strained eyes mainly. I did lose sense of taste and smell as well. I never had a fever, cough, or sore throat. I self-isolated for 2 weeks and felt back to 100% after 10 days or so. It has been 9 days since my quarantine ended and I feel as if I am having a flare up in symptoms, but nowhere near as severe. I have felt a little run down for a few days and am experiencing minor head congestion. 
Has anyone else experience this? Is it common to have symptom flares from the original viral load or have I been exposed to more virus?</t>
        </is>
      </c>
      <c r="D2447" t="n">
        <v>2</v>
      </c>
      <c r="E2447" t="n">
        <v>16</v>
      </c>
      <c r="F2447">
        <f>HYPERLINK("https://www.reddit.com/r/COVID19positive/comments/hir70t/flare_in_symptoms_3_weeks_after_positive_results/")</f>
        <v/>
      </c>
      <c r="G2447" t="inlineStr">
        <is>
          <t>2020-06-30 09:55:38</t>
        </is>
      </c>
      <c r="H2447" t="inlineStr">
        <is>
          <t>Tested Positive - Me</t>
        </is>
      </c>
    </row>
    <row r="2448">
      <c r="A2448" t="inlineStr">
        <is>
          <t>hirv2m</t>
        </is>
      </c>
      <c r="B2448" t="inlineStr">
        <is>
          <t>Burning legs after 3 months?</t>
        </is>
      </c>
      <c r="C2448" t="inlineStr">
        <is>
          <t>Hi all, I'm not really sure what to make of this anymore. 
My initial symptoms were fever, chest pain, dry mouth, fatigue, pain and burning in my legs and the covid toes. Around March 20th. 
I had a PCR test within a week-ish which came back negative. However due to my symptoms the dr said I could be positive and I isolated for 2 months (my choice). The symptoms continued into April and May, on and off fever, leg pain, tingling, chest pain. CRP in my blood showed inflammation high at the onset of the illness in March and went down over time with follow ups. D-dimer normal. By far the worst was the leg issues, the sensations would keep me up all night. 
I've had blood tests, mri, ct scan thru the 2 months. They also tested me for other conditions of which I have absolutely none. My last dr visit showed everything pretty much back to normal at the end of May. My symptoms have all pretty much gone away from the start of June. 
By far the oddest was the toes. Initially the dr dismissed them as unrelated because in March nobody knew anything. They swelled up bright red for about a week, then turned purple and kind of shrank back down. Stayed purple for about a month and then they went back to normal. I recently came across the paper where spanish (or french?) Doctors studied the toes and the patients all tested negative by pcr but in a biopsy of the toes, they found the virus in the endothelial cells. (I wish I had gotten a biopsy). 
My current issue. Toes have begun acting up a couple days ago. Not swollen but tingling and vibrating sensation, and reddish. Tonight my legs started burning again, I'm currently being kept up by this. I feel like I can feel the blood in my veins and it's really hot. The skin is hot to the touch too if I compare it to my arm or elsewhere. 
I'm concerned, on one hand, I never had any test confirmation I had the virus so I'm worried I caught it now and what I had in March was not covid. 
On the other hand if I did have the virus, sudden return of symptoms is worrying. Should I get checked for nerve damage or vasculitis? Guillain-barre? I'm reasonably hesitant to keep waltzing in and out of the hospital. I'm not sure what kind of doctor I need to see at this point or what tests. 
Just looking for a little help, if anyone is going thru the same or knows a bit more. &amp;lt;3 cheers</t>
        </is>
      </c>
      <c r="D2448" t="n">
        <v>2</v>
      </c>
      <c r="E2448" t="n">
        <v>22</v>
      </c>
      <c r="F2448">
        <f>HYPERLINK("https://www.reddit.com/r/COVID19positive/comments/hirv2m/burning_legs_after_3_months/")</f>
        <v/>
      </c>
      <c r="G2448" t="inlineStr">
        <is>
          <t>2020-06-30 10:28:15</t>
        </is>
      </c>
      <c r="H2448" t="inlineStr">
        <is>
          <t>Presumed Positive - From Doctor</t>
        </is>
      </c>
    </row>
    <row r="2449">
      <c r="A2449" t="inlineStr">
        <is>
          <t>his38j</t>
        </is>
      </c>
      <c r="B2449" t="inlineStr">
        <is>
          <t>One week of symptoms</t>
        </is>
      </c>
      <c r="C2449" t="inlineStr">
        <is>
          <t>My mom and I started showing symptoms about a week ago (June 22) and she’s already ended up in the ER with her oxygen levels decreasing. I on the other hand have been experiencing a pretty mild to moderate case and when I was confirmed positive I figured my case would be over within two weeks. The thing is though, my symptoms (mild fever that goes up and down every so often, wet cough, congestion in my lungs, slight breathing difficulty, sparse chest pains, and inflamed sinuses) have not gotten any better like I had hoped, at the very least none of them have been getting worse nor have any of them shown signs of severity. I’ve never dealt with anything like this before and My anxiety doesn’t help either. I’m really hoping I’ll one day wake up and feel a lot better and that I’ll slowly recover for sure. Until then I’ve been laying down rarely getting up bc it ends up make me feel tired. I’m considering going back to the ER and talking about my breathing in hopes they’ll have any answers about recovery.</t>
        </is>
      </c>
      <c r="D2449" t="n">
        <v>1</v>
      </c>
      <c r="E2449" t="n">
        <v>2</v>
      </c>
      <c r="F2449">
        <f>HYPERLINK("https://www.reddit.com/r/COVID19positive/comments/his38j/one_week_of_symptoms/")</f>
        <v/>
      </c>
      <c r="G2449" t="inlineStr">
        <is>
          <t>2020-06-30 10:39:31</t>
        </is>
      </c>
      <c r="H2449" t="inlineStr">
        <is>
          <t>Tested Positive - Me</t>
        </is>
      </c>
    </row>
    <row r="2450">
      <c r="A2450" t="inlineStr">
        <is>
          <t>hisx17</t>
        </is>
      </c>
      <c r="B2450" t="inlineStr">
        <is>
          <t>Any long-haulers tested for autoimmune issues? 15+ weeks and my results.</t>
        </is>
      </c>
      <c r="C2450" t="inlineStr">
        <is>
          <t>15+ weeks. I had some bloodwork done to test for autoimmune issues. Positive RNP and low C4. I have a follow-up appointment in a few days. Any thoughts on these results? The positive RNP with the negative Smith seems to indicate MCTD, but I’m trying not to worry or diagnose myself. I know Covid is trigger lots of strange responses in our immune systems. Has anyone else had similar results?
Centromere igG Antibody= Negative;
Double-Stranded DNA IgG Antibody= &amp;lt;30 units (Negative);
Smith IgG Antibody= Negative;
RNP/SM IgG Antibody= Moderate Positive;
Sjorgens Syndrome-A IgG Antibody= Negative;
Sjorgens Syndrome-B IgG Antibody= Negative;
P-Neutrophil Cytoplasmic Antibody= Negative;
C-Neutrophil Cytoplasmic Antibody= Negative;
C4 Complement  16.4 mg/dL (LOW);
C3 Complement 98 mg/dL (NORMAL)...
My doctors notes: “Your RNP being positive and C4 being slightly low does go along with some autoimmune process, but it is really tough to define, and no specific treatment for this pattern so far. I look forward to seeing you on 7/8 to discuss more.”</t>
        </is>
      </c>
      <c r="D2450" t="n">
        <v>1</v>
      </c>
      <c r="E2450" t="n">
        <v>20</v>
      </c>
      <c r="F2450">
        <f>HYPERLINK("https://www.reddit.com/r/COVID19positive/comments/hisx17/any_longhaulers_tested_for_autoimmune_issues_15/")</f>
        <v/>
      </c>
      <c r="G2450" t="inlineStr">
        <is>
          <t>2020-06-30 11:20:22</t>
        </is>
      </c>
      <c r="H2450" t="inlineStr">
        <is>
          <t>Tested Positive</t>
        </is>
      </c>
    </row>
    <row r="2451">
      <c r="A2451" t="inlineStr">
        <is>
          <t>hiui4a</t>
        </is>
      </c>
      <c r="B2451" t="inlineStr">
        <is>
          <t>Do you feel like you taste more than ever after Covid?</t>
        </is>
      </c>
      <c r="C2451" t="inlineStr">
        <is>
          <t>I was diagnosed mid May and have been struggling with post viral fatigue for the past weeks. I thought I could taste alright pretty quickly, but it’s been a few days now where everything tastes so much more intense than ever before. Especially sour. Maybe it’s like when you go off sugar and then have it after a few weeks? Will it wear off? Everything tastes different now and I’m not sure I’m happy about that 🤣</t>
        </is>
      </c>
      <c r="D2451" t="n">
        <v>1</v>
      </c>
      <c r="E2451" t="n">
        <v>5</v>
      </c>
      <c r="F2451">
        <f>HYPERLINK("https://www.reddit.com/r/COVID19positive/comments/hiui4a/do_you_feel_like_you_taste_more_than_ever_after/")</f>
        <v/>
      </c>
      <c r="G2451" t="inlineStr">
        <is>
          <t>2020-06-30 12:36:58</t>
        </is>
      </c>
      <c r="H2451" t="inlineStr">
        <is>
          <t>Tested Positive</t>
        </is>
      </c>
    </row>
    <row r="2452">
      <c r="A2452" t="inlineStr">
        <is>
          <t>hiuxrq</t>
        </is>
      </c>
      <c r="B2452" t="inlineStr">
        <is>
          <t>Wife and I test positive with mild symptoms. Best methods for recovery?</t>
        </is>
      </c>
      <c r="C2452" t="inlineStr">
        <is>
          <t>Hello fellow 2020 strugglers! 
My wife and I (33/M/F) have tested positive for Corona. We were tipped off from one of our friends (after they tested positive) that the bar we went to after lockdown stopped that the whole bar was getting flagged for testing positive. We thought we were just having some mild allergies so we got tested as well and bingo, positive.
We've both have had mild symptoms of some congestion, coughing, lack of taste/smell, etc. We're both on the mend and doing much better, especially over the last few days. Today marks 2 weeks that we've been having symptoms. I've been reading some posts on here and worrying that us being together 24/7 and sleeping together will extend our recovery. I'm thinking of moving to the couch for a couple weeks will help the recovery time. Any other suggestions on how we can speed this along? 
Also, thank you for this community existing, and being so supportive of each other. Together we'll get through this.</t>
        </is>
      </c>
      <c r="D2452" t="n">
        <v>1</v>
      </c>
      <c r="E2452" t="n">
        <v>3</v>
      </c>
      <c r="F2452">
        <f>HYPERLINK("https://www.reddit.com/r/COVID19positive/comments/hiuxrq/wife_and_i_test_positive_with_mild_symptoms_best/")</f>
        <v/>
      </c>
      <c r="G2452" t="inlineStr">
        <is>
          <t>2020-06-30 12:58:13</t>
        </is>
      </c>
      <c r="H2452" t="inlineStr">
        <is>
          <t>Tested Positive - Family</t>
        </is>
      </c>
    </row>
    <row r="2453">
      <c r="A2453" t="inlineStr">
        <is>
          <t>hivgxf</t>
        </is>
      </c>
      <c r="B2453" t="inlineStr">
        <is>
          <t>I am 19 and tested positive yesterday. What symptoms warrant hospitalization?</t>
        </is>
      </c>
      <c r="C2453" t="inlineStr">
        <is>
          <t>Me and all my roommates tested positive yesterday, they are doing pretty well compared to me although one has strep too. I have been sleeping constantly, and am having a hard time breathing sometimes. The difficult breathing comes and goes but isn’t subsiding as the days go on. I don’t want to end up in the hospital and i’m experiencing normal symptoms but don’t wanna end up dead because I misunderstood. Please help.</t>
        </is>
      </c>
      <c r="D2453" t="n">
        <v>1</v>
      </c>
      <c r="E2453" t="n">
        <v>12</v>
      </c>
      <c r="F2453">
        <f>HYPERLINK("https://www.reddit.com/r/COVID19positive/comments/hivgxf/i_am_19_and_tested_positive_yesterday_what/")</f>
        <v/>
      </c>
      <c r="G2453" t="inlineStr">
        <is>
          <t>2020-06-30 13:23:57</t>
        </is>
      </c>
      <c r="H2453" t="inlineStr">
        <is>
          <t>Tested Positive - Me</t>
        </is>
      </c>
    </row>
    <row r="2454">
      <c r="A2454" t="inlineStr">
        <is>
          <t>hiwrxw</t>
        </is>
      </c>
      <c r="B2454" t="inlineStr">
        <is>
          <t>Tested Positive Today</t>
        </is>
      </c>
      <c r="C2454" t="inlineStr">
        <is>
          <t>Hi I'm a 22m and tested positive today. My symptoms started last Monday.
Monday: Scratchy throat
Tuesday: low grade fever (99.8\*), chills, muscle fatigue, congestion, diarrhea.  (Girlfriend got tested this day and it came back negative so I felt like it was something else.) Her only symptom was a sore throat.
Wednesday: Muscle fatigue, congestion, diarrhea. Got tested this evening. 
Thursday-Monday: Congestion. Literally felt fine all these days just very congested. Had a hard time smelling but no loss of taste.
Today: developed a tickling cough. Still mildly congested.
I hope this helps someone. Having my girlfriend get retested tomorrow because I think she may have been given a false negative. Anyone similar? When did all your symptoms go away and you were able to be around others? I really just want to be able to exercise again. Not being able to exercise or be outside is killing my mental health.</t>
        </is>
      </c>
      <c r="D2454" t="n">
        <v>2</v>
      </c>
      <c r="E2454" t="n">
        <v>6</v>
      </c>
      <c r="F2454">
        <f>HYPERLINK("https://www.reddit.com/r/COVID19positive/comments/hiwrxw/tested_positive_today/")</f>
        <v/>
      </c>
      <c r="G2454" t="inlineStr">
        <is>
          <t>2020-06-30 14:31:33</t>
        </is>
      </c>
      <c r="H2454" t="inlineStr">
        <is>
          <t>Tested Positive - Me</t>
        </is>
      </c>
    </row>
    <row r="2455">
      <c r="A2455" t="inlineStr">
        <is>
          <t>hiwwt8</t>
        </is>
      </c>
      <c r="B2455" t="inlineStr">
        <is>
          <t>Am I still contagious?</t>
        </is>
      </c>
      <c r="C2455" t="inlineStr">
        <is>
          <t>Hi all, I was tested positive on June 20th, 10 days ago, I never had any other symptom other than being unable to smell or taste, I’ve felt normal the entire time, my question is since I’ve read everyone is different as to when their smell and taste returns, does this mean I’m still contagious since I have that symptom? very confusing</t>
        </is>
      </c>
      <c r="D2455" t="n">
        <v>2</v>
      </c>
      <c r="E2455" t="n">
        <v>5</v>
      </c>
      <c r="F2455">
        <f>HYPERLINK("https://www.reddit.com/r/COVID19positive/comments/hiwwt8/am_i_still_contagious/")</f>
        <v/>
      </c>
      <c r="G2455" t="inlineStr">
        <is>
          <t>2020-06-30 14:38:50</t>
        </is>
      </c>
      <c r="H2455" t="inlineStr">
        <is>
          <t>Tested Positive - Me</t>
        </is>
      </c>
    </row>
    <row r="2456">
      <c r="A2456" t="inlineStr">
        <is>
          <t>hiwyjk</t>
        </is>
      </c>
      <c r="B2456" t="inlineStr">
        <is>
          <t>People who have also tested positive- when did you end your quarantine?</t>
        </is>
      </c>
      <c r="C2456" t="inlineStr">
        <is>
          <t>I tested positive a week ago and have been quarantined ever since. I was symptomatic but am now feeling a lot better. I desperately miss my 5 yr old son and I really want to see him again. I was thinking the 10th day. Is that too soon? What are your stories?</t>
        </is>
      </c>
      <c r="D2456" t="n">
        <v>1</v>
      </c>
      <c r="E2456" t="n">
        <v>5</v>
      </c>
      <c r="F2456">
        <f>HYPERLINK("https://www.reddit.com/r/COVID19positive/comments/hiwyjk/people_who_have_also_tested_positive_when_did_you/")</f>
        <v/>
      </c>
      <c r="G2456" t="inlineStr">
        <is>
          <t>2020-06-30 14:41:31</t>
        </is>
      </c>
      <c r="H2456" t="inlineStr">
        <is>
          <t>Tested Positive - Me</t>
        </is>
      </c>
    </row>
    <row r="2457">
      <c r="A2457" t="inlineStr">
        <is>
          <t>hixamq</t>
        </is>
      </c>
      <c r="B2457" t="inlineStr">
        <is>
          <t>My dad just tested negative!!</t>
        </is>
      </c>
      <c r="C2457" t="inlineStr">
        <is>
          <t>My dad got tested two weeks ago and since he only had some aches for maybe a day and then he’s been pretty okay. He did another test yesterday and he tested negative! He is a 51 year old with non pre existen medical conditions! Posting this so anyone who is worried start looking this with a little bit of hope!</t>
        </is>
      </c>
      <c r="D2457" t="n">
        <v>1</v>
      </c>
      <c r="E2457" t="n">
        <v>6</v>
      </c>
      <c r="F2457">
        <f>HYPERLINK("https://www.reddit.com/r/COVID19positive/comments/hixamq/my_dad_just_tested_negative/")</f>
        <v/>
      </c>
      <c r="G2457" t="inlineStr">
        <is>
          <t>2020-06-30 15:00:11</t>
        </is>
      </c>
      <c r="H2457" t="inlineStr">
        <is>
          <t>Tested Positive - Family</t>
        </is>
      </c>
    </row>
    <row r="2458">
      <c r="A2458" t="inlineStr">
        <is>
          <t>hixdyy</t>
        </is>
      </c>
      <c r="B2458" t="inlineStr">
        <is>
          <t>Just tested positive for Covid and the flu.</t>
        </is>
      </c>
      <c r="C2458" t="inlineStr">
        <is>
          <t>Wife works at a hospital and we both are sick. It will be an interesting couple of weeks as we quarantine. Thankfully I can work from home</t>
        </is>
      </c>
      <c r="D2458" t="n">
        <v>3</v>
      </c>
      <c r="E2458" t="n">
        <v>16</v>
      </c>
      <c r="F2458">
        <f>HYPERLINK("https://www.reddit.com/r/COVID19positive/comments/hixdyy/just_tested_positive_for_covid_and_the_flu/")</f>
        <v/>
      </c>
      <c r="G2458" t="inlineStr">
        <is>
          <t>2020-06-30 15:05:22</t>
        </is>
      </c>
      <c r="H2458" t="inlineStr">
        <is>
          <t>Tested Positive - Me</t>
        </is>
      </c>
    </row>
    <row r="2459">
      <c r="A2459" t="inlineStr">
        <is>
          <t>hixhnl</t>
        </is>
      </c>
      <c r="B2459" t="inlineStr">
        <is>
          <t>More Severe Wave? Or Reinfection?</t>
        </is>
      </c>
      <c r="C2459" t="inlineStr">
        <is>
          <t>I’ve had waves of symptoms since April 24 so approaching 10 weeks. Hope not to cause panic, just want to rule things out.
Each wave started with fever/chills the 1st night then low grade fever, fatigue for 1-2 weeks after. There was a brief point of shortness of breath but never severe.
Since Friday, I have been having rather bad chills  and the fevers were pretty high every night, admittingly I work from home IT and had a weekend shift of on call so I probably didn’t get much sleep, but they just felt more severe.
I saw my girlfriend Wednesday thru Saturday going to shop rite and dollar tree and McDonald’s so I fear I got lazy and didn’t protect myself and might have gotten reinfected.
But I’ve got an appointment with a doctor in an hour, the fevers were just too much. Hitting 102 with bad shivers and night sweats.
From here on out I’m gonna test this theory and not go out for anything, I’m staying at my parents so I’m thankful for that. And all my friends and family are just immune, claimed to have gotten it already.
But I was curious if anyone thinks they got reinfected or if they truly had worse symptoms weeks later? I’m gonna try and get a blood test to see my T cell count, vitamin D deficiency, and blood type and work from there.</t>
        </is>
      </c>
      <c r="D2459" t="n">
        <v>1</v>
      </c>
      <c r="E2459" t="n">
        <v>2</v>
      </c>
      <c r="F2459">
        <f>HYPERLINK("https://www.reddit.com/r/COVID19positive/comments/hixhnl/more_severe_wave_or_reinfection/")</f>
        <v/>
      </c>
      <c r="G2459" t="inlineStr">
        <is>
          <t>2020-06-30 15:11:03</t>
        </is>
      </c>
      <c r="H2459" t="inlineStr">
        <is>
          <t>Presumed Positive - From Doctor</t>
        </is>
      </c>
    </row>
    <row r="2460">
      <c r="A2460" t="inlineStr">
        <is>
          <t>hixsnl</t>
        </is>
      </c>
      <c r="B2460" t="inlineStr">
        <is>
          <t>Just when I start feeling better</t>
        </is>
      </c>
      <c r="C2460" t="inlineStr">
        <is>
          <t>I (30F) am waiting for my test results. I had taken a self swab test at CVS this Saturday 6/28 but wasn’t sure if I went far enough in my nose. I called my employee health department and they had me take another test yesterday, 6/29 at one of their clinics (I work for a research facility). 
Was exposed 6/19. One of my friends that I was with tested positive 6/24 and the other tested positive 6/29. What pisses me off is I am a caretaker for my 92 year old grandmother and the first friend that had tested positive waited to tell me/give me a heads up that she was tested until her results came back but she told my other friend the day she tested. So I exposed my whole family who is pretty old for 4 days that I didn’t have to. I am always so, so careful and had my mask off only to eat dinner. I didn’t even think of it but we had shared a pazooki and now regret it. I feel embarrassed and guilty if my family ever got sick but they all seem to be feeling fine. 
I started having symptoms 5 days after exposure. Shortness of breath to the point I did a telehealth appt 6/26 and got prescribed an inhaler and burning sensation in the middle of my chest. I still didn’t make the covid connection. 
Since then I have had low grade fevers, fatigue, have thrown up, diarrhea and the most weird one is that I have felt like my skin is burning underneath specifically on my cheeks, back, neck and shoulders down my arms. 
The last few days I wake up feeling somewhat okay and think it’s over and then a few hours later I’m back to not being able to breath, it feels like there is cotton jammed up my nose and I have to throw up. Today I woke up feeling not so exhausted and did a load of laundry but here I am, wondering if I should sit down or stand up in the bathroom because I feel so sick. 
I am blood type A positive. 
Thanks for reading and letting me vent and I will update when I get the results.
Edit: my age.</t>
        </is>
      </c>
      <c r="D2460" t="n">
        <v>1</v>
      </c>
      <c r="E2460" t="n">
        <v>3</v>
      </c>
      <c r="F2460">
        <f>HYPERLINK("https://www.reddit.com/r/COVID19positive/comments/hixsnl/just_when_i_start_feeling_better/")</f>
        <v/>
      </c>
      <c r="G2460" t="inlineStr">
        <is>
          <t>2020-06-30 15:28:06</t>
        </is>
      </c>
      <c r="H2460" t="inlineStr">
        <is>
          <t>Presumed Positive - From Test</t>
        </is>
      </c>
    </row>
    <row r="2461">
      <c r="A2461" t="inlineStr">
        <is>
          <t>hiymc4</t>
        </is>
      </c>
      <c r="B2461" t="inlineStr">
        <is>
          <t>Can my dog get COVID-19?</t>
        </is>
      </c>
      <c r="C2461" t="inlineStr">
        <is>
          <t>Hi so I was recently exposed to COVID-19 and I am worried that I gave it to my dog and now my dog is going to give it to the rest of family. Should I be worried?</t>
        </is>
      </c>
      <c r="D2461" t="n">
        <v>1</v>
      </c>
      <c r="E2461" t="n">
        <v>15</v>
      </c>
      <c r="F2461">
        <f>HYPERLINK("https://www.reddit.com/r/COVID19positive/comments/hiymc4/can_my_dog_get_covid19/")</f>
        <v/>
      </c>
      <c r="G2461" t="inlineStr">
        <is>
          <t>2020-06-30 16:15:38</t>
        </is>
      </c>
      <c r="H2461" t="inlineStr">
        <is>
          <t>Presumed Positive - From Doctor</t>
        </is>
      </c>
    </row>
    <row r="2462">
      <c r="A2462" t="inlineStr">
        <is>
          <t>hizf31</t>
        </is>
      </c>
      <c r="B2462" t="inlineStr">
        <is>
          <t>Taste and Smell</t>
        </is>
      </c>
      <c r="C2462" t="inlineStr">
        <is>
          <t>I just got my results back today that i’m positive for COVID. It’s been mild (23M) since symptoms started appearing 10 days ago but the lack of taste and smell has me concerned. It has not recovered whatsoever, my sense of smell may even be getting worse. Although I am slightly congested. Anyone noticing any improvements and if it may be permanent? Thanks friends!</t>
        </is>
      </c>
      <c r="D2462" t="n">
        <v>1</v>
      </c>
      <c r="E2462" t="n">
        <v>9</v>
      </c>
      <c r="F2462">
        <f>HYPERLINK("https://www.reddit.com/r/COVID19positive/comments/hizf31/taste_and_smell/")</f>
        <v/>
      </c>
      <c r="G2462" t="inlineStr">
        <is>
          <t>2020-06-30 17:03:41</t>
        </is>
      </c>
      <c r="H2462" t="inlineStr">
        <is>
          <t>Tested Positive - Me</t>
        </is>
      </c>
    </row>
    <row r="2463">
      <c r="A2463" t="inlineStr">
        <is>
          <t>hizmz7</t>
        </is>
      </c>
      <c r="B2463" t="inlineStr">
        <is>
          <t>Positive- almost no symptoms</t>
        </is>
      </c>
      <c r="C2463" t="inlineStr">
        <is>
          <t>I got a mild fever Wednesday night and on Thursday it was a low fever, by Friday I felt practically fine. Some body aches but not much, very little cough. Took a covid test on Friday, Saturday, Sunday, and Monday I felt 100% fine. Today Tuesday I get my results back and it’s positive. Anyone else have a similar experience?</t>
        </is>
      </c>
      <c r="D2463" t="n">
        <v>1</v>
      </c>
      <c r="E2463" t="n">
        <v>6</v>
      </c>
      <c r="F2463">
        <f>HYPERLINK("https://www.reddit.com/r/COVID19positive/comments/hizmz7/positive_almost_no_symptoms/")</f>
        <v/>
      </c>
      <c r="G2463" t="inlineStr">
        <is>
          <t>2020-06-30 17:17:20</t>
        </is>
      </c>
      <c r="H2463" t="inlineStr">
        <is>
          <t>Tested Positive - Me</t>
        </is>
      </c>
    </row>
    <row r="2464">
      <c r="A2464" t="inlineStr">
        <is>
          <t>hizo14</t>
        </is>
      </c>
      <c r="B2464" t="inlineStr">
        <is>
          <t>My BF(31) tested positive 6/22/2020</t>
        </is>
      </c>
      <c r="C2464" t="inlineStr">
        <is>
          <t>As the title says my bf tested positive for COVID. He was originally diagnosed with a sinus infection. The symptoms in the beginning were concerning then he began to feel better. Now 10 days in from the first symptoms he is still getting new ones everyday. Today he added chills/shakes &amp;amp; nausea/vomiting to the growing list. I am so thankful that there have been no breathing issues, we purchased a pulse oximeter yesterday and it has been a lifesaver for me. I (F30) tested negative but am taking care of him. It has been very trying at times and just the lack of information has been frustrating. Doctors office has not been super helpful. Finally they took us serious today and sent in an anti-nausea medicine. I’m hoping this is the worst and he continues to improve. 
I’m mostly just posting to vent and get it out. I don’t want to concern him more than he needs to be. His focus needs to be on getting better.
This thread has been helpful seeing how others have been affected.</t>
        </is>
      </c>
      <c r="D2464" t="n">
        <v>1</v>
      </c>
      <c r="E2464" t="n">
        <v>8</v>
      </c>
      <c r="F2464">
        <f>HYPERLINK("https://www.reddit.com/r/COVID19positive/comments/hizo14/my_bf31_tested_positive_6222020/")</f>
        <v/>
      </c>
      <c r="G2464" t="inlineStr">
        <is>
          <t>2020-06-30 17:19:11</t>
        </is>
      </c>
      <c r="H2464" t="inlineStr">
        <is>
          <t>Tested Positive - Family</t>
        </is>
      </c>
    </row>
    <row r="2465">
      <c r="A2465" t="inlineStr">
        <is>
          <t>hizplv</t>
        </is>
      </c>
      <c r="B2465" t="inlineStr">
        <is>
          <t>Just found out on Monday I have covid-26f</t>
        </is>
      </c>
      <c r="C2465" t="inlineStr">
        <is>
          <t>Hi just wanted to post on hear since I'm in the middle of isolation and I'm terrified since I'm diabetic and asthmatic. I dont know how other people's symptoms have been but I cant eat I dont feel hungry and when I look at food it's like I have no interest in it. I've also had a mild fever and I'm constantly in pain. I was just wondering if anyone else has had similar symptoms</t>
        </is>
      </c>
      <c r="D2465" t="n">
        <v>1</v>
      </c>
      <c r="E2465" t="n">
        <v>4</v>
      </c>
      <c r="F2465">
        <f>HYPERLINK("https://www.reddit.com/r/COVID19positive/comments/hizplv/just_found_out_on_monday_i_have_covid26f/")</f>
        <v/>
      </c>
      <c r="G2465" t="inlineStr">
        <is>
          <t>2020-06-30 17:22:02</t>
        </is>
      </c>
      <c r="H2465" t="inlineStr">
        <is>
          <t>Tested Positive - Me</t>
        </is>
      </c>
    </row>
    <row r="2466">
      <c r="A2466" t="inlineStr">
        <is>
          <t>hizyho</t>
        </is>
      </c>
      <c r="B2466" t="inlineStr">
        <is>
          <t>Who wants to hear some good news?</t>
        </is>
      </c>
      <c r="C2466" t="inlineStr">
        <is>
          <t>The health department released me from quarantine yesterday and I'm returning to work tomorrow. It's been a month since I started showing symptoms and I'm feeling great.</t>
        </is>
      </c>
      <c r="D2466" t="n">
        <v>1</v>
      </c>
      <c r="E2466" t="n">
        <v>58</v>
      </c>
      <c r="F2466">
        <f>HYPERLINK("https://www.reddit.com/r/COVID19positive/comments/hizyho/who_wants_to_hear_some_good_news/")</f>
        <v/>
      </c>
      <c r="G2466" t="inlineStr">
        <is>
          <t>2020-06-30 17:38:10</t>
        </is>
      </c>
      <c r="H2466" t="inlineStr">
        <is>
          <t>Tested Positive - Me</t>
        </is>
      </c>
    </row>
    <row r="2467">
      <c r="A2467" t="inlineStr">
        <is>
          <t>hj1770</t>
        </is>
      </c>
      <c r="B2467" t="inlineStr">
        <is>
          <t>Update: I finally am recovered and feel relief to put this horrible experience behind me</t>
        </is>
      </c>
      <c r="C2467" t="inlineStr">
        <is>
          <t>I was very active on this subreddit in the beginning of my illness and I am extremely appreciative for all the support I received. I tested positive for covid in the beginning of April and had a pretty rough time. Never sick enough to be hospitalized, but had lingering symptoms for up to 8 weeks, including fevers, joint pain, insomnia and tachycardia. 
Happy to announce that I'm 100% recovered. I've been able to resume some light jogging without any symptoms (was a previous runner ~20 miles a week). I'm back to work (am a full-time critical care nurse) and feel like my normal self being on my feet all day. 
I spent a total of 5 weeks off work and I'm very fortunate my primary doctor and my manager were supportive. I saw several specialists (infectious disease doctor, cardiologist) and had tons of autoimmune tests run, blood tests, xray, echo, etc. Everything has come back negative. I ran fevers for 8 weeks and finally tested positive for antibodies at 8 weeks (after an initial negative antibody test at 6 weeks).
I'm finally reflecting on this insane experience and I'm feeling a ton of gratitude, and honestly, relief. As a nurse, I knew from the beginning I would have a high exposure and would most likely get covid. I wasn't anxious about getting the virus, but I was honestly shocked at how long I was sick and how much the virus deconditioned me. I was under the impression I would be only be sick for 2 weeks, as I had a "mild" case...but as so many of us are learning, this just isn't the case. My city in Northeast US got hit pretty hard, we had flattened the curve, and sadly, cases seem to be slightly rising again.
Is anyone else recovered feeling a sense of relief that they got covid over and done with? In the beginning, I was so bitter and resentful that I got it before any of my friends or coworkers - but now since being recovered, I am happy to share my experience. Too many people focus on the mortality of the disease, and not the morbidity. Thousands of Americans will become permanently and temporarily disabled by this virus. Some will go on to develop permanent lung damage, chronic fatigue syndrome, etc. I just feel a crazy amount of gratitude for recovering and I appreciate my health more than anything right now. 
Happy to answer any questions and offer support where needed. Stay safe everyone!</t>
        </is>
      </c>
      <c r="D2467" t="n">
        <v>1</v>
      </c>
      <c r="E2467" t="n">
        <v>29</v>
      </c>
      <c r="F2467">
        <f>HYPERLINK("https://www.reddit.com/r/COVID19positive/comments/hj1770/update_i_finally_am_recovered_and_feel_relief_to/")</f>
        <v/>
      </c>
      <c r="G2467" t="inlineStr">
        <is>
          <t>2020-06-30 18:59:29</t>
        </is>
      </c>
      <c r="H2467" t="inlineStr">
        <is>
          <t>Tested Positive - Me</t>
        </is>
      </c>
    </row>
    <row r="2468">
      <c r="A2468" t="inlineStr">
        <is>
          <t>hj17c5</t>
        </is>
      </c>
      <c r="B2468" t="inlineStr">
        <is>
          <t>Just wanted to give hope and reassurance to someone who needs it. My mild 15 day journey.</t>
        </is>
      </c>
      <c r="C2468" t="inlineStr">
        <is>
          <t xml:space="preserve">
Symptoms started June 14, 33F, no underlying conditions
Day 1- Headache, diarrhea 
Day 2- diarrhea, sore throat, nasal congestion, diminished sense of taste and smell
Day 3 - Sore throat, nasal congestion, diminished sense of taste and smell
Day 4-  Sore throat, post nasal drip, diminished sense of taste and smell, sore back
Day 5- Got tested -pressure in ears, no taste or smell, throat hurts randomly 
Day 6-no taste or smell, slight nasal congestion, slight pressure in ears
Day 7- no taste or smell, slight nasal congestion, slight pressure in ears, no appetite
Day 8- limited smell and taste, slight tickle at bottom of my throat, diarrhea, no appetite
Day 9- Limited smell and taste, tickle in my throat giving me the urge to cough once every few hours, diarrhea once this morning, lack of energy, very limited appetite (ate once) started taking Vitamin C and D and Zinc
Day 10- lack of smell and taste, lack of appetite (ate once), small bit of nausea that went away after a nap
Day 11- smell and taste are back very very slightly, headache, lack of appetite
Day 12- diarrhea, extremely limited smell, no taste, better appetite, headache (went away with peppermint oil and Motrin)
Day 13- diarrhea, extremely limited smell, no taste, good appetite, headache (went away with peppermint oil and Motrin)
Day 14- diarrhea, extremely limited smell, no taste, better appetite, headache (peppermint oil and Motrin did not help)
Day 15- tested negative,  diarrhea, extremely limited smell, no taste, normal appetite
Day 16- tested negative again, diarrhea, extremely limited smell and taste
I cleaned the bathroom and bedroom I was quarantined in and did a little laundry. Did not seem to flare up my symptoms. 
My doctor has considered me no longer contagious has I received two negative tests 24 hrs apart.</t>
        </is>
      </c>
      <c r="D2468" t="n">
        <v>1</v>
      </c>
      <c r="E2468" t="n">
        <v>29</v>
      </c>
      <c r="F2468">
        <f>HYPERLINK("https://www.reddit.com/r/COVID19positive/comments/hj17c5/just_wanted_to_give_hope_and_reassurance_to/")</f>
        <v/>
      </c>
      <c r="G2468" t="inlineStr">
        <is>
          <t>2020-06-30 18:59:46</t>
        </is>
      </c>
      <c r="H2468" t="inlineStr">
        <is>
          <t>Tested Positive - Me</t>
        </is>
      </c>
    </row>
    <row r="2469">
      <c r="A2469" t="inlineStr">
        <is>
          <t>hj1mux</t>
        </is>
      </c>
      <c r="B2469" t="inlineStr">
        <is>
          <t>Should I get retested? How contagious really is this?</t>
        </is>
      </c>
      <c r="C2469" t="inlineStr">
        <is>
          <t>So, recently my grandpa's co-worker (that he'd been carpooling with) tested positive for COVID which prompted all of us to get tested. I haven'r seen them in \~three weeks now but when we first heard of it it'd been about a week and a half. My mom, grandma, and grandpa got tested and they were all positive except for my mom, even though they all live together. I got tested this past Sunday and got my results yesterday (Monday) that said the virus wasn't detected.
Now because of this, I was feeling pretty safe that my grandparent's contracted it after I last saw them, so I was relieved, albeit a little confused about how my mom doesn't have it since she's been around them so much. But today I found out my cousin, who I shared a bed with for two weeks, tested positive. I thought for sure that my negative meant she'd also be negative. My mindset was "if one of us has it, we all have it" since we've been spending a lot of time together. But now I'm wondering if it's possible for me to have a false negative? Are some people immune to it? I just don't see how I've been in such close contact with someone that's had it for weeks now without getting it myself, and the same goes for my mom. I last saw my cousin maybe 3 or 4 days before I got tested. Should I be concerned?</t>
        </is>
      </c>
      <c r="D2469" t="n">
        <v>1</v>
      </c>
      <c r="E2469" t="n">
        <v>6</v>
      </c>
      <c r="F2469">
        <f>HYPERLINK("https://www.reddit.com/r/COVID19positive/comments/hj1mux/should_i_get_retested_how_contagious_really_is/")</f>
        <v/>
      </c>
      <c r="G2469" t="inlineStr">
        <is>
          <t>2020-06-30 19:28:42</t>
        </is>
      </c>
      <c r="H2469" t="inlineStr">
        <is>
          <t>Tested Positive - Family</t>
        </is>
      </c>
    </row>
    <row r="2470">
      <c r="A2470" t="inlineStr">
        <is>
          <t>hj1om3</t>
        </is>
      </c>
      <c r="B2470" t="inlineStr">
        <is>
          <t>Tested positive on the 28th</t>
        </is>
      </c>
      <c r="C2470" t="inlineStr">
        <is>
          <t>Hey all! I’ve been scrolling through this sub for the past several days and finally decided I might as well share my experience too. 
For reference, I’m a 26yo Female with no known underlying conditions. 
On the 22nd I started noticing some heavier than usual nasal congestion, and originally passed it off as seasonal allergies at it again, but about the 24th I realized that my taste was greatly diminished and I couldn’t smell. That’s what got me to get tested. I’ve been so worried about this since it started, staying home as much as possible, hand washing, mask wearing, everything. But it got thrown off when my job opened back up. (I work in retail at a mall in Texas 😒) Since my job is very customer facing I new that my chances were high for being exposed, adding another reason to get tested. Got my positive results back on the 28th after my test on the 26th. 
I am super grateful that, though my job is retail, my company is taking really great care of us in regards to paid time off for the entire 3 month initial lockdown and I’m also being paid while I recover at home. 
As for symptoms, my initial congestion is very slowly clearing up and my taste and smell are already returning after only about 5 days! Which, btw was depressing as hell for me. I LOVE food and not being able to enjoy it for days was killer. I’m so glad it’s already returning. I have been experiencing some shortness of breath the past couple of days, but thankfully nothing more than what I’ve experience with seasonal allergies before. I’m counting myself extremely lucky so far. 
I do however worry so much about my family. I recently moved back home with my parents and younger sister. My dad in particular is at higher risk. I’m finding comfort in the fact though, that 7 days into this and none of them are showing symptoms. I desperately hope it stays that way. It’s been a heavy weight on my mind and it’s so hard trying to not feel guilt and blame for being the one that managed to bring this home, even if I’m sure I got it from being at work and not from being irresponsible. Since Ive been sick though, I only leave my room to go to the bathroom and that’s it. So I’m hoping that whatever exposure they may have had is/and was minimal. 
This whole thing has been more taxing emotionally than anything else. I’m prone to anxiety and bouts of depression and this has definitely been a trigger. 
I do want to shout out to my bf though. He lives in a city about 3hrs from me and this same weekend we deemed it safe enough and planned for him to come down for his birthday today. Obviously this royally screwed things up. He decided to make the trip, despite my pending results, because his mom lives near me and he wanted to visit her too. I got my results about 10 mins after he parked at his moms place on the 28th. I immediately broke, was crying and had NO idea what to do, but he stayed with me on the phone through my whole meltdown. Reassuring me and letting me just cry. 
Since then, he’s been driving to my place everyday to sit in my driveway (my bedroom window directly faces our circle drive out front) in the open trunk of his car to talk to me over the phone through my window for hours, even on his own bday. Which believe me, is SO CLICHE but so sweet and we keep laughing about it how strange this is. I’ve felt so lucky to have him and he’s been so supportive and always checking on me to make sure I’m feeling okay. 
Anyways.....this is very long, but it’s so nice to connect with people who have been through this! Wishing everyone here a fast recovery and journey back to health. ❤️</t>
        </is>
      </c>
      <c r="D2470" t="n">
        <v>1</v>
      </c>
      <c r="E2470" t="n">
        <v>16</v>
      </c>
      <c r="F2470">
        <f>HYPERLINK("https://www.reddit.com/r/COVID19positive/comments/hj1om3/tested_positive_on_the_28th/")</f>
        <v/>
      </c>
      <c r="G2470" t="inlineStr">
        <is>
          <t>2020-06-30 19:32:00</t>
        </is>
      </c>
      <c r="H2470" t="inlineStr">
        <is>
          <t>Tested Positive - Me</t>
        </is>
      </c>
    </row>
    <row r="2471">
      <c r="A2471" t="inlineStr">
        <is>
          <t>hj1upb</t>
        </is>
      </c>
      <c r="B2471" t="inlineStr">
        <is>
          <t>Recovered a few months ago, today experiencing the "early" symptoms</t>
        </is>
      </c>
      <c r="C2471" t="inlineStr">
        <is>
          <t>28, male, caught covid19 in early April, mild case. Recovered after 2-3 weeks at home. Dealt with some post viral pains for another 6-8 weeks after that, on and off, typical stuff.
Today however I seem to be experiencing very faint symptoms similar to how my covid started; mild headache, mild fatigue in the afternoon, one blocked nostril, and a stiff/cracking neck. These are not the usual "wave" symptoms like chest pain and increased heart rate, I don't think this is a relapse.
Suffice it to say I am scared out of my wits and I need someone to talk me through this. How likely is a reinfection so soon after recovery? Any convincing stories of reinfection and not relapse? I haven't been following this sub recently, have there been claims similar to mine?
Is this more likely to just be a cold or other of the countless "background" viruses that we all used to ignore and shrug off without even thinking about it?
The next week will tell I guess, but I am having some really some bad anxiety, like I'm in a nightmare I can't wake up from.</t>
        </is>
      </c>
      <c r="D2471" t="n">
        <v>1</v>
      </c>
      <c r="E2471" t="n">
        <v>12</v>
      </c>
      <c r="F2471">
        <f>HYPERLINK("https://www.reddit.com/r/COVID19positive/comments/hj1upb/recovered_a_few_months_ago_today_experiencing_the/")</f>
        <v/>
      </c>
      <c r="G2471" t="inlineStr">
        <is>
          <t>2020-06-30 19:43:42</t>
        </is>
      </c>
      <c r="H2471" t="inlineStr">
        <is>
          <t>Tested Positive</t>
        </is>
      </c>
    </row>
    <row r="2472">
      <c r="A2472" t="inlineStr">
        <is>
          <t>hj26c7</t>
        </is>
      </c>
      <c r="B2472" t="inlineStr">
        <is>
          <t>Waiting for results :(</t>
        </is>
      </c>
      <c r="C2472" t="inlineStr">
        <is>
          <t>Ok so two days ago I got really sick with a 102 fever and vomiting, next day felt better....I've constantly had a 99-100 degree fever since. Some chest tightness but could be psychosomatic. Rn my fever is 100 and that's after I've taken 1kmg acetaminophen like 4 hours ago so I'm due for more. I went and got tested today but who knows when I get the results. I'm 20m I have a weak immune system. Also have been having alot of weird chills and stuff. I ended up canceling my flight to northcarolina because I don't want to get anyone sick and I don't feel that great. I rescheduled my flight for July 7th so I'll know by then. I have a cough but mucinex helps alot....... I had been taking ibuprofen i switched to acetaminophen</t>
        </is>
      </c>
      <c r="D2472" t="n">
        <v>1</v>
      </c>
      <c r="E2472" t="n">
        <v>15</v>
      </c>
      <c r="F2472">
        <f>HYPERLINK("https://www.reddit.com/r/COVID19positive/comments/hj26c7/waiting_for_results/")</f>
        <v/>
      </c>
      <c r="G2472" t="inlineStr">
        <is>
          <t>2020-06-30 20:06:02</t>
        </is>
      </c>
      <c r="H2472" t="inlineStr">
        <is>
          <t>Presumed Positive - From Doctor</t>
        </is>
      </c>
    </row>
    <row r="2473">
      <c r="A2473" t="inlineStr">
        <is>
          <t>hj2823</t>
        </is>
      </c>
      <c r="B2473" t="inlineStr">
        <is>
          <t>Around 20 days and starting to feel like myself</t>
        </is>
      </c>
      <c r="C2473" t="inlineStr">
        <is>
          <t>After a pretty grueling and scary bout with covid, I am starting to actually feel normal. I can spend a whole day active without needing a nap. I still can't taste or smell but I feel like it might be coming back periodically, usually in the morning. 
There's hope, I think :)</t>
        </is>
      </c>
      <c r="D2473" t="n">
        <v>1</v>
      </c>
      <c r="E2473" t="n">
        <v>14</v>
      </c>
      <c r="F2473">
        <f>HYPERLINK("https://www.reddit.com/r/COVID19positive/comments/hj2823/around_20_days_and_starting_to_feel_like_myself/")</f>
        <v/>
      </c>
      <c r="G2473" t="inlineStr">
        <is>
          <t>2020-06-30 20:09:13</t>
        </is>
      </c>
      <c r="H2473" t="inlineStr">
        <is>
          <t>Tested Positive - Me</t>
        </is>
      </c>
    </row>
    <row r="2474">
      <c r="A2474" t="inlineStr">
        <is>
          <t>hj3jv4</t>
        </is>
      </c>
      <c r="B2474" t="inlineStr">
        <is>
          <t>My friend’s wife got Covid, but he didn’t!</t>
        </is>
      </c>
      <c r="C2474" t="inlineStr">
        <is>
          <t>Another optimistic case: my friend’s wife tested positive, had fatigue, no fever, lost taste and smell, no major cough, for 2 weeks or so. They did absolutely nothing to quarantine from each other— same bed, bathroom, everything. He got no symptoms. His recent antibody test was negative.</t>
        </is>
      </c>
      <c r="D2474" t="n">
        <v>1</v>
      </c>
      <c r="E2474" t="n">
        <v>5</v>
      </c>
      <c r="F2474">
        <f>HYPERLINK("https://www.reddit.com/r/COVID19positive/comments/hj3jv4/my_friends_wife_got_covid_but_he_didnt/")</f>
        <v/>
      </c>
      <c r="G2474" t="inlineStr">
        <is>
          <t>2020-06-30 21:42:46</t>
        </is>
      </c>
      <c r="H2474" t="inlineStr">
        <is>
          <t>Tested Positive - Friends</t>
        </is>
      </c>
    </row>
    <row r="2475">
      <c r="A2475" t="inlineStr">
        <is>
          <t>hj4hf0</t>
        </is>
      </c>
      <c r="B2475" t="inlineStr">
        <is>
          <t>33F - Tested Positive - Isolating together</t>
        </is>
      </c>
      <c r="C2475" t="inlineStr">
        <is>
          <t>Hi everyone. Need some opinions. 
I started developing symptoms 6 days ago, got tested 5 days ago and results back (positive) 3 days ago. 
My boyfriend has his own apartment but typically stays at my house 95% of the time. He left for work the day I started showing symptoms and once I told him I wasn’t feeling well, to just go to his place until I got tested. 
He has no symptoms and is waiting for his test to come back since we had direct contact day of and many days prior. 
If he tested positive, my doctor says there’s no problem for us to isolate together even if he is asymptomatic. That it literally doesn’t matter you have it or not. I asked if it had anything to do with viral load, etc and they just said it’s fine (but I was rushed off the phone). Anyone have any experiences they could share that may help us make a decision if he does come back positive? It would be super helpful if we could be together bc all of his stuff is here and I could use help with meals and frankly, it’s freaking lonely. 
Thank you!</t>
        </is>
      </c>
      <c r="D2475" t="n">
        <v>1</v>
      </c>
      <c r="E2475" t="n">
        <v>8</v>
      </c>
      <c r="F2475">
        <f>HYPERLINK("https://www.reddit.com/r/COVID19positive/comments/hj4hf0/33f_tested_positive_isolating_together/")</f>
        <v/>
      </c>
      <c r="G2475" t="inlineStr">
        <is>
          <t>2020-06-30 22:52:15</t>
        </is>
      </c>
      <c r="H2475" t="inlineStr">
        <is>
          <t>Tested Positive - Me</t>
        </is>
      </c>
    </row>
    <row r="2476">
      <c r="A2476" t="inlineStr">
        <is>
          <t>hj50xr</t>
        </is>
      </c>
      <c r="B2476" t="inlineStr">
        <is>
          <t>I have had a mess of results</t>
        </is>
      </c>
      <c r="C2476" t="inlineStr">
        <is>
          <t>22F Monday 6/22/20 (9 days ago) I tested positive for the antibodies (IgG and IgM) and I got a PCR test that same day however the lab messed up and I never got my results. I went to a different lab on Monday 6/29/20 and tested negative for the antibodies and positive for the PCR. The only symptoms I can say I have had recently was a mild ear pain and a bit of congestion last week (Monday and Tuesday)? Since my diagnosis I have been working out (in isolation) over an hour a day and I feel perfectly fine, no shortness of breath, and no remarkable fatigue. 
How do I interpret this result? Has this happened to anyone else? If I haven’t felt any symptoms in the last week is it safe for me to leave isolation after the 10 days? Especially since I think the exposure was the Tuesday/Wednesday before?</t>
        </is>
      </c>
      <c r="D2476" t="n">
        <v>1</v>
      </c>
      <c r="E2476" t="n">
        <v>3</v>
      </c>
      <c r="F2476">
        <f>HYPERLINK("https://www.reddit.com/r/COVID19positive/comments/hj50xr/i_have_had_a_mess_of_results/")</f>
        <v/>
      </c>
      <c r="G2476" t="inlineStr">
        <is>
          <t>2020-06-30 23:32:48</t>
        </is>
      </c>
      <c r="H2476" t="inlineStr">
        <is>
          <t>Presumed Positive - From Test</t>
        </is>
      </c>
    </row>
    <row r="2477">
      <c r="A2477" t="inlineStr">
        <is>
          <t>hj53pz</t>
        </is>
      </c>
      <c r="B2477" t="inlineStr">
        <is>
          <t>This situation I’m in is strange</t>
        </is>
      </c>
      <c r="C2477" t="inlineStr">
        <is>
          <t>So my around 70 year old father got tested and confirmed positive for covid-19, but he had symptoms for a few days before it was confirmed. Now, I experienced a strange sort of very weak headache and short , weak fever a few days ago for about 10 minutes, and then it stopped. Since then, the only symptoms I have had were just a sore throat and weak cough every few hours, but I’m still almost positive I have it. Could it just be asymptomatic? I’m not sure, but I’m getting tested tomorrow. I don’t know what to do and it’s strange too because my father has been experiencing stronger symptoms, while I haven’t.</t>
        </is>
      </c>
      <c r="D2477" t="n">
        <v>1</v>
      </c>
      <c r="E2477" t="n">
        <v>6</v>
      </c>
      <c r="F2477">
        <f>HYPERLINK("https://www.reddit.com/r/COVID19positive/comments/hj53pz/this_situation_im_in_is_strange/")</f>
        <v/>
      </c>
      <c r="G2477" t="inlineStr">
        <is>
          <t>2020-06-30 23:38:52</t>
        </is>
      </c>
      <c r="H2477" t="inlineStr">
        <is>
          <t>Tested Positive - Family</t>
        </is>
      </c>
    </row>
    <row r="2478">
      <c r="A2478" t="inlineStr">
        <is>
          <t>hj6um6</t>
        </is>
      </c>
      <c r="B2478" t="inlineStr">
        <is>
          <t>Long lasting effects?</t>
        </is>
      </c>
      <c r="C2478" t="inlineStr">
        <is>
          <t>Travelled mid February. Was sick at the beginning of March about 3 days after my wife got sick. Weird sick. Nothing we’ve really experienced before. Felt feverish but temp still ‘normal’. Felt very unwell. An aching band of pressure around my head. Spleen area pain that lasted for days. Nausea. Dizziness. Slight cough. Pain. Diarrhea. Relentless fatigue. 
Fast forward a few months and I’ve been in and out of the ER about 4 times. Pain in my shoulder blades and difficulty breathing. Convulsions. Heart palpitations/ flutters. Sudden gout in my foot even though I eat clean. Abdominal pain / swelling. CT scan, clear. Blood tests, clear. 2 negative swabs tests. First of which was over a month after when I first got sick. Doctors said likely post-viral-syndrome. Anxiety not off the table so they gave me some Ativan. Anxiety calmed down but all the symptoms remained. Now I’m propped up by pillows trying to sleep because I can’t breath lying down.
It’s all so frustrating and it makes me feel crazy as I have no way of knowing what’s really wrong with me. Getting discharged from the hospital empty handed feeling like you’re dying is so maddening. 
Anyone else still fighting months later?</t>
        </is>
      </c>
      <c r="D2478" t="n">
        <v>1</v>
      </c>
      <c r="E2478" t="n">
        <v>13</v>
      </c>
      <c r="F2478">
        <f>HYPERLINK("https://www.reddit.com/r/COVID19positive/comments/hj6um6/long_lasting_effects/")</f>
        <v/>
      </c>
      <c r="G2478" t="inlineStr">
        <is>
          <t>2020-07-01 02:14:43</t>
        </is>
      </c>
      <c r="H2478" t="inlineStr">
        <is>
          <t>Presumed Positive - From Doctor</t>
        </is>
      </c>
    </row>
    <row r="2479">
      <c r="A2479" t="inlineStr">
        <is>
          <t>hj7n8e</t>
        </is>
      </c>
      <c r="B2479" t="inlineStr">
        <is>
          <t>Does anyone feel weak after recovering from corona?</t>
        </is>
      </c>
      <c r="C2479" t="inlineStr">
        <is>
          <t xml:space="preserve"> After 1.5 months symptoms like: lack of smell, temperature, poor appetite, sever weakness are gone, but still feeling weak, don't know what do - maybe i should try multivitamins.</t>
        </is>
      </c>
      <c r="D2479" t="n">
        <v>1</v>
      </c>
      <c r="E2479" t="n">
        <v>12</v>
      </c>
      <c r="F2479">
        <f>HYPERLINK("https://www.reddit.com/r/COVID19positive/comments/hj7n8e/does_anyone_feel_weak_after_recovering_from_corona/")</f>
        <v/>
      </c>
      <c r="G2479" t="inlineStr">
        <is>
          <t>2020-07-01 03:24:32</t>
        </is>
      </c>
      <c r="H2479" t="inlineStr">
        <is>
          <t>Tested Positive - Me</t>
        </is>
      </c>
    </row>
    <row r="2480">
      <c r="A2480" t="inlineStr">
        <is>
          <t>hj7sq1</t>
        </is>
      </c>
      <c r="B2480" t="inlineStr">
        <is>
          <t>Tested Positive Today. My symptoms.</t>
        </is>
      </c>
      <c r="C2480" t="inlineStr">
        <is>
          <t>Hello, I’m a 24 year old male.
The symptoms I’ve had was loss of smell. I can’t smell anything. Even the strongest thing.
I’ve had mild head aches, diarrhea, running nose, fatigue(I also stay up late so idk about this).
Only things I’ve noticed.</t>
        </is>
      </c>
      <c r="D2480" t="n">
        <v>1</v>
      </c>
      <c r="E2480" t="n">
        <v>3</v>
      </c>
      <c r="F2480">
        <f>HYPERLINK("https://www.reddit.com/r/COVID19positive/comments/hj7sq1/tested_positive_today_my_symptoms/")</f>
        <v/>
      </c>
      <c r="G2480" t="inlineStr">
        <is>
          <t>2020-07-01 03:36:49</t>
        </is>
      </c>
      <c r="H2480" t="inlineStr">
        <is>
          <t>Tested Positive - Me</t>
        </is>
      </c>
    </row>
    <row r="2481">
      <c r="A2481" t="inlineStr">
        <is>
          <t>hja4m6</t>
        </is>
      </c>
      <c r="B2481" t="inlineStr">
        <is>
          <t>Finishing my 2 week isolation today. What is next?</t>
        </is>
      </c>
      <c r="C2481" t="inlineStr">
        <is>
          <t>Just curious. Its been 2 weeks since today since my symptoms showed for the 1st time. I feel pretty good now.
What is the next step now? Do i have to get tested again or am i corona free?</t>
        </is>
      </c>
      <c r="D2481" t="n">
        <v>1</v>
      </c>
      <c r="E2481" t="n">
        <v>3</v>
      </c>
      <c r="F2481">
        <f>HYPERLINK("https://www.reddit.com/r/COVID19positive/comments/hja4m6/finishing_my_2_week_isolation_today_what_is_next/")</f>
        <v/>
      </c>
      <c r="G2481" t="inlineStr">
        <is>
          <t>2020-07-01 06:26:15</t>
        </is>
      </c>
      <c r="H2481" t="inlineStr">
        <is>
          <t>Tested Positive - Me</t>
        </is>
      </c>
    </row>
    <row r="2482">
      <c r="A2482" t="inlineStr">
        <is>
          <t>hjahrg</t>
        </is>
      </c>
      <c r="B2482" t="inlineStr">
        <is>
          <t>CVS drive thru testing</t>
        </is>
      </c>
      <c r="C2482" t="inlineStr">
        <is>
          <t>Hello! I started noticing some slight symptoms about 3 days ago. These included pain around the left side of my chest, sore throat, and body fatigue. I decided to get tested using CVS's drive thru testing program. I got tested on the 29th and was curious from people who have used this service how long did it take you to get your results? I've heard varying times from 2 days to a week. I'm also concerned because I don't remember there being anything on my testing bag that included my name or identifying information. Maybe i just wasn't being observant enough but is there a possibility my test could be lost? I appreciate any help with this. Thank you!</t>
        </is>
      </c>
      <c r="D2482" t="n">
        <v>1</v>
      </c>
      <c r="E2482" t="n">
        <v>7</v>
      </c>
      <c r="F2482">
        <f>HYPERLINK("https://www.reddit.com/r/COVID19positive/comments/hjahrg/cvs_drive_thru_testing/")</f>
        <v/>
      </c>
      <c r="G2482" t="inlineStr">
        <is>
          <t>2020-07-01 06:47:30</t>
        </is>
      </c>
      <c r="H2482" t="inlineStr">
        <is>
          <t>Presumed Positive - From Test</t>
        </is>
      </c>
    </row>
    <row r="2483">
      <c r="A2483" t="inlineStr">
        <is>
          <t>hjasb1</t>
        </is>
      </c>
      <c r="B2483" t="inlineStr">
        <is>
          <t>Chronic COVID/COVID long-haulers - status update</t>
        </is>
      </c>
      <c r="C2483" t="inlineStr">
        <is>
          <t>I got sick 3/13 which makes it about 15 weeks. Recap on my course: PCR positive, Antibody negative (quest, LabCorp, and a study), CXR normal, EKG echo and cardiac enzymes just remarkable for a 2-3 wk course of ectopy which seems resolved, labs (CBC, thyroid, cortisol axis, ferritin, IL6) normal, and since PCR neg x3.
Are any of us making progress to recovery? 
I still suffer from rounds of burning in my chest and sinuses after periods of improvement. Usually this is accompanied by relapse in ability to smell and some coughing returning. I am trying to maximize rest. My resting heart rate improved from 80s to 70s this week for no apparent reason. I can't clearly tie activity to declines but am trying to do nothing and see if it helps. This week the declines haven't really been accompanied by fatigue but I do feel deconditioned. I read more and more about ME/CFS and I'm genuinely worried this is permanent to some degree, which will mean my career is over and a year away from having my loans forgiven for working with underserved populations for the obligatory 10 yrs... Looking for some hope.
PS - I know directly and indirectly folks in the research world and I've done my best to educate them on the minimum 10s of thousands of us that exist to encourage them to try to figure out why this is happening to us and I haven't had any encouraging responses. Like everyone is waiting for someone else to do this and it makes me feel like it won't get done.</t>
        </is>
      </c>
      <c r="D2483" t="n">
        <v>1</v>
      </c>
      <c r="E2483" t="n">
        <v>86</v>
      </c>
      <c r="F2483">
        <f>HYPERLINK("https://www.reddit.com/r/COVID19positive/comments/hjasb1/chronic_covidcovid_longhaulers_status_update/")</f>
        <v/>
      </c>
      <c r="G2483" t="inlineStr">
        <is>
          <t>2020-07-01 07:03:39</t>
        </is>
      </c>
      <c r="H2483" t="inlineStr">
        <is>
          <t>Tested Positive - Me</t>
        </is>
      </c>
    </row>
    <row r="2484">
      <c r="A2484" t="inlineStr">
        <is>
          <t>hjbold</t>
        </is>
      </c>
      <c r="B2484" t="inlineStr">
        <is>
          <t>Journal of onset of symptoms: jaw ache and excessive salivation, what?! 😳</t>
        </is>
      </c>
      <c r="C2484" t="inlineStr">
        <is>
          <t>6/26 (Day 1): Head ache, but felt otherwise ok
6/27: Felt not great. Head ache, dry cough &amp;amp; tickley throat, lower back ache, leg pains on and off, low fever at night
6/28: Felt pretty awful. Head ache, crackly or dry cough &amp;amp; tickley throat, lower back ache, leg pain, fever (99.5-100.5), eye/neck ache, reflux (ate spicey food), excessive salivation, some clear mucus production
6/29: Felt slightly better upon waking up. Slightly more clear mucus, slightly warm (99.5), mild lower back ache, neck ache, hoarse voice, nasal passages burning, head ache back by afternoon, no appetite, intense jaw ache, coughed up yellow chunky mucus, excessive salivation, fever increased back to 100 in the evening, jaw pain pretty severe at night
6/30: Felt better today (not totally)- Mild head/neck/jaw ache, excess salivation, jaw ache got more intense in the afternoon into the night, no cough, appetite slightly better.
Got tested.
7/1: Feel not good but not horrible. Moderate eye/jaw ache, mild neck ache, tickley throat &amp;amp; cough, same clear mucus production, a bit congested (possibly unrelated), burped a tiny bit of stomach acid up...
Test result positive.
Lower back pain was my tell, I kind of knew immediately that I have COVID-19 because I got influenza A about a year ago and my first symptoms were lower back pain &amp;amp; a low-ish fever.
The weirdest symptoms I was not expecting are severe jaw ache and excessive salivation!!!! It is the worst!</t>
        </is>
      </c>
      <c r="D2484" t="n">
        <v>2</v>
      </c>
      <c r="E2484" t="n">
        <v>8</v>
      </c>
      <c r="F2484">
        <f>HYPERLINK("https://www.reddit.com/r/COVID19positive/comments/hjbold/journal_of_onset_of_symptoms_jaw_ache_and/")</f>
        <v/>
      </c>
      <c r="G2484" t="inlineStr">
        <is>
          <t>2020-07-01 07:50:52</t>
        </is>
      </c>
      <c r="H2484" t="inlineStr">
        <is>
          <t>Tested Positive - Me</t>
        </is>
      </c>
    </row>
    <row r="2485">
      <c r="A2485" t="inlineStr">
        <is>
          <t>hjc20b</t>
        </is>
      </c>
      <c r="B2485" t="inlineStr">
        <is>
          <t>Possible Temporal Arteritis??</t>
        </is>
      </c>
      <c r="C2485" t="inlineStr">
        <is>
          <t>Hi all, I like to say I have made a full recovery as I have no more symptoms after 3 weeks or so. However, I have been having one issue where my left temple is swollen along with the vein in that region as well. I think this caused a decrease in vision as a result. I looked up these symptoms (classic hypochondriac) and saw temporal arteritis. I read that one of the triggers of this is your immune system attacking itself, which could definitely be covid. Is this a cause for concern?? Trip to ER or just a call with physician?? Anyone with anything similar?? Thanks</t>
        </is>
      </c>
      <c r="D2485" t="n">
        <v>1</v>
      </c>
      <c r="E2485" t="n">
        <v>5</v>
      </c>
      <c r="F2485">
        <f>HYPERLINK("https://www.reddit.com/r/COVID19positive/comments/hjc20b/possible_temporal_arteritis/")</f>
        <v/>
      </c>
      <c r="G2485" t="inlineStr">
        <is>
          <t>2020-07-01 08:09:45</t>
        </is>
      </c>
      <c r="H2485" t="inlineStr">
        <is>
          <t>Tested Positive - Me</t>
        </is>
      </c>
    </row>
    <row r="2486">
      <c r="A2486" t="inlineStr">
        <is>
          <t>hjct5r</t>
        </is>
      </c>
      <c r="B2486" t="inlineStr">
        <is>
          <t>A small piece of practical advice if your loved one has to stay in the hospital.</t>
        </is>
      </c>
      <c r="C2486" t="inlineStr">
        <is>
          <t xml:space="preserve"> 
&amp;amp;#x200B;
The most important thing to know is: you will not be able to visit your loved one in the hospital. If they go on a ventilator, you may be able to make a couple of phone calls per day to get updates but you won't be able to talk to them, and you won't see them unless the staff can set up their device for video chat.
My husband was hospitalized in April for 22 days, 13 of them on the ventilator. I didn't see his face for 12 of those days until an angel of a nurse found his phone, charged it up, found his facebook messenger app, found my name on it, and set up a video call, leaving his phone at his head for an hour or so just so I could talk to him and he could maybe hear my voice. IMO, way above and beyond the call of duty in this situation and I can never thank her enough.
 In order to make this simpler for others, I want to recommend some steps you can take if you are able to prepare a little before going to the hospital:
If they have a smart phone, set it up so that anyone can open it without a password and find whatever video messaging app you prefer right on the home page. Put a piece of tape with the app info and your user name written on it on the back of the phone. Remove all apps with personal info, such as banking and shopping apps, and just leave the video messaging app. Be sure to send a long charging cable as well. Don't send anything else extra other than ID and insurance info. Your loved one will not need it, and it's just more that the staff will have to deal with that they shouldn't.
&amp;amp;#x200B;
Jeepers,  I hope you don't need this advice.</t>
        </is>
      </c>
      <c r="D2486" t="n">
        <v>2</v>
      </c>
      <c r="E2486" t="n">
        <v>41</v>
      </c>
      <c r="F2486">
        <f>HYPERLINK("https://www.reddit.com/r/COVID19positive/comments/hjct5r/a_small_piece_of_practical_advice_if_your_loved/")</f>
        <v/>
      </c>
      <c r="G2486" t="inlineStr">
        <is>
          <t>2020-07-01 08:48:00</t>
        </is>
      </c>
      <c r="H2486" t="inlineStr">
        <is>
          <t>Tested Positive</t>
        </is>
      </c>
    </row>
    <row r="2487">
      <c r="A2487" t="inlineStr">
        <is>
          <t>hjddoy</t>
        </is>
      </c>
      <c r="B2487" t="inlineStr">
        <is>
          <t>Symptoms have returned after a month</t>
        </is>
      </c>
      <c r="C2487" t="inlineStr">
        <is>
          <t>My husband and I had all the symptoms between each other. Our doctor told us to quarantine until no more symptoms. It has been almost a month since symptoms and my husband started to show his same symptoms last night. Does that mean he's contagious again? I've seen some people have symptoms off and on for literally months. Do they quarantine every time the symptoms come back?</t>
        </is>
      </c>
      <c r="D2487" t="n">
        <v>1</v>
      </c>
      <c r="E2487" t="n">
        <v>6</v>
      </c>
      <c r="F2487">
        <f>HYPERLINK("https://www.reddit.com/r/COVID19positive/comments/hjddoy/symptoms_have_returned_after_a_month/")</f>
        <v/>
      </c>
      <c r="G2487" t="inlineStr">
        <is>
          <t>2020-07-01 09:16:34</t>
        </is>
      </c>
      <c r="H2487" t="inlineStr">
        <is>
          <t>Presumed Positive - From Doctor</t>
        </is>
      </c>
    </row>
    <row r="2488">
      <c r="A2488" t="inlineStr">
        <is>
          <t>hjdp9o</t>
        </is>
      </c>
      <c r="B2488" t="inlineStr">
        <is>
          <t>SOB how long does it last</t>
        </is>
      </c>
      <c r="C2488" t="inlineStr">
        <is>
          <t>I’m on day 7 since symptoms started. Started with scratchy throat and no real fever. Occasional night sweating but nothing over 99.4. Day 4 I noticed SOB. Got worse on day 5. Bought an oximeter and it’s been at 97 or 98. Day 6 and today are a little better than day 5 , but still SOb is occurring. Been doing breathing exercises, etc 
My question is how long does SOB last with you guys? Any supplements I can take to aid in recovery from SOB? I know to keep checking my oximeter but anything else I need to be on lookout for?</t>
        </is>
      </c>
      <c r="D2488" t="n">
        <v>1</v>
      </c>
      <c r="E2488" t="n">
        <v>11</v>
      </c>
      <c r="F2488">
        <f>HYPERLINK("https://www.reddit.com/r/COVID19positive/comments/hjdp9o/sob_how_long_does_it_last/")</f>
        <v/>
      </c>
      <c r="G2488" t="inlineStr">
        <is>
          <t>2020-07-01 09:33:24</t>
        </is>
      </c>
      <c r="H2488" t="inlineStr">
        <is>
          <t>Tested Positive - Me</t>
        </is>
      </c>
    </row>
    <row r="2489">
      <c r="A2489" t="inlineStr">
        <is>
          <t>hjdzj5</t>
        </is>
      </c>
      <c r="B2489" t="inlineStr">
        <is>
          <t>Symptoms Log!</t>
        </is>
      </c>
      <c r="C2489" t="inlineStr">
        <is>
          <t>Hello Reddit!
I finally got my results today after calling my county department of health, and I tested positive. I have seen many do this on this subreddit, so I’ll participate and give you all a log of my symptoms. Mind you, my symptoms started on 6/20, then came in full force 6/21. 
Here’s a copy and paste of what I am writing in my notes, I only hope it brings comfort and solace to some of you. 
Corona virus symptoms log
Ricardo Veiga, 20M, No underlying conditions, 6 feet, 3 inches, 190 centimeters, 190 Pounds, 86 Kilograms
6/14, Exposure to COVID Positive person
6/20 - Itchy feeling in back of throat, this was the day I knew something was up
6/21 - Symptom Onset, Nausea, headache, low grade fever, cough
6/22 - Same as previous day, less fever, less headache, almost no coughing 
6/23 - Headache has cleared up, no fever, no cough, headache and nausea returned, subsided after diarrhea and vomiting 
6/24- Almost no symptoms, only a slight scratchy feeling at back of throat 
Ran 2 and 1/4 miles in 24 minutes, more or less the same time i ran pre corona. 
6/25 - Again, almost no symptoms, itch on back of throat, noticed lack of smells and tastes, miss these sensations dearly
6/26 - Itchy feeling on back of throat, pressure on chest? Can’t tell, probably from staying indoors and maintining inactivity throughout day. Breathing is normal. Steam breathing exercise helps, inalationes. 
Was able to taste crushed onion, i’m relieved 
6/27 - woke up early but tired, fell back asleep, probably from going to sleep so late, still have itchy feeling in back of throat, nose feels like it got lysoled 
Ran 2 miles in 23 minutes, breathing felt a little shallow, but that could be from sleeping late and having spent the previous two days sedentary 
6/28 - No itchy feeling, nothing, I was able to work on my house all day, operate heavy machinery and lift heavy loads all day 
6/29 - Slept in super late, could be from the effects of quarantine, not from the virus, had persistent feeling of warmth, heavy chest. Not uncommon if I’ve been sedentary all day. Still no smell or taste 
6/30 - Again, nothing out of the ordinary, had a hot flash in my stomach but that could be from my bad sleeping schedule 
7/1 - called my county department of health, finally got my results, tested positive. Woop de doo. 
Have some mucus in the back of my throat, weird. 
I will update it accordingly, up until I test negative.</t>
        </is>
      </c>
      <c r="D2489" t="n">
        <v>1</v>
      </c>
      <c r="E2489" t="n">
        <v>14</v>
      </c>
      <c r="F2489">
        <f>HYPERLINK("https://www.reddit.com/r/COVID19positive/comments/hjdzj5/symptoms_log/")</f>
        <v/>
      </c>
      <c r="G2489" t="inlineStr">
        <is>
          <t>2020-07-01 09:47:46</t>
        </is>
      </c>
      <c r="H2489" t="inlineStr">
        <is>
          <t>Tested Positive - Me</t>
        </is>
      </c>
    </row>
    <row r="2490">
      <c r="A2490" t="inlineStr">
        <is>
          <t>hjeju9</t>
        </is>
      </c>
      <c r="B2490" t="inlineStr">
        <is>
          <t>My Best Friend Tested Positive (BE RESPONSIBLE LIKE HIM) Message for young people!</t>
        </is>
      </c>
      <c r="C2490" t="inlineStr">
        <is>
          <t>My best friend (21 y.o male) tested positive. But the funny/weird/responsible part is that he was suppose to hang out with me and my group of friends last weekend. In our group chat when he said he didn't feel comfortable going out because someone in his job tested positive, we all kind of messed around with him saying that he should not be scared he probably didn't get it, we all thought he was over-reacting since he had 0 symptoms. Still he was responsible and decided not to hang out with us (we were a group of 4 friends). After this weekend, he told us he tested positive! We were all in shock and completely regret undermining the situation. Luckily he has very minor symptoms and says it just feels like a minor cold. So point of this post, especially for us young people which statistically speaking might not be affected by the virus as strong. With the numbers going up, if you do get it or think you have it, be safe and responsible about it. Symptoms might not be too bad for you, but you can pass it to a friend/loved one/stranger and you don't know how their body will react. Also, don't feel peer pressured if you don't think it's safe to go out. If our friend was not responsible, I could have gotten it, my friends would have gotten it and the spread would have continued. If you do go out (I know it's hard for us to avoid a social life), be cautious about your actions, wear a mask, social distance, and only really go to places that you know are safe and following proper guidelines.</t>
        </is>
      </c>
      <c r="D2490" t="n">
        <v>1</v>
      </c>
      <c r="E2490" t="n">
        <v>18</v>
      </c>
      <c r="F2490">
        <f>HYPERLINK("https://www.reddit.com/r/COVID19positive/comments/hjeju9/my_best_friend_tested_positive_be_responsible/")</f>
        <v/>
      </c>
      <c r="G2490" t="inlineStr">
        <is>
          <t>2020-07-01 10:17:50</t>
        </is>
      </c>
      <c r="H2490" t="inlineStr">
        <is>
          <t>Tested Positive - Friends</t>
        </is>
      </c>
    </row>
    <row r="2491">
      <c r="A2491" t="inlineStr">
        <is>
          <t>hjevno</t>
        </is>
      </c>
      <c r="B2491" t="inlineStr">
        <is>
          <t>27 m, tested positive 1 month ago, recovered in 15 days, after 15 days again got the same symptoms. High fever and everything. Am I positive again?</t>
        </is>
      </c>
      <c r="C2491" t="inlineStr">
        <is>
          <t>Blood work is normal, doc said get tested again as you can be positive again after being negative . I was good for 15 days now again it has started. What to do. Fever not going down and have low energy. My country does not hav antibody tests. Anyone felt the same. Is this a reinfection so soon ?</t>
        </is>
      </c>
      <c r="D2491" t="n">
        <v>1</v>
      </c>
      <c r="E2491" t="n">
        <v>7</v>
      </c>
      <c r="F2491">
        <f>HYPERLINK("https://www.reddit.com/r/COVID19positive/comments/hjevno/27_m_tested_positive_1_month_ago_recovered_in_15/")</f>
        <v/>
      </c>
      <c r="G2491" t="inlineStr">
        <is>
          <t>2020-07-01 10:34:19</t>
        </is>
      </c>
      <c r="H2491" t="inlineStr">
        <is>
          <t>Tested Positive - Me</t>
        </is>
      </c>
    </row>
    <row r="2492">
      <c r="A2492" t="inlineStr">
        <is>
          <t>hjevrh</t>
        </is>
      </c>
      <c r="B2492" t="inlineStr">
        <is>
          <t>( 28 M No underlying conditions) I Tested positive yesterday, don't know where I'm at with it or what to expect</t>
        </is>
      </c>
      <c r="C2492" t="inlineStr">
        <is>
          <t>So the weekend before last I flew to Texas to visit my cousin (not my brightest idea) 
Texas was pretty reckless, nobody wore masks and I was out at bars etc. So not a surprise I ended up with covid the way it's spreading down there.
It started last sunday I woke up with a sore throat, chills, body aches, a cough, and just a shitty feeling almost like when you have strep or the flu. At first I figured it was due to the hangover and because I've been drinking etc. I was just rundown...
Well it didn't go away for the next few days I felt progressively worse, I flew home last tuesday and when I got home I immediately took my temperature, it was 99.7.. slightly elevated but not a fever so I figured maybe I was okay and it was all in my head. 
The next day (Wednesday) I woke up feeling a bit better, the cough and sore throat went away but I did still feel off.. It's hard to explain but I just didn't feel "right". I was fatigued with some body aches but nothing too serious. Now my temperature is normal, in the 97.5-99.0 range, actually this whole time I haven't once had a fever which I find odd.
So then I kind of felt the same for a few days until saturday when I noticed I lost my sense of smell, now this scared the shit out of me because I know that's a classic covid symptom. I noticed my taste was barely there as well. So at this point I figured I have it and scheduled a test for the next day (this past sunday)
Monday I woke up feeling fine, almost 100%. I started to get some hope maybe I didn't have it but the one symptom that still lingered was my loss of smell and taste. Yesterday I woke up feeling a little worse than Monday but nothing too bad. My chest was a little tight and I had some body aches, fatigue, and I was nauseous and having diarrhea... Thats when I got the call I tested positive, the doctor instructed me to stay quarantined 10 more days than I should be good to go. 
Today I feel okay, a little tight in my chest and a little tired, but one thing that happened is my sense of smell and taste is back! I've been smelling everything I can and food is actually good again so I'm hoping that is a sign I'm on my way to recovery?
&amp;amp;#x200B;
Just felt like venting about my experience, so far it hasn't been too bad but I'm not sure what to expect going forward since I've seen a lot of peoples cases linger for a while.
&amp;amp;#x200B;
Thanks</t>
        </is>
      </c>
      <c r="D2492" t="n">
        <v>1</v>
      </c>
      <c r="E2492" t="n">
        <v>8</v>
      </c>
      <c r="F2492">
        <f>HYPERLINK("https://www.reddit.com/r/COVID19positive/comments/hjevrh/28_m_no_underlying_conditions_i_tested_positive/")</f>
        <v/>
      </c>
      <c r="G2492" t="inlineStr">
        <is>
          <t>2020-07-01 10:34:27</t>
        </is>
      </c>
      <c r="H2492" t="inlineStr">
        <is>
          <t>Tested Positive - Me</t>
        </is>
      </c>
    </row>
    <row r="2493">
      <c r="A2493" t="inlineStr">
        <is>
          <t>hjfy36</t>
        </is>
      </c>
      <c r="B2493" t="inlineStr">
        <is>
          <t>A note about testing</t>
        </is>
      </c>
      <c r="C2493" t="inlineStr">
        <is>
          <t>The testing sucks. High false negatives, tests can be poorly administered or messed up at the lab.
Please use common sense. 
Were you around someone positive for any decent amount of time? You probably have it.
Do you have symptoms that make match what we see with COVID? You probably have it.
Did your co workers test positive? You probably have it.
These tests were rushed to market and a negative COVID test doesn’t mean you don’t have it or aren’t contagious.
It could mean they didn’t swab you long enough or deep enough. It could be too early in your exposure.
This is why hospitals require MULTIPLE negative tests before they let people return to work. 
Do not let yourself fall into a false sense of security solely based on a negative test.</t>
        </is>
      </c>
      <c r="D2493" t="n">
        <v>1</v>
      </c>
      <c r="E2493" t="n">
        <v>11</v>
      </c>
      <c r="F2493">
        <f>HYPERLINK("https://www.reddit.com/r/COVID19positive/comments/hjfy36/a_note_about_testing/")</f>
        <v/>
      </c>
      <c r="G2493" t="inlineStr">
        <is>
          <t>2020-07-01 11:27:01</t>
        </is>
      </c>
      <c r="H2493" t="inlineStr">
        <is>
          <t>Tested Positive - Me</t>
        </is>
      </c>
    </row>
    <row r="2494">
      <c r="A2494" t="inlineStr">
        <is>
          <t>hjg7v0</t>
        </is>
      </c>
      <c r="B2494" t="inlineStr">
        <is>
          <t>Stressed as hell, don’t know what to do.</t>
        </is>
      </c>
      <c r="C2494" t="inlineStr">
        <is>
          <t>My dad (65) tested positive last week and has been bed-ridden since Thursday. He normally has high blood pressure so we’re a bit limited in what otc medications we can give him and lately he just has barely been eating nor does he have the energy to get out of bed and walk around. His cough is dry and constant and it’s just really worrisome overall, my mom and I are basically at our wit’s end because he’s not eating or drinking much of what we give him. Should we try taking him to a hospital or keep waiting it out? He doesn’t have shortness of breath but just a really bad cough, a bad headache and weakness all over. Now someone’s put into my mom’s head that the hospital won’t care for him or do much for him in terms of having him feel better. Any advice would be helpful.</t>
        </is>
      </c>
      <c r="D2494" t="n">
        <v>1</v>
      </c>
      <c r="E2494" t="n">
        <v>7</v>
      </c>
      <c r="F2494">
        <f>HYPERLINK("https://www.reddit.com/r/COVID19positive/comments/hjg7v0/stressed_as_hell_dont_know_what_to_do/")</f>
        <v/>
      </c>
      <c r="G2494" t="inlineStr">
        <is>
          <t>2020-07-01 11:40:13</t>
        </is>
      </c>
      <c r="H2494" t="inlineStr">
        <is>
          <t>Tested Positive - Family</t>
        </is>
      </c>
    </row>
    <row r="2495">
      <c r="A2495" t="inlineStr">
        <is>
          <t>hjgosf</t>
        </is>
      </c>
      <c r="B2495" t="inlineStr">
        <is>
          <t>Weird symptom: hair root pain?</t>
        </is>
      </c>
      <c r="C2495" t="inlineStr">
        <is>
          <t>I’m around day 70, mild-moderate course that lasted two weeks, followed by lingering symptoms and a relapse one month later. 
I’m at the tail end (hopefully) of this 2 week relapse that included runny nose/complete loss of smell again, tachycardia, lung pain/shortness of breath - bronchitis diagnosis, severe fatigue and lethargy, and some neuro symptoms (fine motor tremors in hands and some trembling in leg muscles). 
Yesterday I spent the day in a very uncomfortable state, just multifocal headaches (random pain all over head), whole body felt fatigued. Today I felt a bit better but I can’t help but notice this bizarre new symptom. 
I have long hair (a bit past the shoulders) that i usually always keep in a ponytail/messy bun. Starting this morning when I woke up, when I press on the top of my head it hurts in several places (not the entire surface area, but certain parts). If I take out the bun and let my hair down and move my hair around from side to side (like parting it in different ways) it’s really uncomfortable like a dull pain-very noticeable. It feels almost like the follicles at the root are being bent unnaturally. 
Has anyone else experienced this?</t>
        </is>
      </c>
      <c r="D2495" t="n">
        <v>1</v>
      </c>
      <c r="E2495" t="n">
        <v>15</v>
      </c>
      <c r="F2495">
        <f>HYPERLINK("https://www.reddit.com/r/COVID19positive/comments/hjgosf/weird_symptom_hair_root_pain/")</f>
        <v/>
      </c>
      <c r="G2495" t="inlineStr">
        <is>
          <t>2020-07-01 12:03:28</t>
        </is>
      </c>
      <c r="H2495" t="inlineStr">
        <is>
          <t>Tested Positive</t>
        </is>
      </c>
    </row>
    <row r="2496">
      <c r="A2496" t="inlineStr">
        <is>
          <t>hji6x4</t>
        </is>
      </c>
      <c r="B2496" t="inlineStr">
        <is>
          <t>My mom was given a positive diagnosis a few days ago. Yesterday I woke up feeling bad. Today my doctor gave me a presumptive positive diagnosis. I don’t know what to expect. I’m scared.</t>
        </is>
      </c>
      <c r="C2496" t="inlineStr">
        <is>
          <t>I have a low grade fever, constant headache, sore throat, dry cough and extreme fatigue. My chest feels just a little bit heavy. 
Hospitals in my area are close to or at 100% capacity. 
I know my mom and I will probably recover, but the uncertainty is so hard. 
I need some encouragement.</t>
        </is>
      </c>
      <c r="D2496" t="n">
        <v>1</v>
      </c>
      <c r="E2496" t="n">
        <v>26</v>
      </c>
      <c r="F2496">
        <f>HYPERLINK("https://www.reddit.com/r/COVID19positive/comments/hji6x4/my_mom_was_given_a_positive_diagnosis_a_few_days/")</f>
        <v/>
      </c>
      <c r="G2496" t="inlineStr">
        <is>
          <t>2020-07-01 13:20:19</t>
        </is>
      </c>
      <c r="H2496" t="inlineStr">
        <is>
          <t>Presumed Positive - From Doctor</t>
        </is>
      </c>
    </row>
    <row r="2497">
      <c r="A2497" t="inlineStr">
        <is>
          <t>hjj10v</t>
        </is>
      </c>
      <c r="B2497" t="inlineStr">
        <is>
          <t>Long termers - will it be like this forever?</t>
        </is>
      </c>
      <c r="C2497" t="inlineStr">
        <is>
          <t>Hi,
I’ve been reading posts on here for a while now and they have been a great comfort to me.  I thought it would be a good idea to reach out in the hope that those who have recovered can shed some light/ those who are in the same boat as me don’t feel alone. Please excuse me if I’m rambling, I’ve not written a post on here before. 
For context, I’m young (27 f) and before symptoms set in I exercised (boxing, weights and cardio) 5-7 times a week. 
I started feeling unwell on the evening of March 10th 2020. I worked from home on March 11 and 12. I felt a little better on the 12th so I returned to the office on March 13 thinking I had just been experiencing a cold. I started to feel awful in the office (SOB, dizzy, general malaise) - I was sent home from work and called NHS 111 (I’m from the UK) I was told to self isolate for 7 days.
A few days later, I was convinced I was better and that the slight cough I was developing was just a “hangover” from the previous few days’ symptoms. 
On March 17 my symptoms got worse and I went to bed (headache, SOB, dizziness) and the cough I had started to get nasty. It was dry with a hacking sound. I recall my scalp being super sensitive to any kind of touch. 
About 7 days later I felt better. I took it easy and tried to ease myself into exercise. I did a combination of weights and cardio. After weights I would feel more tired than usual but during and after cardio I noticed discomfort in my lungs and slight wheezing. I once again stupidly put this down to a “hangover” of symptoms. 
On March 31 I could feel something was wrong - I was very dizzy and I couldn’t stand or support my body properly. This led to weeks of being pretty much bed-ridden. It was somewhat of a blur and my symptoms fluctuated between awful headaches, pressure in the head, the hacking cough (which towards the end became less dry) body aches, SOB (eased by lying on my stomach or in child’s pose). I made frequent calls to 111 and one call to 999. I was told I was not going to be tested as I was not severe enough (at this point in the UK 111 was saying only those in hospital were being tested) but I was told that I most likely had covid by the 111 handler, a private GP(who put me on 7 days of antibiotics), the ambulance dispatch and an NHS doctor. Towards the end of this period, showers eased the SOB. 
I returned to working from home on April 20. I took time off of exercise and alcohol (I had seen someone suggest it on here). After a while it got easier to go for walks. I increased the distance and thought I was pretty much out of the woods. On the days I relapsed, symptoms included dizziness, pressure in head, general malaise and an infrequent cough, on one day I coughed maybe three times in the day which was a great improvement. On other days, nothing at all. My lung scan came back normal as did my blood test other than showing I was on the lower end of normal for vitamin D. I had been taking vitamins after seeing it recommended on here but I have since increased my vitamin D dosage upon the recommendation of my doctor. 
Up until recently, I had felt much better and was considering doing a post on here to share my experience. Any relapses I did have started to only last half a day. I was starting to be able to drink teeny amounts of alcohol without relapsing and I could walk longer distances - I even started yoga and considered trying to ease into a relatively “easy” workout routine. I thought I was over the worst of it and that my relapses would get less and less severe/frequent. 
This weekend, however, that all changed. I did have a small amount of alcohol on the weekend so that could be why but on Sunday the exhaustion set in and on Monday and Tuesday I ended up spending most of the day in bed. The headaches returned, as did a cough, I had a sore throat and the pressure/dizziness returned. I’m still experiencing the headache, fatigue and dizziness now. 
I’m beginning to feel really low - I’m worried that I will be like this for the foreseeable future. Before this I was incredibly active and healthy and I’m worried I won’t be able to return to my previously active life. 
I was wondering if any of you are  having similar experiences? Are you aware of any long-termers that have recovered?
Thanks.</t>
        </is>
      </c>
      <c r="D2497" t="n">
        <v>1</v>
      </c>
      <c r="E2497" t="n">
        <v>20</v>
      </c>
      <c r="F2497">
        <f>HYPERLINK("https://www.reddit.com/r/COVID19positive/comments/hjj10v/long_termers_will_it_be_like_this_forever/")</f>
        <v/>
      </c>
      <c r="G2497" t="inlineStr">
        <is>
          <t>2020-07-01 14:02:58</t>
        </is>
      </c>
      <c r="H2497" t="inlineStr">
        <is>
          <t>Presumed Positive - From Doctor</t>
        </is>
      </c>
    </row>
    <row r="2498">
      <c r="A2498" t="inlineStr">
        <is>
          <t>hjjg28</t>
        </is>
      </c>
      <c r="B2498" t="inlineStr">
        <is>
          <t>How long did you wait until you tested for negative results?</t>
        </is>
      </c>
      <c r="C2498" t="inlineStr">
        <is>
          <t>This only applies to people who tested positive of course. I get different answers everywhere, the clinic doctor said I should wait 2 weeks with no symptoms before testing and other doctors have said to wait 3 days after no symptoms.
It’s getting significantly harder to test here in Texas so I’m wondering how long everyone waited (with no symptoms) to get the negative results back?</t>
        </is>
      </c>
      <c r="D2498" t="n">
        <v>1</v>
      </c>
      <c r="E2498" t="n">
        <v>8</v>
      </c>
      <c r="F2498">
        <f>HYPERLINK("https://www.reddit.com/r/COVID19positive/comments/hjjg28/how_long_did_you_wait_until_you_tested_for/")</f>
        <v/>
      </c>
      <c r="G2498" t="inlineStr">
        <is>
          <t>2020-07-01 14:24:19</t>
        </is>
      </c>
      <c r="H2498" t="inlineStr">
        <is>
          <t>Tested Positive - Me</t>
        </is>
      </c>
    </row>
    <row r="2499">
      <c r="A2499" t="inlineStr">
        <is>
          <t>hjjifh</t>
        </is>
      </c>
      <c r="B2499" t="inlineStr">
        <is>
          <t>The symptoms I should have been more cognisant of-</t>
        </is>
      </c>
      <c r="C2499" t="inlineStr">
        <is>
          <t>I’m 22/F and the 5th member of the family to test positive so the viral load has reduced substantially. However, these are the symptoms I experienced-
Week 1: tiredness, itchiness in my throat, nasal congestion and an unusual pain in my fingers
Week 2 (ongoing): weakness, indigestion, occasional nasal congestion and itchiness in the throat, acute pain in my calves, muscle soreness, finger pain. 
As I initially hadn’t developed the most common symptoms, i.e fever/coughing, I overlooked my symptoms during week 1 thinking they’re due to the changing weather and tiredness. I did, however, wear a mask at all times around others. 
These symptoms are less spoken of but are still widely prevalent. Reading about them helped me recognize them in myself; I hope it can do the same for someone else!</t>
        </is>
      </c>
      <c r="D2499" t="n">
        <v>1</v>
      </c>
      <c r="E2499" t="n">
        <v>8</v>
      </c>
      <c r="F2499">
        <f>HYPERLINK("https://www.reddit.com/r/COVID19positive/comments/hjjifh/the_symptoms_i_should_have_been_more_cognisant_of/")</f>
        <v/>
      </c>
      <c r="G2499" t="inlineStr">
        <is>
          <t>2020-07-01 14:27:38</t>
        </is>
      </c>
      <c r="H2499" t="inlineStr">
        <is>
          <t>Tested Positive - Me</t>
        </is>
      </c>
    </row>
    <row r="2500">
      <c r="A2500" t="inlineStr">
        <is>
          <t>hjk7j9</t>
        </is>
      </c>
      <c r="B2500" t="inlineStr">
        <is>
          <t>Anybody else dealing with cognitive difficulties?</t>
        </is>
      </c>
      <c r="C2500" t="inlineStr">
        <is>
          <t>Has anyone else experienced  neurological symptoms. I’ve been having issues with my so each (my words coming out slightly jumbled) . Inability to think straight and just a sense of feeling out of it or foggy? My boyfriend figured we could pass the time playing scrabble because I was an English Lit major and words and language have always been my strong suit . I just ended up getting frustrated because I was unable to grasp what I was seeing, forgetful of spelling and everything just seemed to blur together. I’m coming into week 8 and currently in a “relapse” .</t>
        </is>
      </c>
      <c r="D2500" t="n">
        <v>1</v>
      </c>
      <c r="E2500" t="n">
        <v>22</v>
      </c>
      <c r="F2500">
        <f>HYPERLINK("https://www.reddit.com/r/COVID19positive/comments/hjk7j9/anybody_else_dealing_with_cognitive_difficulties/")</f>
        <v/>
      </c>
      <c r="G2500" t="inlineStr">
        <is>
          <t>2020-07-01 15:04:10</t>
        </is>
      </c>
      <c r="H2500" t="inlineStr">
        <is>
          <t>Tested Positive - Me</t>
        </is>
      </c>
    </row>
    <row r="2501">
      <c r="A2501" t="inlineStr">
        <is>
          <t>hjkmoq</t>
        </is>
      </c>
      <c r="B2501" t="inlineStr">
        <is>
          <t>What are the chances of my taste and smell coming back?</t>
        </is>
      </c>
      <c r="C2501" t="inlineStr">
        <is>
          <t>I know that it may not be the anywhere near the same as it was before, but I miss it so much.
As far as I know, I was sick for a week before I was diagnosed. It’s been a little over a week since I was diagnosed and lost my senses. My  time sick has been a loss of appetite, occasionally runny nose (but still able to breathe), slight cough, felt slightly weak/fatigued, and had tightness in my chest. Seeing how others have felt and how long it lasted I seem to have had a very mild case. 
I feel better, but not fully recovered. A little cough every now and then as well as light sniffles. My loss of taste and smell isn’t completely gone, I would say a good 30-40% there. My taste is more concerning to me though, I can distinguish between sweet, salty, sour, bitter, and spicy, but not really any flavors unless it was incredibly strong like soy sauce or garlic oil. 
You don’t think about how much you rely on your smell and taste until you lose it and you don’t want to eat cause nothing’s appealing anymore.</t>
        </is>
      </c>
      <c r="D2501" t="n">
        <v>1</v>
      </c>
      <c r="E2501" t="n">
        <v>5</v>
      </c>
      <c r="F2501">
        <f>HYPERLINK("https://www.reddit.com/r/COVID19positive/comments/hjkmoq/what_are_the_chances_of_my_taste_and_smell_coming/")</f>
        <v/>
      </c>
      <c r="G2501" t="inlineStr">
        <is>
          <t>2020-07-01 15:26:58</t>
        </is>
      </c>
      <c r="H2501" t="inlineStr">
        <is>
          <t>Tested Positive - Me</t>
        </is>
      </c>
    </row>
    <row r="2502">
      <c r="A2502" t="inlineStr">
        <is>
          <t>hjkva3</t>
        </is>
      </c>
      <c r="B2502" t="inlineStr">
        <is>
          <t>Is there any evidence to suggest that antibodies mean lifetime immunity?</t>
        </is>
      </c>
      <c r="C2502" t="inlineStr">
        <is>
          <t>I had COVID back in March and can’t make sense of any good data that answers this question one way or another. I’ve ready so much about antibodies, but nobody is making statements about immunity.
Are antibodies and immunity 100% linked?
Will I and my family have lifetime immunity, like other viruses?</t>
        </is>
      </c>
      <c r="D2502" t="n">
        <v>1</v>
      </c>
      <c r="E2502" t="n">
        <v>8</v>
      </c>
      <c r="F2502">
        <f>HYPERLINK("https://www.reddit.com/r/COVID19positive/comments/hjkva3/is_there_any_evidence_to_suggest_that_antibodies/")</f>
        <v/>
      </c>
      <c r="G2502" t="inlineStr">
        <is>
          <t>2020-07-01 15:39:44</t>
        </is>
      </c>
      <c r="H2502" t="inlineStr">
        <is>
          <t>Tested Positive - Family</t>
        </is>
      </c>
    </row>
    <row r="2503">
      <c r="A2503" t="inlineStr">
        <is>
          <t>hjl5p4</t>
        </is>
      </c>
      <c r="B2503" t="inlineStr">
        <is>
          <t>Symptoms log</t>
        </is>
      </c>
      <c r="C2503" t="inlineStr">
        <is>
          <t>I tested positive on 6/29/2020. Possible exposure occured on 6/24/2020.
1. I was experiencing a difference in breathing, not necessarily being short of breath 2 days prior. I attributed this to my deviated septum. 
2. I started feelings dizzy the day prior. 
3. On Monday 6/29/2020 I woke up at 1:30 AM experiencing severe chest pain localized at the sternum. I went to the ER, and I was told "the doctors won't test you because you haven't been exhibiting other symptoms." I left the ER and woke up again with severe chest pain. 
3. I went back to the ER because the chest pain hadn't gotten better, and the dizziness was ramping up. 
4. I ran a low grade fever a few hours after receiving my diagnosis. 
5. Chest pain turned into more of a chest pressure located at the sternum. The diagnosis for the chest pain at the hospital was labeled as costochondritis. I noticed the pain increases when I sneeze or lie on my back.
6. I was having shortness of breath the day after my diagnosis. 
7. Day 3  and only experienced chest pain when I sneezed or resting on my back. Now it's turned into more of a pressure. 
Hopefully you all can find this helpful.</t>
        </is>
      </c>
      <c r="D2503" t="n">
        <v>1</v>
      </c>
      <c r="E2503" t="n">
        <v>7</v>
      </c>
      <c r="F2503">
        <f>HYPERLINK("https://www.reddit.com/r/COVID19positive/comments/hjl5p4/symptoms_log/")</f>
        <v/>
      </c>
      <c r="G2503" t="inlineStr">
        <is>
          <t>2020-07-01 15:55:30</t>
        </is>
      </c>
      <c r="H2503" t="inlineStr">
        <is>
          <t>Tested Positive - Me</t>
        </is>
      </c>
    </row>
    <row r="2504">
      <c r="A2504" t="inlineStr">
        <is>
          <t>hjl68r</t>
        </is>
      </c>
      <c r="B2504" t="inlineStr">
        <is>
          <t>Roommate tested positive</t>
        </is>
      </c>
      <c r="C2504" t="inlineStr">
        <is>
          <t>My roommate tested positive today for the virus after waking up with a fever this morning. My other roommates and I all got same-day tested and came up negative, however it was still the advice of the nurse that we should all quarantine for 14 days as we could develop symptoms in the next two weeks, having been recently in contact with our positive roommate.
So the three negative roommates are now quarantining with our positive-tested roommate, and are all pretty paranoid about keeping our distance from her while living under the same roof. Does anyone have advice or experience quarantining with someone who has the virus while still staying safe?</t>
        </is>
      </c>
      <c r="D2504" t="n">
        <v>1</v>
      </c>
      <c r="E2504" t="n">
        <v>8</v>
      </c>
      <c r="F2504">
        <f>HYPERLINK("https://www.reddit.com/r/COVID19positive/comments/hjl68r/roommate_tested_positive/")</f>
        <v/>
      </c>
      <c r="G2504" t="inlineStr">
        <is>
          <t>2020-07-01 15:56:21</t>
        </is>
      </c>
      <c r="H2504" t="inlineStr">
        <is>
          <t>Tested Positive - Friends</t>
        </is>
      </c>
    </row>
    <row r="2505">
      <c r="A2505" t="inlineStr">
        <is>
          <t>hjlvct</t>
        </is>
      </c>
      <c r="B2505" t="inlineStr">
        <is>
          <t>When will my smell and taste come back?</t>
        </is>
      </c>
      <c r="C2505" t="inlineStr">
        <is>
          <t>My family tested positive for COVID about 2 weeks ago. I've been recovering since then and I almost feel fine again despite a little fatigue.  The only thing that hasn't come back to me though is my sense of smell and taste. I couldn't even smell garlic and my feel like my taste is still limited with some foods. Just today I was able to smell onions again, but I had to put it right up to my nose to smell anything. I was wondering if there was anything I could do to bring them back quicker or at least know when I can expect them to return. I've read stories about people not being able to smell or taste ever again, but I'm hoping I won't end up like that.</t>
        </is>
      </c>
      <c r="D2505" t="n">
        <v>1</v>
      </c>
      <c r="E2505" t="n">
        <v>4</v>
      </c>
      <c r="F2505">
        <f>HYPERLINK("https://www.reddit.com/r/COVID19positive/comments/hjlvct/when_will_my_smell_and_taste_come_back/")</f>
        <v/>
      </c>
      <c r="G2505" t="inlineStr">
        <is>
          <t>2020-07-01 16:35:27</t>
        </is>
      </c>
      <c r="H2505" t="inlineStr">
        <is>
          <t>Presumed Positive - From Doctor</t>
        </is>
      </c>
    </row>
    <row r="2506">
      <c r="A2506" t="inlineStr">
        <is>
          <t>hjn3kx</t>
        </is>
      </c>
      <c r="B2506" t="inlineStr">
        <is>
          <t>I dont know what to think anymore... very confusing. HELP PLEASE!!!</t>
        </is>
      </c>
      <c r="C2506" t="inlineStr">
        <is>
          <t>Okay so a little about myself, I'm a 31yo Male weigh 230 pounds fairly healthy as far as diet and exercise go. I work in a warehouse so I'm on my feet running around all day. So, back in early march my wife got sick while we were driving to mexico to visit her mom who had a stroke. She was pretty sick the whole trip which was about 4 days. She had pink eye for a day and a cough never took her temp so we do not know if she had a fever. When we got home she started feeling better for a day and went to work(she works nights). That same night as I got home from work my throat was a little itchy and i felt sickness coming on I called my wife and she left work as we did not want to take any chances getting anybody else sick. The next morning my wife fell ill again and I had a minor fever as well. My throat hurt for 3 days although the fever went away I was sick for about 4-5 days in total. I thought it was just the flu, but in late april I got an antibody test for covid out of curiosity which my doctors office told me was 90% effective. It was a rapid blood draw similar to a diabetic test. The antibody test came back positive so I assumed covid is what we had. Well, fast forward to june 18th someone at my work contracted covid and we all had to test negative to be able to come back to work. My test was negative for an active infection. Shortly after that I got another antibody test to see if I possibly still had the antibodies, however I just found out today after a few weeks of waiting that the test came back negative for the antibodies. Mind you this was an actual blood draw from my arm. Now I am so confused as to if I ever really did have covid-19 or the antibodies. Did I have it back in March and developed the antibodies shortly after and then the antibodies went away as it had been over 3 months? I felt lucky that I had the antibodies and was possibly immune, but now I'm second guessing if I ever had it in the first place and am now freaking out about getting it. Please let me know if you guys have heard anything like this before and what you think. Any feedback or knowledge would be greatly appreciated. God bless you guys! Stay safe, stay home and social distance please :)
Thanks for reading my novel!
Randy M</t>
        </is>
      </c>
      <c r="D2506" t="n">
        <v>1</v>
      </c>
      <c r="E2506" t="n">
        <v>17</v>
      </c>
      <c r="F2506">
        <f>HYPERLINK("https://www.reddit.com/r/COVID19positive/comments/hjn3kx/i_dont_know_what_to_think_anymore_very_confusing/")</f>
        <v/>
      </c>
      <c r="G2506" t="inlineStr">
        <is>
          <t>2020-07-01 17:49:05</t>
        </is>
      </c>
      <c r="H2506" t="inlineStr">
        <is>
          <t>Tested Positive - Me</t>
        </is>
      </c>
    </row>
    <row r="2507">
      <c r="A2507" t="inlineStr">
        <is>
          <t>hjn48z</t>
        </is>
      </c>
      <c r="B2507" t="inlineStr">
        <is>
          <t>It seems most people in this sub do not get a cough</t>
        </is>
      </c>
      <c r="C2507" t="inlineStr">
        <is>
          <t>Anyone here actually ended up getting a cough pretty early on in your symptoms? How was it? I started coughing the very next day after onset of symptoms. I’m baffled at how many people here do not report coughing. In my case it’s not like a severe cough but it was there.</t>
        </is>
      </c>
      <c r="D2507" t="n">
        <v>1</v>
      </c>
      <c r="E2507" t="n">
        <v>11</v>
      </c>
      <c r="F2507">
        <f>HYPERLINK("https://www.reddit.com/r/COVID19positive/comments/hjn48z/it_seems_most_people_in_this_sub_do_not_get_a/")</f>
        <v/>
      </c>
      <c r="G2507" t="inlineStr">
        <is>
          <t>2020-07-01 17:50:15</t>
        </is>
      </c>
      <c r="H2507" t="inlineStr">
        <is>
          <t>Tested Positive - Me</t>
        </is>
      </c>
    </row>
    <row r="2508">
      <c r="A2508" t="inlineStr">
        <is>
          <t>hjnba9</t>
        </is>
      </c>
      <c r="B2508" t="inlineStr">
        <is>
          <t>time to ride this out til i get better</t>
        </is>
      </c>
      <c r="C2508" t="inlineStr">
        <is>
          <t>20 Male , no underlying conditions. today i tested positive and my symptoms are congestion, phlegm, and no taste/ smell. if you have any tips/ recommendations on what to do to get better lmk please. i got the virus from my girlfriend, she had it and i was caring for her ( taking proper precautions) still managed to get it. she’s doing way better! thankfully now it’s my turn:) also can she get it again from me if she tests negative next time she has a test?</t>
        </is>
      </c>
      <c r="D2508" t="n">
        <v>1</v>
      </c>
      <c r="E2508" t="n">
        <v>6</v>
      </c>
      <c r="F2508">
        <f>HYPERLINK("https://www.reddit.com/r/COVID19positive/comments/hjnba9/time_to_ride_this_out_til_i_get_better/")</f>
        <v/>
      </c>
      <c r="G2508" t="inlineStr">
        <is>
          <t>2020-07-01 18:02:08</t>
        </is>
      </c>
      <c r="H2508" t="inlineStr">
        <is>
          <t>Tested Positive - Me</t>
        </is>
      </c>
    </row>
    <row r="2509">
      <c r="A2509" t="inlineStr">
        <is>
          <t>hjno14</t>
        </is>
      </c>
      <c r="B2509" t="inlineStr">
        <is>
          <t>Anxiety?</t>
        </is>
      </c>
      <c r="C2509" t="inlineStr">
        <is>
          <t>Hey everyone, I went to my job for a small gathering for my managers birthday on 6/24. Today I got a call from my co worker saying my manager tested positive for COVID. Even though I didn’t spend much time around her and wore my mask a lot, I am still crazy anxious and am scheduled to get tested this Friday. Anyone know of any ways to calm your nerves for now? I feel so antsy on top of finding out it takes 3-5 days to get my results!</t>
        </is>
      </c>
      <c r="D2509" t="n">
        <v>1</v>
      </c>
      <c r="E2509" t="n">
        <v>4</v>
      </c>
      <c r="F2509">
        <f>HYPERLINK("https://www.reddit.com/r/COVID19positive/comments/hjno14/anxiety/")</f>
        <v/>
      </c>
      <c r="G2509" t="inlineStr">
        <is>
          <t>2020-07-01 18:23:51</t>
        </is>
      </c>
      <c r="H2509" t="inlineStr">
        <is>
          <t>Tested Positive - Friends</t>
        </is>
      </c>
    </row>
    <row r="2510">
      <c r="A2510" t="inlineStr">
        <is>
          <t>hjooh8</t>
        </is>
      </c>
      <c r="B2510" t="inlineStr">
        <is>
          <t>Brain Fog</t>
        </is>
      </c>
      <c r="C2510" t="inlineStr">
        <is>
          <t>For those who have the brain fog after Covid. Did it improve? If so, how long did it take for you?</t>
        </is>
      </c>
      <c r="D2510" t="n">
        <v>1</v>
      </c>
      <c r="E2510" t="n">
        <v>22</v>
      </c>
      <c r="F2510">
        <f>HYPERLINK("https://www.reddit.com/r/COVID19positive/comments/hjooh8/brain_fog/")</f>
        <v/>
      </c>
      <c r="G2510" t="inlineStr">
        <is>
          <t>2020-07-01 19:31:16</t>
        </is>
      </c>
      <c r="H2510" t="inlineStr">
        <is>
          <t>Tested Positive - Me</t>
        </is>
      </c>
    </row>
    <row r="2511">
      <c r="A2511" t="inlineStr">
        <is>
          <t>hjq0z1</t>
        </is>
      </c>
      <c r="B2511" t="inlineStr">
        <is>
          <t>Possibly asymptomatic</t>
        </is>
      </c>
      <c r="C2511" t="inlineStr">
        <is>
          <t>I’m 34F, in good health but I do have pretty bad asthma which is well-controlled with daily meds. 
We had a trip to the beach planned this weekend with some friends, and each person went to get tested before the trip so we could feel safe and not social distance since we were sharing a condo. 
I went to an urgent care with drive thru testing, with rapid results. 15 min later the nurse came to my car and told me I was positive. I was so shocked. I did see her swab the guy behind me in line while holding my specimen, so I was convinced she had mixed up our tests. So she tests me again and it’s still positive. 
Had we not had this trip, I would have never been tested. I didn’t think I had any symptoms, but now that I know, I’m thinking... maybe my throat was sore. I guess I have been a little achy. Definitely been fatigued this week, but I thought it was just from having a busy toddler. No fever, no cough. No major symptoms. Hopefully it stays that way. 
When did everyone else’s symptoms start?</t>
        </is>
      </c>
      <c r="D2511" t="n">
        <v>1</v>
      </c>
      <c r="E2511" t="n">
        <v>6</v>
      </c>
      <c r="F2511">
        <f>HYPERLINK("https://www.reddit.com/r/COVID19positive/comments/hjq0z1/possibly_asymptomatic/")</f>
        <v/>
      </c>
      <c r="G2511" t="inlineStr">
        <is>
          <t>2020-07-01 21:06:53</t>
        </is>
      </c>
      <c r="H2511" t="inlineStr">
        <is>
          <t>Tested Positive - Me</t>
        </is>
      </c>
    </row>
    <row r="2512">
      <c r="A2512" t="inlineStr">
        <is>
          <t>hjq2ou</t>
        </is>
      </c>
      <c r="B2512" t="inlineStr">
        <is>
          <t>I contracted it from my parents and I would do it again in a heart beat.</t>
        </is>
      </c>
      <c r="C2512" t="inlineStr">
        <is>
          <t>I’m writing to you from AZ, and we’re getting our ass kicked. My mom and dad are pushing their 80s and both have serious health issues. They both ended up in the hospital with extreme fatigue and a UTI but thank god nothing respiratory besides my dads xrays looking rough. They both testes positive. I spent the next 3 days helping them in their home, my mother was so weak I had to carry her from her toilet to her bed and I helped cook, clean, and supplied their pantry too. I’m super happy to say they are slowly on the mend.
This was exactly a week ago. I took precautions and wore a mask yada yada but knew I was exposing myself. Going to sleep last night my chest felt weird, like my heart was pounding out of my chest. Well I woke up today shaking from the chills, feeling like my skull is cracked, and aching all over. With a bit of gastric issues. My HR and BP were elevated way out of normal ranges for me. I was told that’s because my immune system is ramping up. With the state being on fire it took me a while to find a clinic that still had swabs. This was BEFORE 11AM!! Due to back log of kits it should be a week before I get results but I was told “assume you have it. We’re assuming you do”. 
All these symptoms are coming in waves of feeling nothing to feeling crushed by the world. This sucks and it’s only started but reflecting on my choices I didn’t catch it being a knob. I did it helping people I love who need me. I’d do it again in a flash knowing full well I’d feel like I do now. I’m hoping for a mild case and controlling what I can but let’s see where this goes.</t>
        </is>
      </c>
      <c r="D2512" t="n">
        <v>1</v>
      </c>
      <c r="E2512" t="n">
        <v>83</v>
      </c>
      <c r="F2512">
        <f>HYPERLINK("https://www.reddit.com/r/COVID19positive/comments/hjq2ou/i_contracted_it_from_my_parents_and_i_would_do_it/")</f>
        <v/>
      </c>
      <c r="G2512" t="inlineStr">
        <is>
          <t>2020-07-01 21:10:10</t>
        </is>
      </c>
      <c r="H2512" t="inlineStr">
        <is>
          <t>Presumed Positive - From Doctor</t>
        </is>
      </c>
    </row>
    <row r="2513">
      <c r="A2513" t="inlineStr">
        <is>
          <t>hjq70y</t>
        </is>
      </c>
      <c r="B2513" t="inlineStr">
        <is>
          <t>How long are you contagious</t>
        </is>
      </c>
      <c r="C2513" t="inlineStr">
        <is>
          <t>I got covid on middle March and I'm still having some symptoms like dry cough, headaches and throat pain , is it safe to be around other people without wearing a mask ?</t>
        </is>
      </c>
      <c r="D2513" t="n">
        <v>1</v>
      </c>
      <c r="E2513" t="n">
        <v>8</v>
      </c>
      <c r="F2513">
        <f>HYPERLINK("https://www.reddit.com/r/COVID19positive/comments/hjq70y/how_long_are_you_contagious/")</f>
        <v/>
      </c>
      <c r="G2513" t="inlineStr">
        <is>
          <t>2020-07-01 21:19:20</t>
        </is>
      </c>
      <c r="H2513" t="inlineStr">
        <is>
          <t>Tested Positive - Me</t>
        </is>
      </c>
    </row>
    <row r="2514">
      <c r="A2514" t="inlineStr">
        <is>
          <t>hjqaqo</t>
        </is>
      </c>
      <c r="B2514" t="inlineStr">
        <is>
          <t>Anyone short of breath but their oxygen saturation is fine?</t>
        </is>
      </c>
      <c r="C2514" t="inlineStr">
        <is>
          <t>I am often short of breath which worries me a lot, but I have an oxygen saturation tester thingy and usually when I use it my readings are perfect at like 97-99%. Is this normal? Why would I feel out of breath when my oxygen levels are fine? 
Once in a while my oxygen levels are lower and have been as low as 89%, so my other question is when should I be worried? What number should I look out for? When should I go to the ER or call 911?</t>
        </is>
      </c>
      <c r="D2514" t="n">
        <v>1</v>
      </c>
      <c r="E2514" t="n">
        <v>6</v>
      </c>
      <c r="F2514">
        <f>HYPERLINK("https://www.reddit.com/r/COVID19positive/comments/hjqaqo/anyone_short_of_breath_but_their_oxygen/")</f>
        <v/>
      </c>
      <c r="G2514" t="inlineStr">
        <is>
          <t>2020-07-01 21:26:48</t>
        </is>
      </c>
      <c r="H2514" t="inlineStr">
        <is>
          <t>Tested Positive</t>
        </is>
      </c>
    </row>
    <row r="2515">
      <c r="A2515" t="inlineStr">
        <is>
          <t>hjqtse</t>
        </is>
      </c>
      <c r="B2515" t="inlineStr">
        <is>
          <t>Tested positive and got it from work.</t>
        </is>
      </c>
      <c r="C2515" t="inlineStr">
        <is>
          <t>I’m a 24 year old female, some auto immune diseases but not the ones on the CDC’s list. I work 40+ hours in a dine in restaurant. I get 4 days off a month, so it’s pretty obvious I got it from work, at least that’s what the health department says. My fiancé tested negative and hasn’t shown symptoms thus far, she is in isolation at a hotel room with our two cats. My symptoms started 6/21. I tested 3 days after I started showing symptoms, here’s my timeline so far:
6/21- Slight sore throat, and mild headache.
6/22-23 Sore throat, headache, body aches, low grade fever 100.4, and diarrhea.
6/24- Tested positive at a drive up testing site. Severe headache, swollen/sensitive eyes, fatigue, muscle aches, no appetite, diarrhea. 
6/25- No smell, swollen eyes, fatigue, muscle ache.
6/26- No smell, hard to breathe, fatigue muscle aches, joint pain.
6/27- No smell, felt good for most the day. 
6/28- No smell, felt good slight breathing difficulties.
6/29- No smell, runny nose, cough, headache, phlegm production.
6/30- Slight sense of smell, breathing difficulties, fatigue.
7/1- Slight sense of smell, breathing difficulties when doing simple tasks, swollen eyes, drainage. 
It’s been 11 days, I am having a hard time being positive, I gave it to my best friends... one of them has asthma. It seems like the virus is giving it’s last run since I’m having drainage now, but I still feel awful. How do people return back to work after this? I can barely put groceries away without falling over.. I guess I’m just happy that I’m not in the hospital, I know plenty of people have it worse off than me, It still just sucks regardless.</t>
        </is>
      </c>
      <c r="D2515" t="n">
        <v>1</v>
      </c>
      <c r="E2515" t="n">
        <v>9</v>
      </c>
      <c r="F2515">
        <f>HYPERLINK("https://www.reddit.com/r/COVID19positive/comments/hjqtse/tested_positive_and_got_it_from_work/")</f>
        <v/>
      </c>
      <c r="G2515" t="inlineStr">
        <is>
          <t>2020-07-01 22:08:32</t>
        </is>
      </c>
      <c r="H2515" t="inlineStr">
        <is>
          <t>Tested Positive - Me</t>
        </is>
      </c>
    </row>
    <row r="2516">
      <c r="A2516" t="inlineStr">
        <is>
          <t>hjquva</t>
        </is>
      </c>
      <c r="B2516" t="inlineStr">
        <is>
          <t>my stepfather passed away</t>
        </is>
      </c>
      <c r="C2516" t="inlineStr">
        <is>
          <t>my stepdad was in the hospital for a month. he wasnt improving. his kidney failed. liver failed and lungs collapsed. he had to go on the ventilator as soon as he went to the ER but thats because he didn't take care of himself. as i said before he would mock us. he didnt believe in the virus. he continued to live his life day by day as if the virus didn't exist. the part that could have saved his life is my father had a pneumonia like me. back in april i had one. i got help and thats why im alive today. he didnt. he refused to go to the hospital. before my pneumonia got worse i got help.  the first sign of covid-19 is a pneumonia and never in my life i had one. anyways 3-4 weeks before my father got sick he was complaining of chest pains.
we would ask him go to the ER he said no. a few weeks ago he got worse. a night before he landed in the hospital i knew something was wrong. in the morning i woke up. i went to his room (he was staying in a room by himself since he was going in and out my mother didnt wanna get sick) we were distancing ourselfs from him. in the morning when i woke up i went to him and i he looked at me. i could tell he was sick, that look on his face broke my heart. it was a look of fear. he knew he had the virus. so he went to the ER and thats the last i saw him while he was alive. he got admitted and put on a ventilator. he tested positive for covid-. it was too late to save him. the pneumonia traveled and got worse. his kidney failed,liver,lungs. his hands was turning gangegrene. the virus was causing blood clot. his feet was turning gangegrene. they couldnt amputate his hands and feet because he wouldnt survive the surgery because he was already in bad condition. the gangrene was causing him discomfort and  fevers. so basically he was suffering.  
my stepdad father told my mother that if he ever loses his feet or arms and he's in the hospital to dont try and save him and let him go in peace. he said that in 2009. my father is a very active person. so losing his arms and feet means there is no reason to live because he lost his freedom. me and my mother made the decison to let him go in peace. its not because of the him losing his arms and feet. my father tested negative for covid but the virus already did damage to his body so he had no chance of surviving. if his kidney didnt fail or his liver then we could have taken care of him because at the end of the day thats family and thats what we are suppose to do for family. 
i was being selfish keeping him on life support because i couldnt let go. he was suffering because of my selfishness. he left me and my mother with responsibility and my mother wasnt capable of making decisions so it was up to me. i lost two people in my life. my sister died of cancer last month and now my stepdad. ive been pretending im okay so people wont ask me or try to talk to me. ive been masking my pain in my school work preparing for college and focusing on my future. i feel numb. i was crying to the point where i cant cry anymore. i feel nothing. losing people in your family is hard. and i dont care what anyone says, time dont heal anything. you just learn to live with it. i feel like i have less purpose in this world. i feel like whats the point of going to college when i could die any day. when im outside i get flash backs and have break downs on the street. i start crying in public and people look at me thinking im crazy. i feel broken inside. like a piece of me is gone. no one should have to die the way my dad did. life has less meaning when your love ones are gone. im pretending to be strong but i feel weak. i feel like im suffering in silence.</t>
        </is>
      </c>
      <c r="D2516" t="n">
        <v>1</v>
      </c>
      <c r="E2516" t="n">
        <v>10</v>
      </c>
      <c r="F2516">
        <f>HYPERLINK("https://www.reddit.com/r/COVID19positive/comments/hjquva/my_stepfather_passed_away/")</f>
        <v/>
      </c>
      <c r="G2516" t="inlineStr">
        <is>
          <t>2020-07-01 22:10:56</t>
        </is>
      </c>
      <c r="H2516" t="inlineStr">
        <is>
          <t>Tested Positive</t>
        </is>
      </c>
    </row>
    <row r="2517">
      <c r="A2517" t="inlineStr">
        <is>
          <t>hjrqwc</t>
        </is>
      </c>
      <c r="B2517" t="inlineStr">
        <is>
          <t>Healthcare worker here who tested positive, how do you cope with the loss of smell and everything feeling like you’re inhaling fire?</t>
        </is>
      </c>
      <c r="C2517" t="inlineStr">
        <is>
          <t>I lost my smell yesterday and I noticed that whenever I inhale it feels like I’m breathing in TOO much air. It’s either “feels like fire” or “smells like chemical inhalation” :/ what can I do?</t>
        </is>
      </c>
      <c r="D2517" t="n">
        <v>1</v>
      </c>
      <c r="E2517" t="n">
        <v>8</v>
      </c>
      <c r="F2517">
        <f>HYPERLINK("https://www.reddit.com/r/COVID19positive/comments/hjrqwc/healthcare_worker_here_who_tested_positive_how_do/")</f>
        <v/>
      </c>
      <c r="G2517" t="inlineStr">
        <is>
          <t>2020-07-01 23:21:08</t>
        </is>
      </c>
      <c r="H2517" t="inlineStr">
        <is>
          <t>Tested Positive - Me</t>
        </is>
      </c>
    </row>
    <row r="2518">
      <c r="A2518" t="inlineStr">
        <is>
          <t>hjsudq</t>
        </is>
      </c>
      <c r="B2518" t="inlineStr">
        <is>
          <t>I went back to work today and was welcomed back with a final warning write up.</t>
        </is>
      </c>
      <c r="C2518" t="inlineStr">
        <is>
          <t>Can I post an image? I'll just narrate and comment. The write up says I told my coworkers, then my lead I had tested positive for covid. I actually told them all at the same time because they were sitting at the same table and I thought they had a right to know since I was pretty sure I caught it at work. I'm thinking this action is the real reason for the write up.
Then it makes stuff up about how I knew I was experiencing symptoms of covid and continued to come to work and didn't tell my supervisor. Actually I was experiencing symptoms of my chronic allergies and sinusitus which are not any of the symptoms posted on the door. I was feeling poorly enough to go home early on Wednesday, then it was my weekend and I called in sick on Sunday. I was feeling good Monday, so I came back to work. I had this long conversation with my lead on Monday about my sinus infection and his headaches and was never told it was an issue. 
I'm also apparently in trouble for getting a covid test and not telling my work. My county was able to do asymptomatic testing for a couple of weeks, so hell yeah my morbidly obese asthmatic self took advantage of that. I'm also pretty sure it is none of my employer's business what medical tests I am getting. I also have this paper from the county that says I was tested as asymptomatic and instructing me to go back to work as long as I don't have a fever or acute respiratory symptoms. I can't wait to shove that paper in my lying boss's face.
Then it goes on to say I came to work with symptoms after I had been tested and didn't social distance. We've already been over the first part. The only not social distancing I can think of not doing is sitting too close to a coworker at break. However, the coworker I wasn't social distancing with did not get a write up. 
I'm thinking this is weird, but maybe they are just trying to set an example and get everyone to take this more seriously. Then I start talking to coworkers. My boss had tried to talk my contacts out of quarantining and testing including the one person I was sure I infected because we eat lunch together. She tested negative and has had no symptoms thankfully. Two members of her household also work there, but only the coworker I eat with was allowed to quarantine.
After a covid scare all they did was leave a thermometer that reads two degrees too low by the metal detector so we can take our own temperatures and took a few chairs out of the break room. They also added a note on the break room door saying to keep the  door closed because the AC is on, because what we all need is more recirculating air while eating without our masks on. When I told my boss my symptoms, nasal congestion and runny nose, had been added by the CDC and should be added to the note on the door I was told the note had been through legal and they weren't going to change it.
I'm calling HR tomorrow. I'm hoping this is all my boss being bad at her job and a terrible human being. If this turns out to be rotten from the top I'm getting the hell out of this place.</t>
        </is>
      </c>
      <c r="D2518" t="n">
        <v>1</v>
      </c>
      <c r="E2518" t="n">
        <v>4</v>
      </c>
      <c r="F2518">
        <f>HYPERLINK("https://www.reddit.com/r/COVID19positive/comments/hjsudq/i_went_back_to_work_today_and_was_welcomed_back/")</f>
        <v/>
      </c>
      <c r="G2518" t="inlineStr">
        <is>
          <t>2020-07-02 00:51:14</t>
        </is>
      </c>
      <c r="H2518" t="inlineStr">
        <is>
          <t>Tested Positive - Me</t>
        </is>
      </c>
    </row>
    <row r="2519">
      <c r="A2519" t="inlineStr">
        <is>
          <t>hjsyj3</t>
        </is>
      </c>
      <c r="B2519" t="inlineStr">
        <is>
          <t>Severe abdominal pain - what do I do?</t>
        </is>
      </c>
      <c r="C2519" t="inlineStr">
        <is>
          <t>I tested positive on Tuesday. Tonight I am having the worst abdominal pain I’ve ever felt in my life, so much so that I had my boyfriend drive me to the ER, then changed my mind once I found out how long the wait was. It’s in the top of my abdomen near my chest and it’s also caused me to vomit a bunch. Those with similar symptoms, please tell me I’m not dying because it feels like I am. What helped you feel better?</t>
        </is>
      </c>
      <c r="D2519" t="n">
        <v>1</v>
      </c>
      <c r="E2519" t="n">
        <v>5</v>
      </c>
      <c r="F2519">
        <f>HYPERLINK("https://www.reddit.com/r/COVID19positive/comments/hjsyj3/severe_abdominal_pain_what_do_i_do/")</f>
        <v/>
      </c>
      <c r="G2519" t="inlineStr">
        <is>
          <t>2020-07-02 01:01:53</t>
        </is>
      </c>
      <c r="H2519" t="inlineStr">
        <is>
          <t>Tested Positive - Me</t>
        </is>
      </c>
    </row>
    <row r="2520">
      <c r="A2520" t="inlineStr">
        <is>
          <t>hjtyxx</t>
        </is>
      </c>
      <c r="B2520" t="inlineStr">
        <is>
          <t>Does anyone have a stiff neck?</t>
        </is>
      </c>
      <c r="C2520" t="inlineStr">
        <is>
          <t>I was worried I might've had meningitis but it turned out to be COVID. Does anyone else have a stiff neck and a vague headache? I have a fever too but that's to be expected.</t>
        </is>
      </c>
      <c r="D2520" t="n">
        <v>1</v>
      </c>
      <c r="E2520" t="n">
        <v>56</v>
      </c>
      <c r="F2520">
        <f>HYPERLINK("https://www.reddit.com/r/COVID19positive/comments/hjtyxx/does_anyone_have_a_stiff_neck/")</f>
        <v/>
      </c>
      <c r="G2520" t="inlineStr">
        <is>
          <t>2020-07-02 02:33:07</t>
        </is>
      </c>
      <c r="H2520" t="inlineStr">
        <is>
          <t>Tested Positive</t>
        </is>
      </c>
    </row>
    <row r="2521">
      <c r="A2521" t="inlineStr">
        <is>
          <t>hjus94</t>
        </is>
      </c>
      <c r="B2521" t="inlineStr">
        <is>
          <t>Wtf do I expect???</t>
        </is>
      </c>
      <c r="C2521" t="inlineStr">
        <is>
          <t>Let me just start off by saying, when this whole COVID-19 started I didn’t think much of it. I see the news making a big deal out of it and I would tell myself “Ahhhh whatever this shit will go away soon.” When a friend contracted the disease I was like “Hmmmmm he’ll be alright” when 4 of my coworkers tested positive I was like “They are so lucky they are getting time off.” I honestly didn’t care/think much of the virus, and although I always used a mask to protect myself from a “devastating disease” I honestly didn’t wash my hands much because I just honestly didn’t see myself ever contracting anything. Then it happened, last Friday I felt a little tired, more than usual after work but didn’t think much of it. I went to my parents house to pick up my baby girl, but ended up spending the night because I was too exhausted. I woke up the next day for work and still felt tired but better than the previous day. I went into work that Friday with really no issues, just feeling fatigue but not enough for me to take notice (my co worker even made a joke about me having the virus, that’s how minimal the feeling was) Monday comes along and I developed a minor headache, I notice my nose is mildly congested, and I begin to clear my throat a couple of times during the day because I had mucus in my throat (beyond light mucus). Aside from that I was working at 1000% because I did not experience any fatigue on Monday. On Tuesday I woke up sore behind my neck, and my upper back. The headache was still persistent (didn’t get worse or better), and still had mild congestion in my nose. At that point I realized “Shitttt I could possibly have the virus” I was kind of in denial during my whole shift thinking about my symptoms. As if that wasn’t bad enough, I felt a sharp itchy pain on the inside of my palm that quickly went away. Then towards the end of my shift I felt a “faint” feeling as if I was going to pass out for a second. At that point I was convinced that there were too many weird symptoms/experiences that I couldn’t shrug it off as a coincidence. On my way home I left my mask on and I texted my girl and told her I’m almost sure I have the virus. She agreed as I had kept her up to date with my symptoms since the week before. That night I had mild diarrhea, and got a few itchy bumps on my arm and my back after I took a shower. When I woke up Wednesday, my right eye was kind of crusty and itchy, my headache still remained, I felt beyond exhausted, I noticed a mild sharp pain on the side of my left chest, and my left big toe was semi swollen. I called my job and told them I was unable to make it in because I thought I might have contracted the virus. I went to the testing site and got there too late and they refused to test me. It is currently Thursday 5:31am and I feel a little shaky. I have also been seeing movement in the room when I know there hasn’t (like black spots) I feel sleepy right now but I rather stay up until 8am to get tested. Although I haven’t gotten a fever or lost my sense of smell and taste I could definitely see why people are doing everything possible to avoid this shit. Wish me the best of luck guys, want this shit to be over with already. I’ll keep y’all updated</t>
        </is>
      </c>
      <c r="D2521" t="n">
        <v>1</v>
      </c>
      <c r="E2521" t="n">
        <v>0</v>
      </c>
      <c r="F2521">
        <f>HYPERLINK("https://www.reddit.com/r/COVID19positive/comments/hjus94/wtf_do_i_expect/")</f>
        <v/>
      </c>
      <c r="G2521" t="inlineStr">
        <is>
          <t>2020-07-02 03:45:02</t>
        </is>
      </c>
      <c r="H2521" t="inlineStr">
        <is>
          <t>Presumed Positive - From Test</t>
        </is>
      </c>
    </row>
    <row r="2522">
      <c r="A2522" t="inlineStr">
        <is>
          <t>hjv2yt</t>
        </is>
      </c>
      <c r="B2522" t="inlineStr">
        <is>
          <t>36F really struggling and have questions</t>
        </is>
      </c>
      <c r="C2522" t="inlineStr">
        <is>
          <t>Hi! I’ve been sick for almost 5 weeks now. Running a fever between 100.3 and 103.1 consistently. I’ve had two COVID tests come back negative, but my doctor is presuming I have it. I’m hoping to get the antibody today. Flu, strep, and mono have also come back negative. I’ve also been on 2 z-packs. 
My symptoms are the fever, pain when taking a deep breath, cough, sore throat, headache, earache, muscle and joint pain, and overall lousy feeling. 
My partner, whom I live with has been all around me and up in my business and he’s totally fine. My best friend whose house I was at before getting tested is fine. I keep wondering if there’s something more going on with me than COVID because I don’t seem to be contagious (which is great). 
I’m taking zinc, vitamin C, Pepcid (thanks indigestion), magnesium, and vitamin d.
A couple questions. Does anyone else seem not to be contagious? And has anyone else had an ongoing fever? Like, going on a month? 
Thanks so much!!</t>
        </is>
      </c>
      <c r="D2522" t="n">
        <v>1</v>
      </c>
      <c r="E2522" t="n">
        <v>17</v>
      </c>
      <c r="F2522">
        <f>HYPERLINK("https://www.reddit.com/r/COVID19positive/comments/hjv2yt/36f_really_struggling_and_have_questions/")</f>
        <v/>
      </c>
      <c r="G2522" t="inlineStr">
        <is>
          <t>2020-07-02 04:10:17</t>
        </is>
      </c>
      <c r="H2522" t="inlineStr">
        <is>
          <t>Presumed Positive - From Doctor</t>
        </is>
      </c>
    </row>
    <row r="2523">
      <c r="A2523" t="inlineStr">
        <is>
          <t>hjv47a</t>
        </is>
      </c>
      <c r="B2523" t="inlineStr">
        <is>
          <t>Wtf do I expect???</t>
        </is>
      </c>
      <c r="C2523" t="inlineStr">
        <is>
          <t>Let me just start off by saying, when this whole COVID-19 started I didn’t think much of it. I see the news making a big deal out of it and I would tell myself “Ahhhh whatever this shit will go away soon.” When a friend contracted the disease I was like “Hmmmmm he’ll be alright” when 4 of my coworkers tested positive I was like “They are so lucky they are getting time off.” I honestly didn’t care/think much of the virus, and although I always used a mask to protect myself from a “devastating disease” I honestly didn’t wash my hands much because I just honestly didn’t see myself ever contracting anything. Then it happened, last Friday I felt a little tired, more than usual after work but didn’t think much of it. I went to my parents house to pick up my baby girl, but ended up spending the night because I was too exhausted. I woke up the next day for work and still felt tired but better than the previous day. I went into work that Friday with really no issues, just feeling fatigue but not enough for me to take notice (my co worker even made a joke about me having the virus, that’s how minimal the feeling was) Monday comes along and I developed a minor headache, I notice my nose is mildly congested, and I begin to clear my throat a couple of times during the day because I had mucus in my throat (beyond light mucus). Aside from that I was working at 1000% because I did not experience any fatigue on Monday. On Tuesday I woke up sore behind my neck, and my upper back. The headache was still persistent (didn’t get worse or better), and still had mild congestion in my nose. At that point I realized “Shitttt I could possibly have the virus” I was kind of in denial during my whole shift thinking about my symptoms. As if that wasn’t bad enough, I felt a sharp itchy pain on the inside of my palm that quickly went away. Then towards the end of my shift I felt a “faint” feeling as if I was going to pass out for a second. At that point I was convinced that there were too many weird symptoms/experiences that I couldn’t shrug it off as a coincidence. On my way home I left my mask on and I texted my girl and told her I’m almost sure I have the virus. She agreed as I had kept her up to date with my symptoms since the week before. That night I had mild diarrhea, and got a few itchy bumps on my arm and my back after I took a shower. When I woke up Wednesday, my right eye was kind of crusty and itchy, my headache still remained, I felt beyond exhausted, I noticed a mild sharp pain on the side of my left chest, and my left big toe was semi swollen. I called my job and told them I was unable to make it in because I thought I might have contracted the virus. I went to the testing site and got there too late and they refused to test me. It is currently Thursday 5:31am and I feel a little shaky. I have also been seeing movement in the room when I know there hasn’t (like black spots) I feel sleepy right now but I rather stay up until 8am to get tested. Although I haven’t gotten a fever or lost my sense of smell and taste I could definitely see why people are doing everything possible to avoid this shit. Wish me the best of luck guys, want this shit to be over with already. I’ll keep y’all updated</t>
        </is>
      </c>
      <c r="D2523" t="n">
        <v>1</v>
      </c>
      <c r="E2523" t="n">
        <v>0</v>
      </c>
      <c r="F2523">
        <f>HYPERLINK("https://www.reddit.com/r/COVID19positive/comments/hjv47a/wtf_do_i_expect/")</f>
        <v/>
      </c>
      <c r="G2523" t="inlineStr">
        <is>
          <t>2020-07-02 04:13:16</t>
        </is>
      </c>
      <c r="H2523" t="inlineStr">
        <is>
          <t>Presumed Positive - From Test</t>
        </is>
      </c>
    </row>
    <row r="2524">
      <c r="A2524" t="inlineStr">
        <is>
          <t>hjv71v</t>
        </is>
      </c>
      <c r="B2524" t="inlineStr">
        <is>
          <t>any recommendations on sleeping remedies?</t>
        </is>
      </c>
      <c r="C2524" t="inlineStr">
        <is>
          <t>Anyone have sleeping remedies?  So when I first started having signs and symptoms (around 11 days ago), I was prescribed benzonatate 100 mg 3x daily and taking normal NyQuil for sleep. I slept like a baby honestly, a rock. Wouldnt get up until 7 AM when I should be logging into my computer at 7:30 AM for work. Now that I’ve tested positive, the same combo isn’t working for me anymore and I think i attribute that to some anxious thoughts because I’m still taking the same concoction and waking up at 4 AM. Any suggestions? ( to be fair- I’m going to bed around 9 PM, so I am technically still getting 7 hours of sleep).   Signs and symptoms- cough and sore throat that was Anyone have sleeping remedies?  So when I first started having signs and symptoms (around 11 days ago), I was prescribed benzonatate 100 mg 3x daily and taking normal NyQuil for sleep. I slept like a baby honestly, a rock. Wouldnt get up until 7 AM when I should be logging into my computer at 7:30 AM for work. Now that I’ve tested positive, the same combo isn’t working for me anymore and I think i attribute that to some anxious thoughts because I’m still taking the same concoction and waking up at 4 AM. Any suggestions? ( to be fair- I’m going to bed around 9 PM, so I am technically still getting 7 hours of sleep).   
Signs and symptoms- cough and sore throat that was it. No fever, no loss of smell or taste, nada. I should add at day 11, I feel great. I’m up and around, lots of energy, don’t feel crappy. I drink a lot more water than usual, so chief complaint here is that I’ve been peeing more, lol. The only lingering symptom I have left is mild cough, in which my doctor told me a mild cough will still constitute me going back to work, assuming I’m masked up.  
Edit: those in AZ. Get fucking tested. No, this isn’t an angry post however, I am 100% sure I caught this COViD from asymptomatic people and it’s spreading really bad here, I’m not surprised when I hear about even the safest people who don’t leave unless it’s for a masked up grocery run still catching it. it. No fever, no loss of smell or taste, nada. I should add at day 11, I feel great. I’m up and around, lots of energy, don’t feel crappy. I drink a lot more water than usual, so chief complaint here is that I’ve been peeing more, lol. The only lingering symptom I have left is mild cough, in which my doctor told me a mild cough will still constitute me going back to work, assuming I’m masked up.  Edit: those in AZ. Get fucking tested. No, this isn’t an angry post however, I am 100% sure I caught this COViD from asymptomatic people and it’s spreading really bad here, I’m not surprised when I hear about even the safest people who don’t leave unless it’s for a masked up grocery run still catching it.</t>
        </is>
      </c>
      <c r="D2524" t="n">
        <v>1</v>
      </c>
      <c r="E2524" t="n">
        <v>9</v>
      </c>
      <c r="F2524">
        <f>HYPERLINK("https://www.reddit.com/r/COVID19positive/comments/hjv71v/any_recommendations_on_sleeping_remedies/")</f>
        <v/>
      </c>
      <c r="G2524" t="inlineStr">
        <is>
          <t>2020-07-02 04:19:45</t>
        </is>
      </c>
      <c r="H2524" t="inlineStr">
        <is>
          <t>Tested Positive - Friends</t>
        </is>
      </c>
    </row>
    <row r="2525">
      <c r="A2525" t="inlineStr">
        <is>
          <t>hjvdrz</t>
        </is>
      </c>
      <c r="B2525" t="inlineStr">
        <is>
          <t>Day 5 and feeling scared</t>
        </is>
      </c>
      <c r="C2525" t="inlineStr">
        <is>
          <t>28F, relatively healthy as in I don’t have major health issues but also don’t live the healthiest lifestyle, diet, lack of exercise, etc. 
Was most likely exposed last Wednesday 6/24 with first symptoms showing up 6/27. I have been consistently running a fever, a constant headache, dizziness, and the most fatigue I’ve ever felt in my life. 
Yesterday I started getting winded at the smallest amount of activity in addition to my original symptoms and then today I’ve developed a cough and shortness of breath. Pain right in the middle of my chest. I also have a pulse oximeter coming today from amazon. 
I’m starting to have a lot of anxiety because it doesn’t seem like I am getting better at all and that my symptoms are getting worse. I already am an anxious person and everything I’ve read said people end up in the hospital at anytime through day 7-12. 
My mental health is not doing well and I have no one else that I can relate to right now. So if there’s anyone that can offer words of encouragement or possibly had the same symptoms that ended up being fine, I would so appreciate hearing from you.</t>
        </is>
      </c>
      <c r="D2525" t="n">
        <v>1</v>
      </c>
      <c r="E2525" t="n">
        <v>20</v>
      </c>
      <c r="F2525">
        <f>HYPERLINK("https://www.reddit.com/r/COVID19positive/comments/hjvdrz/day_5_and_feeling_scared/")</f>
        <v/>
      </c>
      <c r="G2525" t="inlineStr">
        <is>
          <t>2020-07-02 04:34:33</t>
        </is>
      </c>
      <c r="H2525" t="inlineStr">
        <is>
          <t>Tested Positive - Me</t>
        </is>
      </c>
    </row>
    <row r="2526">
      <c r="A2526" t="inlineStr">
        <is>
          <t>hjvfeg</t>
        </is>
      </c>
      <c r="B2526" t="inlineStr">
        <is>
          <t>What now</t>
        </is>
      </c>
      <c r="C2526" t="inlineStr">
        <is>
          <t>Let me just start off by saying, when this whole COVID-19 started I didn’t think much of it. I see the news making a big deal out of it and I would tell myself “Ahhhh whatever this shit will go away soon.” When a friend contracted the disease I was like “Hmmmmm he’ll be alright” when 4 of my coworkers tested positive I was like “They are so lucky they are getting time off.” I honestly didn’t care/think much of the virus, and although I always used a mask to protect myself from a “devastating disease” I honestly didn’t wash my hands much because I just honestly didn’t see myself ever contracting anything. Then it happened, last Friday I felt a little tired, more than usual after work but didn’t think much of it. I went to my parents house to pick up my baby girl, but ended up spending the night because I was too exhausted. I woke up the next day for work and still felt tired but better than the previous day. I went into work that Friday with really no issues, just feeling fatigue but not enough for me to take notice (my co worker even made a joke about me having the virus, that’s how minimal the feeling was) Monday comes along and I developed a minor headache, I notice my nose is mildly congested, and I begin to clear my throat a couple of times during the day because I had mucus in my throat (beyond light mucus). Aside from that I was working at 1000% because I did not experience any fatigue on Monday. On Tuesday I woke up sore behind my neck, and my upper back. The headache was still persistent (didn’t get worse or better), and still had mild congestion in my nose. At that point I realized “Shitttt I could possibly have the virus” I was kind of in denial during my whole shift thinking about my symptoms. As if that wasn’t bad enough, I felt a sharp itchy pain on the inside of my palm that quickly went away. Then towards the end of my shift I felt a “faint” feeling as if I was going to pass out for a second. At that point I was convinced that there were too many weird symptoms/experiences that I couldn’t shrug it off as a coincidence. On my way home I left my mask on and I texted my girl and told her I’m almost sure I have the virus. She agreed as I had kept her up to date with my symptoms since the week before. That night I had mild diarrhea, and got a few itchy bumps on my arm and my back after I took a shower. When I woke up Wednesday, my right eye was kind of crusty and itchy, my headache still remained, I felt beyond exhausted, I noticed a mild sharp pain on the side of my left chest, and my left big toe was semi swollen. I feel a little shaky. I have also been seeing movement in the room when I know there hasn’t been. (black spots moving) Although I haven’t gotten a fever or lost my sense of smell and taste I could definitely see why people are doing everything possible to avoid this shit. I want this shit to be over with already. I’ll keep y’all updated.</t>
        </is>
      </c>
      <c r="D2526" t="n">
        <v>1</v>
      </c>
      <c r="E2526" t="n">
        <v>0</v>
      </c>
      <c r="F2526">
        <f>HYPERLINK("https://www.reddit.com/r/COVID19positive/comments/hjvfeg/what_now/")</f>
        <v/>
      </c>
      <c r="G2526" t="inlineStr">
        <is>
          <t>2020-07-02 04:37:59</t>
        </is>
      </c>
      <c r="H2526" t="inlineStr">
        <is>
          <t>Tested Positive - Me</t>
        </is>
      </c>
    </row>
    <row r="2527">
      <c r="A2527" t="inlineStr">
        <is>
          <t>hjvfs4</t>
        </is>
      </c>
      <c r="B2527" t="inlineStr">
        <is>
          <t>Tested Positive, then Tested Negative while Symptoms Worsen. Feel like I'm Going Insane.</t>
        </is>
      </c>
      <c r="C2527" t="inlineStr">
        <is>
          <t>So, currently, I'm over 90 days into presenting symptoms. Chills, chest pain, shortness of breath, headache, nausea, loss of smell... I tested positive around June 11th with two negative tests under my belt. Recently, I've been having some brain fogginess and tingling in the fingers and lips. Yesterday it was bad enough I called an urgent care and they told me to go to the ER. 
So I went to the ER. The ER decided that, while my blood oxygen % was low (93-95%), it wasn't dangerously low and there were no signs of pneumonia. So they swabbed me again and sent me home because I'm stable and "feeling shitty is part of being sick".
Woke up this morning to the call: hospital swab for Covid is negative.
I feel like I'm being gaslit by my own body. I can't shower and get dressed in the morning without my heart hammering and my breath getting heavy. I feel awful. Loss of taste, loss of smell, loss of appetite. Everyone who listens to me describe my symptoms goes, "yeah, you've got Covid."
It's been over 90 days, I've been tested four times now, and three of those tests are negative. But I am not getting better. I'm probably going to lose my job because I've been sick so long and now I'm showing negative and not dying so clearly I'm good to go back to work, right?
I can feel the fogginess in my head. My chest hurts and everything exhausts me. My hands are pins and needles as I type out this post. The tests seem about as accurate as a Magic 8 Ball but I'm questioning myself as much as them.
Has anyone else had this 90+ days and had multiple negative tests while still presenting symptoms? Or am I just losing my mind?
&amp;amp;#x200B;
&amp;amp;#x200B;
I just saw the Karma Threshold. Which means no one is going to see this post because I just joined reddit. I'm going to post this, still. Maybe if I scream into the void loud enough, it'll scream back. Maybe someone will see this somehow.</t>
        </is>
      </c>
      <c r="D2527" t="n">
        <v>1</v>
      </c>
      <c r="E2527" t="n">
        <v>34</v>
      </c>
      <c r="F2527">
        <f>HYPERLINK("https://www.reddit.com/r/COVID19positive/comments/hjvfs4/tested_positive_then_tested_negative_while/")</f>
        <v/>
      </c>
      <c r="G2527" t="inlineStr">
        <is>
          <t>2020-07-02 04:38:45</t>
        </is>
      </c>
      <c r="H2527" t="inlineStr">
        <is>
          <t>Tested Positive - Me</t>
        </is>
      </c>
    </row>
    <row r="2528">
      <c r="A2528" t="inlineStr">
        <is>
          <t>hjvg8h</t>
        </is>
      </c>
      <c r="B2528" t="inlineStr">
        <is>
          <t>Day 19. Lingering Symptoms.</t>
        </is>
      </c>
      <c r="C2528" t="inlineStr">
        <is>
          <t>I am 7 days fever free and 5/6 days symptom free! I feel like I’m back to my old self. This virus really took a toll on me mentally and physically but I’m grateful to have survived it. 
For others who’ve recovered, at what point did your taste/smell return back to 100%? I still can’t taste some things, and my sense of smell is limited. I’ve also developed Asthma from having COVID. I use an inhaler every now and then. In addition, I get bouts of brain fog randomly.
Also, do you guys think it’s safe for me to stop wearing a mask around my home? Am I still contagious? I’m having a hard time finding info on this.</t>
        </is>
      </c>
      <c r="D2528" t="n">
        <v>1</v>
      </c>
      <c r="E2528" t="n">
        <v>2</v>
      </c>
      <c r="F2528">
        <f>HYPERLINK("https://www.reddit.com/r/COVID19positive/comments/hjvg8h/day_19_lingering_symptoms/")</f>
        <v/>
      </c>
      <c r="G2528" t="inlineStr">
        <is>
          <t>2020-07-02 04:39:47</t>
        </is>
      </c>
      <c r="H2528" t="inlineStr">
        <is>
          <t>Tested Positive - Me</t>
        </is>
      </c>
    </row>
    <row r="2529">
      <c r="A2529" t="inlineStr">
        <is>
          <t>hjvmdt</t>
        </is>
      </c>
      <c r="B2529" t="inlineStr">
        <is>
          <t>Wtf do I expect???</t>
        </is>
      </c>
      <c r="C2529" t="inlineStr">
        <is>
          <t>Let me just start off by saying, when this whole COVID-19 started I didn’t think much of it. I see the news making a big deal out of it and I would tell myself “Ahhhh whatever this shit will go away soon.” When a friend contracted the disease I was like “Hmmmmm he’ll be alright” when 4 of my coworkers tested positive I was like “They are so lucky they are getting time off.” I honestly didn’t care/think much of the virus, and although I always used a mask to protect myself from a “devastating disease” I honestly didn’t wash my hands much because I just honestly didn’t see myself ever contracting anything. Then it happened, last Friday I felt a little tired, more than usual after work but didn’t think much of it. I went to my parents house to pick up my baby girl, but ended up spending the night because I was too exhausted. I woke up the next day for work and still felt tired but better than the previous day. I went into work that Friday with really no issues, just feeling fatigue but not enough for me to take notice (my co worker even made a joke about me having the virus, that’s how minimal the feeling was) Monday comes along and I developed a minor headache, I notice my nose is mildly congested, and I begin to clear my throat a couple of times during the day because I had mucus in my throat (beyond light mucus). Aside from that I was working at 1000% because I did not experience any fatigue on Monday. On Tuesday I woke up sore behind my neck, and my upper back. The headache was still persistent (didn’t get worse or better), and still had mild congestion in my nose. At that point I realized “Shitttt I could possibly have the virus” I was kind of in denial during my whole shift thinking about my symptoms. As if that wasn’t bad enough, I felt a sharp itchy pain on the inside of my palm that quickly went away. Then towards the end of my shift I felt a “faint” feeling as if I was going to pass out for a second. At that point I was convinced that there were too many weird symptoms/experiences that I couldn’t shrug it off as a coincidence. On my way home I left my mask on and I texted my girl and told her I’m almost sure I have the virus. She agreed as I had kept her up to date with my symptoms since the week before. That night I had mild diarrhea, and got a few itchy bumps on my arm and my back after I took a shower. When I woke up Wednesday, my right eye was kind of crusty and itchy, my headache still remained, I felt beyond exhausted, I noticed a mild sharp pain on the side of my left chest, and my left big toe was semi swollen. I feel a little shaky. I have also been seeing movement in the room when I know there hasn’t been. (black spots moving) Although I haven’t gotten a fever or lost my sense of smell and taste I could definitely see why people are doing everything possible to avoid this shit. I want this shit to be over with already. I’ll keep y’all updated</t>
        </is>
      </c>
      <c r="D2529" t="n">
        <v>1</v>
      </c>
      <c r="E2529" t="n">
        <v>0</v>
      </c>
      <c r="F2529">
        <f>HYPERLINK("https://www.reddit.com/r/COVID19positive/comments/hjvmdt/wtf_do_i_expect/")</f>
        <v/>
      </c>
      <c r="G2529" t="inlineStr">
        <is>
          <t>2020-07-02 04:53:14</t>
        </is>
      </c>
      <c r="H2529" t="inlineStr">
        <is>
          <t>Tested Positive - Me</t>
        </is>
      </c>
    </row>
    <row r="2530">
      <c r="A2530" t="inlineStr">
        <is>
          <t>hjwc26</t>
        </is>
      </c>
      <c r="B2530" t="inlineStr">
        <is>
          <t>Presumptive positive 11 year old female</t>
        </is>
      </c>
      <c r="C2530" t="inlineStr">
        <is>
          <t>My daughter went with her dad this last weekend. Well he has nannies. So the nanny took just my kiddo to her softball games. She was sitting next to some guy the whole day. At the end of the games someone called him out for testing positive. He laughed. And said he was fine. I get her back Sunday evening and she eats and goes downstairs to bed. Monday she comes up and just isn’t being herself. Super whiney. So I was telling her at 3 she needed to get ready for softball. It was stupid hot out and she said she didn’t feel good. I figured it was because of the heat we had going on. She finally broke down crying and told us that at softball she had been next to that guy all day and they bleached the benches down. Sadly I believe it was too late. So we kept her home from softball she had a 100.4 temp, body aches, chills, she said her inside is fire and the outside was freezing. A small dry cough (I blamed it on allergies). She went to bed early Monday. Tuesday morning at 6:30 I went to check on her I didn’t sleep worth a shite. She said it feels like a lot of pressure on my lungs and hurts. We got tested Wednesday. They told us they want symptoms there for 48-72 hours before they test so that if she is positive it will show up. Today she woke up feeling worse. She’s higher risk with asthma as am I. I’m not even worried about myself at this point. I have only had a sore throat and cough and slightly elevated fever. We should find out tomorrow for sure if she is positive but we are all quarantined at home till then. I have another 8 year old kiddo and 4 year old kiddo and they both haven’t been around her so I’m praying we’ve isolated her enough. I feel horrible that she’s so sick. She honestly has been super strong through this but my momma heart cries sad tears. Both of us have had a headache that we can’t get rid of. Not with Tylenol or anything.</t>
        </is>
      </c>
      <c r="D2530" t="n">
        <v>1</v>
      </c>
      <c r="E2530" t="n">
        <v>15</v>
      </c>
      <c r="F2530">
        <f>HYPERLINK("https://www.reddit.com/r/COVID19positive/comments/hjwc26/presumptive_positive_11_year_old_female/")</f>
        <v/>
      </c>
      <c r="G2530" t="inlineStr">
        <is>
          <t>2020-07-02 05:44:44</t>
        </is>
      </c>
      <c r="H2530" t="inlineStr">
        <is>
          <t>Presumed Positive - From Doctor</t>
        </is>
      </c>
    </row>
    <row r="2531">
      <c r="A2531" t="inlineStr">
        <is>
          <t>hjwyp1</t>
        </is>
      </c>
      <c r="B2531" t="inlineStr">
        <is>
          <t>Does a course of antibiotics increase your risk of getting COVID?</t>
        </is>
      </c>
      <c r="C2531" t="inlineStr">
        <is>
          <t>I had strep a few weeks ago and had to take amoxicillin. Did the antibiotics weaken my immune system and make me more susceptible to COVID?</t>
        </is>
      </c>
      <c r="D2531" t="n">
        <v>1</v>
      </c>
      <c r="E2531" t="n">
        <v>2</v>
      </c>
      <c r="F2531">
        <f>HYPERLINK("https://www.reddit.com/r/COVID19positive/comments/hjwyp1/does_a_course_of_antibiotics_increase_your_risk/")</f>
        <v/>
      </c>
      <c r="G2531" t="inlineStr">
        <is>
          <t>2020-07-02 06:26:00</t>
        </is>
      </c>
      <c r="H2531" t="inlineStr">
        <is>
          <t>Tested Positive</t>
        </is>
      </c>
    </row>
    <row r="2532">
      <c r="A2532" t="inlineStr">
        <is>
          <t>hjx8m4</t>
        </is>
      </c>
      <c r="B2532" t="inlineStr">
        <is>
          <t>Anyone else completely unable to keep food down?</t>
        </is>
      </c>
      <c r="C2532" t="inlineStr">
        <is>
          <t>I started getting a fever, chills, nausea, and a headache last Tuesday. Thought it was nothing but I stayed in my bedroom just in case. Friday it got way worse and I had to sit in the ER for them to administer fluids and get some medicine. They discharged me and I rested in bed for a day then on Sunday my symptoms got crazy bad again (just puking anything I put in) so I went to a different emergency room. They prescribed me different meds that seemed to work Monday but now I’m back to square one. Just throwing up food. No appetite. But because of this I’ll have intense hunger pangs like every hour. It’s been about 9 days now, and I’m afraid nothing is going to improve as it’s pretty much the same as when it started. What do I do? :( I’m scared.</t>
        </is>
      </c>
      <c r="D2532" t="n">
        <v>1</v>
      </c>
      <c r="E2532" t="n">
        <v>4</v>
      </c>
      <c r="F2532">
        <f>HYPERLINK("https://www.reddit.com/r/COVID19positive/comments/hjx8m4/anyone_else_completely_unable_to_keep_food_down/")</f>
        <v/>
      </c>
      <c r="G2532" t="inlineStr">
        <is>
          <t>2020-07-02 06:43:01</t>
        </is>
      </c>
      <c r="H2532" t="inlineStr">
        <is>
          <t>Tested Positive - Me</t>
        </is>
      </c>
    </row>
    <row r="2533">
      <c r="A2533" t="inlineStr">
        <is>
          <t>hjxarh</t>
        </is>
      </c>
      <c r="B2533" t="inlineStr">
        <is>
          <t>GI issues</t>
        </is>
      </c>
      <c r="C2533" t="inlineStr">
        <is>
          <t>Hey Everyone,
I started feeling I'll on friday. Im onto day 7. Most my symptoms are getting better. I was checked yesterday, my lungs sound good and my respiratory symptoms are lifting a bit. 
I had a question about gi issues tho, had anyone experienced diarrhea and some intestinal cramps with this virus. If so, how long does this last?</t>
        </is>
      </c>
      <c r="D2533" t="n">
        <v>1</v>
      </c>
      <c r="E2533" t="n">
        <v>6</v>
      </c>
      <c r="F2533">
        <f>HYPERLINK("https://www.reddit.com/r/COVID19positive/comments/hjxarh/gi_issues/")</f>
        <v/>
      </c>
      <c r="G2533" t="inlineStr">
        <is>
          <t>2020-07-02 06:46:39</t>
        </is>
      </c>
      <c r="H2533" t="inlineStr">
        <is>
          <t>Tested Positive - Me</t>
        </is>
      </c>
    </row>
    <row r="2534">
      <c r="A2534" t="inlineStr">
        <is>
          <t>hjxg3d</t>
        </is>
      </c>
      <c r="B2534" t="inlineStr">
        <is>
          <t>Covid SYMPTOMS Log</t>
        </is>
      </c>
      <c r="C2534" t="inlineStr">
        <is>
          <t>I am the first person I know to have Covid. So there was no one I knew who i could really compare experiences to. And honestly - if the media would tell you the actual symptoms - which I have come to compare with on this forum - i maybe would have thought I had Covid sooner than later and isolated myself better.
Day 1 (6/21) - woke with a tickle in the throat - coughed a bit in the morning - then felt normal - in the afternoon felt tired (but I had partied the night before so thought I was just tired from that) took a nap and decided to skip fathers day dinner. Went to bed early that night as I had to work the next day
Day 2 - Worked - eyes were very "burny" feeling and tired all day. My sinuses felt pressure but they were not runny or congested
Day 3 - Worked - Again eyes felt "burny" and tired - like allergies. Sinus pressure. Now I was getting muscle ached in my legs. I also felt warm - bought a thermometer and low grade temps of 99.5 - 100.3. I was now taking Zinc, Vitamin C and elderberry - thought I was getting a sinus infection? Very tired - went to bed couple hours earlier than I usually do. Hard to sleep due to the muscle aches - Took Meloxicam and Flexeril (I have for sciatica)
Day 4 - Worked - Clammy and sweaty in the mornings now, Muscle aches, low grade temp, exhausted and tired, sinus pressure - noticing that the air smelled like when you got dunked in the pool and you have water up your nose. (side note - constipated - started taking colace) Loss of appetite. Everything tasted weird. Noticed more loss of taste and smell today
Day 5&amp;amp;6 - Worked - Muscle aches were fading. Still exhausted. still sweats in the morning. Still with nasal congestion. Low grade fevers. This entire time though I had no COUGH, no sore throat, the 2 major symptoms they tell you of COVID.
Day 7&amp;amp;8 - the weekend is here. Now I have a temp to 101.8. Still fatigued. Nasal pressure was fading away. No smell or taste - Now thinking is this covid? This is not getting better. I have never been sick this long before. Felt dizzy and weak the whole weekend. Slept basically all the time. Ordered a Covid test
Day 9 - called out of work due to temperature. Now fever is breaking. No more fevers. Now my lung "tickle" when i take a deep breath. I can feel that I am short of breath with activity. I have a dry non productive cough when I try to deep breath. I live in florida and the hot air makes it very difficult to breath. 
Day 10 - Still with the shortness of breath, dry cough with deep breathing, And shortness of breath and chest pressure. I get a CXR which is negative. Unable to walk up a flight of stairs of walk to the bedroom without experiencing the Shortness of breath and uncomfortable deep breathing
Day 11 - No fevers at all now. No nasal congestion. still clammy in the mornings. The only symptom I have is the difficulty breathing, SOB, and cough upon deep inspiration. The fatigue is now gone.
Today 7/2 - Working today as I have not had fever for 72 hours. Still with SOB  - but less today - this is the best I have felt since 12 days ago. I am traveling to Colorado in a couple weeks with my family and Hope this SOB gets better before then as I will be at an increase elevation and don't know what that will do to my breathing. But feeling hopeful today. 
Thanks -hope this information helps others</t>
        </is>
      </c>
      <c r="D2534" t="n">
        <v>1</v>
      </c>
      <c r="E2534" t="n">
        <v>0</v>
      </c>
      <c r="F2534">
        <f>HYPERLINK("https://www.reddit.com/r/COVID19positive/comments/hjxg3d/covid_symptoms_log/")</f>
        <v/>
      </c>
      <c r="G2534" t="inlineStr">
        <is>
          <t>2020-07-02 06:55:32</t>
        </is>
      </c>
      <c r="H2534" t="inlineStr">
        <is>
          <t>Tested Positive - Me</t>
        </is>
      </c>
    </row>
    <row r="2535">
      <c r="A2535" t="inlineStr">
        <is>
          <t>hjxls4</t>
        </is>
      </c>
      <c r="B2535" t="inlineStr">
        <is>
          <t>Recovered long termer, donated plasma</t>
        </is>
      </c>
      <c r="C2535" t="inlineStr">
        <is>
          <t>I posted a few weeks ago asking about donating plasma for people who experienced prolonged symptoms because I was worried it could trigger another relapse. Just in case anyone is wondering the same - I had symptoms for 65 days back in March/April and have recovered since. I  donated plasma yesterday and I'm really glad I did. The procedure wasn't unpleasant in the slightest and I am feeling great afterwards, no relapse at all. I was a little concerned so just sharing my experience in case it's helpful to anyone else! I will definitely donate again, and would encourage anyone else who is in good health and eligible to do that - at least for me it makes some use out of my horrible experience with the virus and it might possibly help someone in need.</t>
        </is>
      </c>
      <c r="D2535" t="n">
        <v>1</v>
      </c>
      <c r="E2535" t="n">
        <v>11</v>
      </c>
      <c r="F2535">
        <f>HYPERLINK("https://www.reddit.com/r/COVID19positive/comments/hjxls4/recovered_long_termer_donated_plasma/")</f>
        <v/>
      </c>
      <c r="G2535" t="inlineStr">
        <is>
          <t>2020-07-02 07:04:55</t>
        </is>
      </c>
      <c r="H2535" t="inlineStr">
        <is>
          <t>Presumed Positive - From Doctor</t>
        </is>
      </c>
    </row>
    <row r="2536">
      <c r="A2536" t="inlineStr">
        <is>
          <t>hjxy9s</t>
        </is>
      </c>
      <c r="B2536" t="inlineStr">
        <is>
          <t>Anyone else scared of their own shadow after catching this.</t>
        </is>
      </c>
      <c r="C2536" t="inlineStr">
        <is>
          <t>Anyone else terrified of doing normal silly thing since you got unwell? I found at the height of the illness the slightest normal movement etc would have me bed ridden for days. Now I am feeling soooo much better but still not 100% but I’m not terrified to exert myself incase I get a flare up etc. What about you guys</t>
        </is>
      </c>
      <c r="D2536" t="n">
        <v>1</v>
      </c>
      <c r="E2536" t="n">
        <v>12</v>
      </c>
      <c r="F2536">
        <f>HYPERLINK("https://www.reddit.com/r/COVID19positive/comments/hjxy9s/anyone_else_scared_of_their_own_shadow_after/")</f>
        <v/>
      </c>
      <c r="G2536" t="inlineStr">
        <is>
          <t>2020-07-02 07:25:06</t>
        </is>
      </c>
      <c r="H2536" t="inlineStr">
        <is>
          <t>Presumed Positive - From Doctor</t>
        </is>
      </c>
    </row>
    <row r="2537">
      <c r="A2537" t="inlineStr">
        <is>
          <t>hjybzd</t>
        </is>
      </c>
      <c r="B2537" t="inlineStr">
        <is>
          <t>Visiting Urgent Cares</t>
        </is>
      </c>
      <c r="C2537" t="inlineStr">
        <is>
          <t>I want to go see a doctor in person for them to examine my symptoms, however i don't want to go to an emergency room. Urgent cares seem to be the logical choice. However, every place i talk to wants to do virtual visits, which was not helpful last time. Are urgent cares allowing people to enter their clinics if they are already positive? Has anyone gone to urgent cares while already positive? I'm thinking i should stop calling and just walk in.</t>
        </is>
      </c>
      <c r="D2537" t="n">
        <v>1</v>
      </c>
      <c r="E2537" t="n">
        <v>15</v>
      </c>
      <c r="F2537">
        <f>HYPERLINK("https://www.reddit.com/r/COVID19positive/comments/hjybzd/visiting_urgent_cares/")</f>
        <v/>
      </c>
      <c r="G2537" t="inlineStr">
        <is>
          <t>2020-07-02 07:46:31</t>
        </is>
      </c>
      <c r="H2537" t="inlineStr">
        <is>
          <t>Tested Positive - Me</t>
        </is>
      </c>
    </row>
    <row r="2538">
      <c r="A2538" t="inlineStr">
        <is>
          <t>hjz2r1</t>
        </is>
      </c>
      <c r="B2538" t="inlineStr">
        <is>
          <t>Has anyone relapsed with different symptoms?</t>
        </is>
      </c>
      <c r="C2538" t="inlineStr">
        <is>
          <t>My covid symptoms in late April were GI related and intense fever and chills, lightheadedness, and only a little bit of respitory issues. For the past few days, I have been sneezing, my left ear is full of fluid, and my left lung aches when I breathe in. I took my temperature and it is 98.7.   I took some chest congestion medicine and I'm just waiting it out, but I wonder if it is related?</t>
        </is>
      </c>
      <c r="D2538" t="n">
        <v>1</v>
      </c>
      <c r="E2538" t="n">
        <v>7</v>
      </c>
      <c r="F2538">
        <f>HYPERLINK("https://www.reddit.com/r/COVID19positive/comments/hjz2r1/has_anyone_relapsed_with_different_symptoms/")</f>
        <v/>
      </c>
      <c r="G2538" t="inlineStr">
        <is>
          <t>2020-07-02 08:28:12</t>
        </is>
      </c>
      <c r="H2538" t="inlineStr">
        <is>
          <t>Tested Positive - Me</t>
        </is>
      </c>
    </row>
    <row r="2539">
      <c r="A2539" t="inlineStr">
        <is>
          <t>hk17t7</t>
        </is>
      </c>
      <c r="B2539" t="inlineStr">
        <is>
          <t>Day 112: Completely Recovered</t>
        </is>
      </c>
      <c r="C2539" t="inlineStr">
        <is>
          <t>Hi everyone!
It’s been a few weeks since I’ve needed to be on here but I remember how scary it was on days 50, 60, 70, and 80 seeing little to no reports of recovery in long-haulers like myself. I wanted to come back to share that I am confident in saying I feel completely recovered now. My turning point was around around 80 days in and since day 90 or so, I’ve been cautiously optimistic as I only continued to improve further. 
Three weeks ago, I started incorporating more walking and stretching and stepped up to pilates and yoga with, finally, no post-exertion relapse. Last weekend, I exerted myself planning tennis in the heat and suffered no ill consequences. Happily, I feel like me again and needed to share the good news in case you’re on day 80 wondering if this is your life now. 
Things I think made a difference for me with bearing in mind we’re all unique and I’m not a doctor:
- I can’t stress this one enough. I stopped monitoring my vitals so closely. I was taking my temp several times a day, checking my pulse oxygen and heart rate constantly, taking my blood pressure and constantly worrying about why I was still encountering poor vitals. Your body cannot heal if you won’t let it out of fight or flight by staying hyper vigilante. Start small. I told myself I wouldn’t take my heart rate for a day and built from there. 
- Supplements I took that I feel were of value to me: NAC, high dose Vitamin C, Zinc, liposomal glutathione, beef liver, lysine, glutamine. 
- Get outside. For the sun, for the fresh air. Your body needs both desperately. 
- Take this time to unplug and recharge. Read a book. Sit out in a hammock. Listen to music you love. Watch movies that make you laugh. Get yourself out of fight or flight. 
- For the anxiety: chamomile tea, cut out coffee, CBD, l-theanine, melatonin (small dose). 
- Low carb. This made a huge difference for me. I traditionally eat low carb but had relaxed that while I was sick, not wanting to stress my body getting back into ketosis. I finally took the plunge again around day 80 and coincidence or not, I haven’t looked back at a relapse since. 
Everyone is individual. This is what I think helped me but, of course, I have no way of knowing what if anything made the difference. 
Stay positive. You can and you will get better.</t>
        </is>
      </c>
      <c r="D2539" t="n">
        <v>1</v>
      </c>
      <c r="E2539" t="n">
        <v>88</v>
      </c>
      <c r="F2539">
        <f>HYPERLINK("https://www.reddit.com/r/COVID19positive/comments/hk17t7/day_112_completely_recovered/")</f>
        <v/>
      </c>
      <c r="G2539" t="inlineStr">
        <is>
          <t>2020-07-02 10:23:12</t>
        </is>
      </c>
      <c r="H2539" t="inlineStr">
        <is>
          <t>Presumed Positive - From Doctor</t>
        </is>
      </c>
    </row>
    <row r="2540">
      <c r="A2540" t="inlineStr">
        <is>
          <t>hk1epf</t>
        </is>
      </c>
      <c r="B2540" t="inlineStr">
        <is>
          <t>COVID Positive Spouse</t>
        </is>
      </c>
      <c r="C2540" t="inlineStr">
        <is>
          <t>Hi all! First time posting, hopefully doing it right! 
While I was gone over last weekend, my husband started to feel ill. We both were tested on Wednesday, his coming back POSITIVE and mine NEGATIVE. We live in a one bedroom apartment and are separated as much as possible, but this can be hard in such a small space. He seems to have a “ minor” case (he still feels like 💩, doesn’t need hospitalization), but he is extremely worried because I have asthma. I have really already accepted I will get it, even with the precautions being taken. Has anyone had a partner infected in such a small space?? What major precautions did you take? Should he not be leaving our bedroom??</t>
        </is>
      </c>
      <c r="D2540" t="n">
        <v>1</v>
      </c>
      <c r="E2540" t="n">
        <v>3</v>
      </c>
      <c r="F2540">
        <f>HYPERLINK("https://www.reddit.com/r/COVID19positive/comments/hk1epf/covid_positive_spouse/")</f>
        <v/>
      </c>
      <c r="G2540" t="inlineStr">
        <is>
          <t>2020-07-02 10:33:06</t>
        </is>
      </c>
      <c r="H2540" t="inlineStr">
        <is>
          <t>Tested Positive - Family</t>
        </is>
      </c>
    </row>
    <row r="2541">
      <c r="A2541" t="inlineStr">
        <is>
          <t>hk26y8</t>
        </is>
      </c>
      <c r="B2541" t="inlineStr">
        <is>
          <t>I tested positive today after having mild symptoms for around 9 days.</t>
        </is>
      </c>
      <c r="C2541" t="inlineStr">
        <is>
          <t>I am surprised I tested positive tbh. I woke up last Wednesday with a scratchy throat and sinus issues and just put it off on the massive dust cloud over my city right now causing allergies to flare up. It wasn't until Monday that I got tested after a coworker called and said he might have the virus. The only symptom that I developed between today and last week that led me to believe that I might be positive was when I lost my sense of smell and taste suddenly last night (day 8). My fever has never gone above 99.5 and some days I have even gone without even registering a fever. I am in my early 30s, I don't regularly exercise, have a nightly drinking habit (vodka-soda), and smoke the occasional cig. I am very thankful that my symptoms have been mild and I hope this helps any of you who are concerned about your test results.</t>
        </is>
      </c>
      <c r="D2541" t="n">
        <v>1</v>
      </c>
      <c r="E2541" t="n">
        <v>18</v>
      </c>
      <c r="F2541">
        <f>HYPERLINK("https://www.reddit.com/r/COVID19positive/comments/hk26y8/i_tested_positive_today_after_having_mild/")</f>
        <v/>
      </c>
      <c r="G2541" t="inlineStr">
        <is>
          <t>2020-07-02 11:14:09</t>
        </is>
      </c>
      <c r="H2541" t="inlineStr">
        <is>
          <t>Tested Positive - Me</t>
        </is>
      </c>
    </row>
    <row r="2542">
      <c r="A2542" t="inlineStr">
        <is>
          <t>hk34u4</t>
        </is>
      </c>
      <c r="B2542" t="inlineStr">
        <is>
          <t>Still feeling COVID symptoms after 6+ weeks?</t>
        </is>
      </c>
      <c r="C2542" t="inlineStr">
        <is>
          <t>My husband got COVID about 6-7weeks ago and is still struggling getting out of bed with severe body aches, has a finite amount of energy. Will try to work around house but usually burns out around 4pm and sleeps. In his healty state he is super active, and I know its killing him inside and out to be "handicapped" now. The major complaints are
-Fatique
-Shortness of breath
-Body aches sometimes mimicing sciatica
-back pain when standing up for more than 30min
-Fingers loose circulation frequently
Were trying to get him to a doctor but with no insurance its been hard. the first two weeks were hell, he had a 102 fever for a week then very slowly tapering down to 99 98 and back to basically "normal" . Sever pain, couldnt sit on hard surfaces, weight loss etc. I guess im just scared and wondering if anyone else is feeling these symptoms 6-7 weeks after contracting covid. Thanks! :)</t>
        </is>
      </c>
      <c r="D2542" t="n">
        <v>1</v>
      </c>
      <c r="E2542" t="n">
        <v>12</v>
      </c>
      <c r="F2542">
        <f>HYPERLINK("https://www.reddit.com/r/COVID19positive/comments/hk34u4/still_feeling_covid_symptoms_after_6_weeks/")</f>
        <v/>
      </c>
      <c r="G2542" t="inlineStr">
        <is>
          <t>2020-07-02 12:04:13</t>
        </is>
      </c>
      <c r="H2542" t="inlineStr">
        <is>
          <t>Tested Positive - Family</t>
        </is>
      </c>
    </row>
    <row r="2543">
      <c r="A2543" t="inlineStr">
        <is>
          <t>hk3ss6</t>
        </is>
      </c>
      <c r="B2543" t="inlineStr">
        <is>
          <t>I can smell and taste again!</t>
        </is>
      </c>
      <c r="C2543" t="inlineStr">
        <is>
          <t>After 11 days I am able to taste and smell again. Thank God !</t>
        </is>
      </c>
      <c r="D2543" t="n">
        <v>1</v>
      </c>
      <c r="E2543" t="n">
        <v>39</v>
      </c>
      <c r="F2543">
        <f>HYPERLINK("https://www.reddit.com/r/COVID19positive/comments/hk3ss6/i_can_smell_and_taste_again/")</f>
        <v/>
      </c>
      <c r="G2543" t="inlineStr">
        <is>
          <t>2020-07-02 12:39:11</t>
        </is>
      </c>
      <c r="H2543" t="inlineStr">
        <is>
          <t>Tested Positive</t>
        </is>
      </c>
    </row>
    <row r="2544">
      <c r="A2544" t="inlineStr">
        <is>
          <t>hk3tt9</t>
        </is>
      </c>
      <c r="B2544" t="inlineStr">
        <is>
          <t>Not sure what to do about my work.</t>
        </is>
      </c>
      <c r="C2544" t="inlineStr">
        <is>
          <t>My partner is covid positive and we live together and have been trying to isolate as much as possible from each other in our very tiny house. I’m due to go to work in a couple days (I’m negative so far) what should I do about my work situation? Anyone else that’s is a similar situation or was in a similar situation that can offer an advice? I can’t afford to be out of work for 2 weeks but I also work with children and a lot of my coworkers are considered at risk age group.</t>
        </is>
      </c>
      <c r="D2544" t="n">
        <v>1</v>
      </c>
      <c r="E2544" t="n">
        <v>8</v>
      </c>
      <c r="F2544">
        <f>HYPERLINK("https://www.reddit.com/r/COVID19positive/comments/hk3tt9/not_sure_what_to_do_about_my_work/")</f>
        <v/>
      </c>
      <c r="G2544" t="inlineStr">
        <is>
          <t>2020-07-02 12:40:37</t>
        </is>
      </c>
      <c r="H2544" t="inlineStr">
        <is>
          <t>Tested Positive - Family</t>
        </is>
      </c>
    </row>
    <row r="2545">
      <c r="A2545" t="inlineStr">
        <is>
          <t>hk45xy</t>
        </is>
      </c>
      <c r="B2545" t="inlineStr">
        <is>
          <t>IVIG treatment for long haulers</t>
        </is>
      </c>
      <c r="C2545" t="inlineStr">
        <is>
          <t>Thoughts on using IVIG infusion to treat long haulers? 
For those (like me) who continue to relapse it seems like our bodies continue to attack themselves. I’m at day 98 now and I struggle to believe in post viral fatigue as fatigue is not a symptom I have experienced. 
All the best to everyone out there!</t>
        </is>
      </c>
      <c r="D2545" t="n">
        <v>1</v>
      </c>
      <c r="E2545" t="n">
        <v>12</v>
      </c>
      <c r="F2545">
        <f>HYPERLINK("https://www.reddit.com/r/COVID19positive/comments/hk45xy/ivig_treatment_for_long_haulers/")</f>
        <v/>
      </c>
      <c r="G2545" t="inlineStr">
        <is>
          <t>2020-07-02 12:58:09</t>
        </is>
      </c>
      <c r="H2545" t="inlineStr">
        <is>
          <t>Tested Positive - Me</t>
        </is>
      </c>
    </row>
    <row r="2546">
      <c r="A2546" t="inlineStr">
        <is>
          <t>hk50q8</t>
        </is>
      </c>
      <c r="B2546" t="inlineStr">
        <is>
          <t>Racing heart short of breath</t>
        </is>
      </c>
      <c r="C2546" t="inlineStr">
        <is>
          <t>I posted a couple days ago my last symtpoms were shortness of breath upon activity and high resting heart rate. My heart rate has gone down. Has anyone experienced that recovering first then shortness of breath? On week 8.</t>
        </is>
      </c>
      <c r="D2546" t="n">
        <v>1</v>
      </c>
      <c r="E2546" t="n">
        <v>17</v>
      </c>
      <c r="F2546">
        <f>HYPERLINK("https://www.reddit.com/r/COVID19positive/comments/hk50q8/racing_heart_short_of_breath/")</f>
        <v/>
      </c>
      <c r="G2546" t="inlineStr">
        <is>
          <t>2020-07-02 13:43:53</t>
        </is>
      </c>
      <c r="H2546" t="inlineStr">
        <is>
          <t>Tested Positive - Me</t>
        </is>
      </c>
    </row>
    <row r="2547">
      <c r="A2547" t="inlineStr">
        <is>
          <t>hk54hu</t>
        </is>
      </c>
      <c r="B2547" t="inlineStr">
        <is>
          <t>Tested Positive, but this doesnt really feel like a normal cold. I just dont feel right (also, cant smell or taste anything).</t>
        </is>
      </c>
      <c r="C2547" t="inlineStr">
        <is>
          <t>Am I just one of the lucky ones? My symptoms have been mild. No fever, just a cough and loss of smell/taste.</t>
        </is>
      </c>
      <c r="D2547" t="n">
        <v>1</v>
      </c>
      <c r="E2547" t="n">
        <v>6</v>
      </c>
      <c r="F2547">
        <f>HYPERLINK("https://www.reddit.com/r/COVID19positive/comments/hk54hu/tested_positive_but_this_doesnt_really_feel_like/")</f>
        <v/>
      </c>
      <c r="G2547" t="inlineStr">
        <is>
          <t>2020-07-02 13:49:37</t>
        </is>
      </c>
      <c r="H2547" t="inlineStr">
        <is>
          <t>Tested Positive</t>
        </is>
      </c>
    </row>
    <row r="2548">
      <c r="A2548" t="inlineStr">
        <is>
          <t>hk57k0</t>
        </is>
      </c>
      <c r="B2548" t="inlineStr">
        <is>
          <t>Need an advice</t>
        </is>
      </c>
      <c r="C2548" t="inlineStr">
        <is>
          <t>I'm desperate
My mother (she is 67 years old) bought a medicine by phone and the delivery man came on a motorcycle and attended without a mask. They talked for a few seconds ...
what should I do now?</t>
        </is>
      </c>
      <c r="D2548" t="n">
        <v>1</v>
      </c>
      <c r="E2548" t="n">
        <v>8</v>
      </c>
      <c r="F2548">
        <f>HYPERLINK("https://www.reddit.com/r/COVID19positive/comments/hk57k0/need_an_advice/")</f>
        <v/>
      </c>
      <c r="G2548" t="inlineStr">
        <is>
          <t>2020-07-02 13:54:21</t>
        </is>
      </c>
      <c r="H2548" t="inlineStr">
        <is>
          <t>Presumed Positive - From Test</t>
        </is>
      </c>
    </row>
    <row r="2549">
      <c r="A2549" t="inlineStr">
        <is>
          <t>hk5ikm</t>
        </is>
      </c>
      <c r="B2549" t="inlineStr">
        <is>
          <t>21 days of mild fever ever afternoon/evening</t>
        </is>
      </c>
      <c r="C2549" t="inlineStr">
        <is>
          <t>Anyone else experience a mild fever for this long?  Any tips on what help break it? I'm hoping to have 3 days in a row o I can leave this room I've been isolated in.</t>
        </is>
      </c>
      <c r="D2549" t="n">
        <v>1</v>
      </c>
      <c r="E2549" t="n">
        <v>7</v>
      </c>
      <c r="F2549">
        <f>HYPERLINK("https://www.reddit.com/r/COVID19positive/comments/hk5ikm/21_days_of_mild_fever_ever_afternoonevening/")</f>
        <v/>
      </c>
      <c r="G2549" t="inlineStr">
        <is>
          <t>2020-07-02 14:10:27</t>
        </is>
      </c>
      <c r="H2549" t="inlineStr">
        <is>
          <t>Presumed Positive - From Doctor</t>
        </is>
      </c>
    </row>
    <row r="2550">
      <c r="A2550" t="inlineStr">
        <is>
          <t>hk5sfs</t>
        </is>
      </c>
      <c r="B2550" t="inlineStr">
        <is>
          <t>Using Nicotine Replacement Therapy With COVID</t>
        </is>
      </c>
      <c r="C2550" t="inlineStr">
        <is>
          <t>I am on Nicotine Replacement therapy (quit ecig a year ago using lozenges and now patches) and am wondering if anyone else has gone through COVID while using them, or if anyone has any thoughts on whether or not there is benefit in trying to reduce dosage?  I know they both interact with the same receptors (ACE2) and that the benefit/risk of Nicotine is unclear.  I guess my question is, does anyone  think there is a benefit to reducing dosage or stopping altogether?  I am on day 21 of mild fevers and intermittent SOB.</t>
        </is>
      </c>
      <c r="D2550" t="n">
        <v>1</v>
      </c>
      <c r="E2550" t="n">
        <v>11</v>
      </c>
      <c r="F2550">
        <f>HYPERLINK("https://www.reddit.com/r/COVID19positive/comments/hk5sfs/using_nicotine_replacement_therapy_with_covid/")</f>
        <v/>
      </c>
      <c r="G2550" t="inlineStr">
        <is>
          <t>2020-07-02 14:24:46</t>
        </is>
      </c>
      <c r="H2550" t="inlineStr">
        <is>
          <t>Presumed Positive - From Doctor</t>
        </is>
      </c>
    </row>
    <row r="2551">
      <c r="A2551" t="inlineStr">
        <is>
          <t>hk6xmj</t>
        </is>
      </c>
      <c r="B2551" t="inlineStr">
        <is>
          <t>Caught Covid twice.</t>
        </is>
      </c>
      <c r="C2551" t="inlineStr">
        <is>
          <t>Exactly what the title says. 
Caught Covid May 8th (positive test)
Recovered June 1st (negative test, no more symptoms)
Went back to work. Resumed regular life. Was fine.
Randomly felt sick June 25th, got tested 26th, and went to the ER June 28th where they told me my test from the 26th was negative. I was put on IV fluids in the ER because my heart rate was high as well as my lactic acid, did x rays and tests where they said I was ok to go home, however they tested me again because they assumed I had a false negative according to my symptoms.
Just got the call today that my test came back positive once again.
Doctor explained that I re caught the virus and that when people get it a second time they don’t get as sick.
I’m so confused and upset. 
Just please be careful
I was really hoping maybe this was just inflammation from the previous virus but I guess not.</t>
        </is>
      </c>
      <c r="D2551" t="n">
        <v>1</v>
      </c>
      <c r="E2551" t="n">
        <v>151</v>
      </c>
      <c r="F2551">
        <f>HYPERLINK("https://www.reddit.com/r/COVID19positive/comments/hk6xmj/caught_covid_twice/")</f>
        <v/>
      </c>
      <c r="G2551" t="inlineStr">
        <is>
          <t>2020-07-02 15:26:20</t>
        </is>
      </c>
      <c r="H2551" t="inlineStr">
        <is>
          <t>Tested Positive - Me</t>
        </is>
      </c>
    </row>
    <row r="2552">
      <c r="A2552" t="inlineStr">
        <is>
          <t>hk6zgp</t>
        </is>
      </c>
      <c r="B2552" t="inlineStr">
        <is>
          <t>Recovering, finally at four months in.</t>
        </is>
      </c>
      <c r="C2552" t="inlineStr">
        <is>
          <t>I'm finally able to step up my exercise without shortness of breath or flareups.  I'm happy.  It feels as though you are in an altered reality when sick, and slip back to being capable of doing more when you recover.  I really attribute some of this to the four-month life span of red blood cells, as Covid also interferes with hemoglobin and I had really, really thick blood. It's finally recycled to healthy blood. Long Haulers, hang in there.   Things do improve.</t>
        </is>
      </c>
      <c r="D2552" t="n">
        <v>1</v>
      </c>
      <c r="E2552" t="n">
        <v>30</v>
      </c>
      <c r="F2552">
        <f>HYPERLINK("https://www.reddit.com/r/COVID19positive/comments/hk6zgp/recovering_finally_at_four_months_in/")</f>
        <v/>
      </c>
      <c r="G2552" t="inlineStr">
        <is>
          <t>2020-07-02 15:29:08</t>
        </is>
      </c>
      <c r="H2552" t="inlineStr">
        <is>
          <t>Presumed Positive - From Doctor</t>
        </is>
      </c>
    </row>
    <row r="2553">
      <c r="A2553" t="inlineStr">
        <is>
          <t>hk7lsz</t>
        </is>
      </c>
      <c r="B2553" t="inlineStr">
        <is>
          <t>Mask purchasing advice</t>
        </is>
      </c>
      <c r="C2553" t="inlineStr">
        <is>
          <t>I have been getting by at a high contact workplace without wearing a mask and looks like the day is fast approaching where I will be mandated by the state and my workplace to wear one. 
I am one of those wonderful people who actually becomes ill from wearing a mask- surgical or fabric. I never had issues wearing a surgical mask or sports buff before but ever since I came down with the virus, my lungs are shot and I get asthma attacks from them. A kind friend gave me a cloth fabric mask and I nearly fainted while wearing it out on a walk with her.
Anyone here get similar reactions and what kind of mask did you find that helped you to breathe better without adverse reactions. I am willing to look like I'm living in a fallout movie or look like Darth Vader, just don't want to do resort to my workplace advice of going to HR and them handing me the accommodation of remote work. 
What is a good reliable place to get a mask on-line or what type should I look for? Thank you kindly.</t>
        </is>
      </c>
      <c r="D2553" t="n">
        <v>1</v>
      </c>
      <c r="E2553" t="n">
        <v>4</v>
      </c>
      <c r="F2553">
        <f>HYPERLINK("https://www.reddit.com/r/COVID19positive/comments/hk7lsz/mask_purchasing_advice/")</f>
        <v/>
      </c>
      <c r="G2553" t="inlineStr">
        <is>
          <t>2020-07-02 16:03:32</t>
        </is>
      </c>
      <c r="H2553" t="inlineStr">
        <is>
          <t>Presumed Positive - From Doctor</t>
        </is>
      </c>
    </row>
    <row r="2554">
      <c r="A2554" t="inlineStr">
        <is>
          <t>hk8au0</t>
        </is>
      </c>
      <c r="B2554" t="inlineStr">
        <is>
          <t>I am 21 and got my ass handed to me by Covid-19 last week. Here is a list of my symptoms and how they progressed.</t>
        </is>
      </c>
      <c r="C2554" t="inlineStr">
        <is>
          <t>So I am a bartender and worked 6/16-6/21. I worked at two different bars in this time period, and people I worked with at each bar have also tested positive. 
-Runny nose
-Dizziness
-Feverish (but no fever)
-Fatigue
-Diarrhea
-Nausea
-Vomiting
-Brain Fog / dreamlike state
-Sleep Paralysis (perhaps not related?)
-Sweats, chills and body aches
-Loss of taste and sense of smell
-Phlegmy cough / congestion
-Red throat, kinda sore, lymph nodes swollen
-Slight earaches
Anyway:
Monday 6/22: It started with severe uncontrollable diarrhea. I normally have gastro issues but this was different, I couldn't get off the toilet. As soon as I washed my hands I was darting back to sit down on the toilet again, with a trash can in front of me because my nausea was off the charts. No amount of promethazine, pepto, or dramamine helped. I thought I had food poisoning at first. I also had a phlegmy cough and the back of my throat was so red it was almost purple, as well as sneezing and a runny nose.
Tuesday 6/23: Changed clothes every hour from here until Friday 6/26. I couldn't get comfortable. I had aches and soreness, one moment I would have what felt like a zap in my right shoulder and the next would be an icey cold stab in my left ankle. I felt cold for ten seconds then I was too hot. It was a constant blanket-on-blanket-off situation. Laying down I felt like I had the spins from drinking too much, almost like I had a hot air balloon as a head but my sinuses were clear. My entire body felt like lead.
Wednesday 6/24: Every symptom above worsened, when I finally got rid of everything in my body and managed to stay off the toilet I couldn't get out of bed. My eyes wouldn't stay open. I felt like I was in a dream the entire time, and I experienced sleep paralysis A LOT throughout this week. I didn't eat from Monday until Thursday of this week, and anything I drank came out #2 style within 10 minutes of intake. Sense of smell decreased from normal. I felt like I'd been hit by a semi.
Thursday 6/25: Diarrhea slowed, nausea didn't. Woke up and couldn't smell ANYTHING, not even strong expensive perfume or bleach. Taste was gone, although I could tell if something was salty, sour, spicy, or sweet. Sweats and cough continued, not much made sense. Couldn't keep my eyes open still, slept and sweat the worst this day and night. I did manage to eat a little, but I still felt EXTREMELY nauseous. I thought it would never end.
Friday 6/26: I woke up with the same amount of confusion and dizziness and fatigue, I ended up calling out of work even though I was working from home on my laptop. I couldn't stay awake to look at my screen. My stomach at this point was good enough to eat, although I probably went through 3 bottles of pepto this week. 
Friday through Sunday 6/28 I slept the entire time. I didn't do anything. I went on a car ride with my boyfriend and we didnt get very far because I just needed to be in bed and near a bathroom. My sense of smell came back this past Sunday night.
Anyway, this week the symptoms have been about the same but perhaps only half of what they were. I now have what feels like a mild cold. What I had last week, I almost went to the hospital.. I've never been that out of it in my life. I couldn't even have a conversation with my boyfriend. 
He tested positive as well, but had no real symptoms other than a headache, loss of smell and some soreness. He is about twice my age and a smoker. 
I hope this helps anyone who thinks they may have it. I experienced pretty much every symptom other than a fever (oddly enough).</t>
        </is>
      </c>
      <c r="D2554" t="n">
        <v>1</v>
      </c>
      <c r="E2554" t="n">
        <v>72</v>
      </c>
      <c r="F2554">
        <f>HYPERLINK("https://www.reddit.com/r/COVID19positive/comments/hk8au0/i_am_21_and_got_my_ass_handed_to_me_by_covid19/")</f>
        <v/>
      </c>
      <c r="G2554" t="inlineStr">
        <is>
          <t>2020-07-02 16:43:58</t>
        </is>
      </c>
      <c r="H2554" t="inlineStr">
        <is>
          <t>Tested Positive - Me</t>
        </is>
      </c>
    </row>
    <row r="2555">
      <c r="A2555" t="inlineStr">
        <is>
          <t>hk8cbd</t>
        </is>
      </c>
      <c r="B2555" t="inlineStr">
        <is>
          <t>Need Help with Gastrointestinal Issues</t>
        </is>
      </c>
      <c r="C2555" t="inlineStr">
        <is>
          <t>Hello Everyone,
I'm posting on my mothers behalf and asking a few questions about what supplements and medicine would help with her condition. She has been dealing with the gastrointestinal form of COVID-19 since Saturday July 27th. 
Her symptoms include: migraines, chills, aches, fever (that has since broken), extreme fatigue, loss of smell, nausea and diarrhea.
As of now she is mostly taking vitamin C, staying hydrated with Gatorade and trying to eat what little she can.
Does anyone have advice/experience with probiotics or other medicine to soothe her COVID diarrhea? She has Ulcertive Colitis which has obviously begun to flare up from the GI issues. She mostly spends her days sleeping and shitting, and I want to be able to help her anyway I can.
Thanks!</t>
        </is>
      </c>
      <c r="D2555" t="n">
        <v>1</v>
      </c>
      <c r="E2555" t="n">
        <v>5</v>
      </c>
      <c r="F2555">
        <f>HYPERLINK("https://www.reddit.com/r/COVID19positive/comments/hk8cbd/need_help_with_gastrointestinal_issues/")</f>
        <v/>
      </c>
      <c r="G2555" t="inlineStr">
        <is>
          <t>2020-07-02 16:46:17</t>
        </is>
      </c>
      <c r="H2555" t="inlineStr">
        <is>
          <t>Presumed Positive - From Doctor</t>
        </is>
      </c>
    </row>
    <row r="2556">
      <c r="A2556" t="inlineStr">
        <is>
          <t>hk8i0n</t>
        </is>
      </c>
      <c r="B2556" t="inlineStr">
        <is>
          <t>My husband is positive - will everyone in our house get it too?</t>
        </is>
      </c>
      <c r="C2556" t="inlineStr">
        <is>
          <t>Today is day 7 or 8 of his symptoms and we got his positive results today. 
We’ve stayed 6 feet away from him since symptoms began (mild respiratory stuff, headaches off and on and can’t taste/smell), limited his movement around the house and don’t go in the ‘quarantine bubble’ we’ve created for him. We have medical grade air purifiers going in every room and 2 in the area he’s in and are sanitizing THE SHIT out of everything.  
Has anyone had family members they live with test positive and not end up with the virus themselves? We are quarantined like we all have it anyway, but my girls and I have no symptoms currently.  We’ll all plan to get tested before we break quarantine when the necessary time has passed, but just wondering if it’s inevitable that the rest of us will end up with it too.</t>
        </is>
      </c>
      <c r="D2556" t="n">
        <v>1</v>
      </c>
      <c r="E2556" t="n">
        <v>10</v>
      </c>
      <c r="F2556">
        <f>HYPERLINK("https://www.reddit.com/r/COVID19positive/comments/hk8i0n/my_husband_is_positive_will_everyone_in_our_house/")</f>
        <v/>
      </c>
      <c r="G2556" t="inlineStr">
        <is>
          <t>2020-07-02 16:55:46</t>
        </is>
      </c>
      <c r="H2556" t="inlineStr">
        <is>
          <t>Tested Positive - Family</t>
        </is>
      </c>
    </row>
    <row r="2557">
      <c r="A2557" t="inlineStr">
        <is>
          <t>hk9e0b</t>
        </is>
      </c>
      <c r="B2557" t="inlineStr">
        <is>
          <t>Caring for someone who has COVID, and yourself in a small living quarters</t>
        </is>
      </c>
      <c r="C2557" t="inlineStr">
        <is>
          <t xml:space="preserve">
I posted this in the r/COVID subreddit, but I just really want to expand my horizons as far as people’s own experiences and advice they have learned from this experience, and felt the need to Crosspost to a bigger subreddit. I hope that’s okay here. 
My boyfriend was confirmed for COVID yesterday. He’s been sick since last Thursday. I was starting to feel symptoms of headache and body aches on Monday. They came and went since then but luckily no fever. 
I also have my boyfriends brother staying with us, in our living room due to job loss during the shutdown. 
He has tested positive for COVID antibodies. We have a small 1 bedroom/1 bathroom apartment. 
I have already came to the conclusion that I indeed have it and I’m starting to show symptoms. While I have someone living in our living room space, I share a bed and space with the sickest person in the house. My boyfriend. He’s suffering from your common symptoms of fevers, headaches, dry cough and loss of appetite. Luckily he has no trouble breathing. 
Does anyone have tips or advice on this kind of situation? Trying to stay healthy, having to live close quarters with someone with a bad case of COVID? Caring for someone who has a COVID? 
Will I get a just as bad case as the person I sleep next to? Do we just ride this out in self quarantine?
I appreciate your thoughts.</t>
        </is>
      </c>
      <c r="D2557" t="n">
        <v>1</v>
      </c>
      <c r="E2557" t="n">
        <v>8</v>
      </c>
      <c r="F2557">
        <f>HYPERLINK("https://www.reddit.com/r/COVID19positive/comments/hk9e0b/caring_for_someone_who_has_covid_and_yourself_in/")</f>
        <v/>
      </c>
      <c r="G2557" t="inlineStr">
        <is>
          <t>2020-07-02 17:49:37</t>
        </is>
      </c>
      <c r="H2557" t="inlineStr">
        <is>
          <t>Tested Positive - Family</t>
        </is>
      </c>
    </row>
    <row r="2558">
      <c r="A2558" t="inlineStr">
        <is>
          <t>hk9ix1</t>
        </is>
      </c>
      <c r="B2558" t="inlineStr">
        <is>
          <t>I tested + on Monday. &amp;amp; I feel fine?</t>
        </is>
      </c>
      <c r="C2558" t="inlineStr">
        <is>
          <t>I texted positive on 6/29. I felt achy and sleepy 6/28 so got tested. 
The day of my + and the morning following have been the worst of it so far. I feel normal now, with slight congestion. 
No fever this entire time.
Did everyone isolate for the full 14 days if the began feeling better?</t>
        </is>
      </c>
      <c r="D2558" t="n">
        <v>1</v>
      </c>
      <c r="E2558" t="n">
        <v>16</v>
      </c>
      <c r="F2558">
        <f>HYPERLINK("https://www.reddit.com/r/COVID19positive/comments/hk9ix1/i_tested_on_monday_i_feel_fine/")</f>
        <v/>
      </c>
      <c r="G2558" t="inlineStr">
        <is>
          <t>2020-07-02 17:58:20</t>
        </is>
      </c>
      <c r="H2558" t="inlineStr">
        <is>
          <t>Tested Positive - Me</t>
        </is>
      </c>
    </row>
    <row r="2559">
      <c r="A2559" t="inlineStr">
        <is>
          <t>hkaa11</t>
        </is>
      </c>
      <c r="B2559" t="inlineStr">
        <is>
          <t>My mother (60) is positive and her spo2 is going down. What should I do?</t>
        </is>
      </c>
      <c r="C2559" t="inlineStr">
        <is>
          <t>My mother has had symptoms for about a week now. I have been checking her temp and spo2 about 5-6 times a day. I have noticed that she started with 96-97% and has slowly been declining to about 92-93% and won't go above that. When should I seek medical help?</t>
        </is>
      </c>
      <c r="D2559" t="n">
        <v>1</v>
      </c>
      <c r="E2559" t="n">
        <v>13</v>
      </c>
      <c r="F2559">
        <f>HYPERLINK("https://www.reddit.com/r/COVID19positive/comments/hkaa11/my_mother_60_is_positive_and_her_spo2_is_going/")</f>
        <v/>
      </c>
      <c r="G2559" t="inlineStr">
        <is>
          <t>2020-07-02 18:46:01</t>
        </is>
      </c>
      <c r="H2559" t="inlineStr">
        <is>
          <t>Tested Positive - Family</t>
        </is>
      </c>
    </row>
    <row r="2560">
      <c r="A2560" t="inlineStr">
        <is>
          <t>hkbt54</t>
        </is>
      </c>
      <c r="B2560" t="inlineStr">
        <is>
          <t>No one knows how long I should isolate</t>
        </is>
      </c>
      <c r="C2560" t="inlineStr">
        <is>
          <t>I was exposed at work from 06/15-06/18 and my symptoms began 06/20. I had diarrhea, extreme fatigue, and congestion for a few days. Each day my symptoms improved. By Friday 06/26, I felt almost normal except I noticed I lost my sense of taste and smell. It’s still not back. 
I tried to get tested but despite my best efforts and being 34 weeks pregnant, no one would test me. My husband became symptomatic on 06/27 and tested positive 06/28. He’s still ill- I’m not. 
My OB ordered a test for me tomorrow morning, but when it inevitably (I’m assuming) comes back positive- do I isolate the full two weeks? That makes zero sense to me. I’ve clearly had the virus and am recovering and am almost a full two weeks outside my symptom onset.</t>
        </is>
      </c>
      <c r="D2560" t="n">
        <v>1</v>
      </c>
      <c r="E2560" t="n">
        <v>9</v>
      </c>
      <c r="F2560">
        <f>HYPERLINK("https://www.reddit.com/r/COVID19positive/comments/hkbt54/no_one_knows_how_long_i_should_isolate/")</f>
        <v/>
      </c>
      <c r="G2560" t="inlineStr">
        <is>
          <t>2020-07-02 20:28:34</t>
        </is>
      </c>
      <c r="H2560" t="inlineStr">
        <is>
          <t>Tested Positive - Family</t>
        </is>
      </c>
    </row>
    <row r="2561">
      <c r="A2561" t="inlineStr">
        <is>
          <t>hkbvrt</t>
        </is>
      </c>
      <c r="B2561" t="inlineStr">
        <is>
          <t>Birth control pills and Covid-19</t>
        </is>
      </c>
      <c r="C2561" t="inlineStr">
        <is>
          <t>So I (F/23) tested positive for COVID-19 today. I’m currently on day 11 and so far my symptoms are gone basically. I only had small fevers for two days and loss of taste and smell. 
I did see that COVID-19 causes blood clotting and it freaked me out because I’m currently on the pill, Sprintec. I was wondering if this would put me at a higher risk at developing blood clots? I don’t know if I should stop taking them or something. I’m really freaking out. Thank you!</t>
        </is>
      </c>
      <c r="D2561" t="n">
        <v>1</v>
      </c>
      <c r="E2561" t="n">
        <v>10</v>
      </c>
      <c r="F2561">
        <f>HYPERLINK("https://www.reddit.com/r/COVID19positive/comments/hkbvrt/birth_control_pills_and_covid19/")</f>
        <v/>
      </c>
      <c r="G2561" t="inlineStr">
        <is>
          <t>2020-07-02 20:33:50</t>
        </is>
      </c>
      <c r="H2561" t="inlineStr">
        <is>
          <t>Tested Positive - Me</t>
        </is>
      </c>
    </row>
    <row r="2562">
      <c r="A2562" t="inlineStr">
        <is>
          <t>hkc3qc</t>
        </is>
      </c>
      <c r="B2562" t="inlineStr">
        <is>
          <t>Trouble breathing</t>
        </is>
      </c>
      <c r="C2562" t="inlineStr">
        <is>
          <t>Hey guys sadly my mom recently got infected with the virus and we’ve been taking care of her for the last couple of days. However she has been having trouble breathing and we can’t get a breathing machine till tomorrow. Even though she has to wait for a bit more, watching her suffer like this makes me feel traumatized and I really want to do something to help her even it’s just for a day. Does anyone have any advice on how i can help her breath better?</t>
        </is>
      </c>
      <c r="D2562" t="n">
        <v>1</v>
      </c>
      <c r="E2562" t="n">
        <v>9</v>
      </c>
      <c r="F2562">
        <f>HYPERLINK("https://www.reddit.com/r/COVID19positive/comments/hkc3qc/trouble_breathing/")</f>
        <v/>
      </c>
      <c r="G2562" t="inlineStr">
        <is>
          <t>2020-07-02 20:50:16</t>
        </is>
      </c>
      <c r="H2562" t="inlineStr">
        <is>
          <t>Tested Positive - Family</t>
        </is>
      </c>
    </row>
    <row r="2563">
      <c r="A2563" t="inlineStr">
        <is>
          <t>hkc6dx</t>
        </is>
      </c>
      <c r="B2563" t="inlineStr">
        <is>
          <t>COVID-19</t>
        </is>
      </c>
      <c r="C2563" t="inlineStr">
        <is>
          <t>My upper back feels sore and hurts at times and I still feel like phlegm is in my chest weird feeling my chest feels kind of tight what can it be I know I’m positive ....</t>
        </is>
      </c>
      <c r="D2563" t="n">
        <v>1</v>
      </c>
      <c r="E2563" t="n">
        <v>24</v>
      </c>
      <c r="F2563">
        <f>HYPERLINK("https://www.reddit.com/r/COVID19positive/comments/hkc6dx/covid19/")</f>
        <v/>
      </c>
      <c r="G2563" t="inlineStr">
        <is>
          <t>2020-07-02 20:55:56</t>
        </is>
      </c>
      <c r="H2563" t="inlineStr">
        <is>
          <t>Tested Positive</t>
        </is>
      </c>
    </row>
    <row r="2564">
      <c r="A2564" t="inlineStr">
        <is>
          <t>hkcc8k</t>
        </is>
      </c>
      <c r="B2564" t="inlineStr">
        <is>
          <t>Our whole family tested positive for Covid earlier last month. It took my Mom and will probably take my Uncle as well.</t>
        </is>
      </c>
      <c r="C2564" t="inlineStr">
        <is>
          <t>Last month in early June we all started showing symptoms right after a camping trip to the lake. We tried to socially distance and keep to ourselves but somehow we got it. I knew something was wrong when my wife started to have a cough 2 days after getting home with me and my mom following shortly after. Then the fever hit us all and I knew what it was.  My Mom's doctors told her it was probably a sinus infection, but I knew better and told her to get a test asap. Everyone came back positive and we were all having symptoms and quarintined at that point. So on day 5 my Mom started to have a lot of trouble breathing and since she had asthma and lupus we took her to the ER. Her oxygen levels were dangerously low and she was becoming increasingly weak and fatigued. They intubated her that night. The next 2 days my Uncle also got admitted for similar symptoms. Meanwhile the rest of us in the family had a week of coughing, fevers and body pain. My Mom's and Uncle's condition bounced back and forth for a few days and it even looked like she might recover at one point however a secondary MRSA infection developed in her lungs and at that point it was just all down hill. She passed on June 26th while the rest of us were in our last days of recovery. My Uncle's condition worsened and they had to put him on dialysis as his kidneys were only functioning at 15%. He also developed double pneumonia. At this point he is barley hanging on and may pass any day now as well. The rest of us are mostly recovered now but we still have residual issues. So Covid basically destroyed 1/5 of my family this year. We are all still in shock from it all but trying to piece ourselves back together... Blessings to all still fighting the battle.</t>
        </is>
      </c>
      <c r="D2564" t="n">
        <v>1</v>
      </c>
      <c r="E2564" t="n">
        <v>111</v>
      </c>
      <c r="F2564">
        <f>HYPERLINK("https://www.reddit.com/r/COVID19positive/comments/hkcc8k/our_whole_family_tested_positive_for_covid/")</f>
        <v/>
      </c>
      <c r="G2564" t="inlineStr">
        <is>
          <t>2020-07-02 21:07:37</t>
        </is>
      </c>
      <c r="H2564" t="inlineStr">
        <is>
          <t>Tested Positive - Family</t>
        </is>
      </c>
    </row>
    <row r="2565">
      <c r="A2565" t="inlineStr">
        <is>
          <t>hkcfeu</t>
        </is>
      </c>
      <c r="B2565" t="inlineStr">
        <is>
          <t>Bloodshot eyes?</t>
        </is>
      </c>
      <c r="C2565" t="inlineStr">
        <is>
          <t>Going on day 13. Seem to be improving this week, but noticed yesterday that my eyes got really bloodshot and have been this way since. Has anyone else had this happen?</t>
        </is>
      </c>
      <c r="D2565" t="n">
        <v>1</v>
      </c>
      <c r="E2565" t="n">
        <v>4</v>
      </c>
      <c r="F2565">
        <f>HYPERLINK("https://www.reddit.com/r/COVID19positive/comments/hkcfeu/bloodshot_eyes/")</f>
        <v/>
      </c>
      <c r="G2565" t="inlineStr">
        <is>
          <t>2020-07-02 21:14:07</t>
        </is>
      </c>
      <c r="H2565" t="inlineStr">
        <is>
          <t>Tested Positive</t>
        </is>
      </c>
    </row>
    <row r="2566">
      <c r="A2566" t="inlineStr">
        <is>
          <t>hkedxn</t>
        </is>
      </c>
      <c r="B2566" t="inlineStr">
        <is>
          <t>How do severe symptoms go from hell to mild so quickly</t>
        </is>
      </c>
      <c r="C2566" t="inlineStr">
        <is>
          <t>Ive been up all night, burning skin, tight chest, lung stiffness, neck pain, digging in the back, sharp chest pains, burning eyes, dull throbbing kidney pain, tachycardia with bouts of brachycardia, pressure in hands, head pressure, it 7am no sleep yet, then all of a sudden i start to feel much better, all symptoms ease, stinging eyes just stop, skin burning eases, my heartrate suddenly goes back to normal, lungs ease and open up, kidney pain disappears, i can finally get some sleep at last, all for the symptoms to reappear sometime tommorrow again, but ill enjoy the tempory relief for now, how can symptoms just ease up and disappear so quickly?, then ramp up throughout the day tommorrow again?, what is actually going on?</t>
        </is>
      </c>
      <c r="D2566" t="n">
        <v>1</v>
      </c>
      <c r="E2566" t="n">
        <v>8</v>
      </c>
      <c r="F2566">
        <f>HYPERLINK("https://www.reddit.com/r/COVID19positive/comments/hkedxn/how_do_severe_symptoms_go_from_hell_to_mild_so/")</f>
        <v/>
      </c>
      <c r="G2566" t="inlineStr">
        <is>
          <t>2020-07-02 23:53:16</t>
        </is>
      </c>
      <c r="H2566" t="inlineStr">
        <is>
          <t>Tested Positive</t>
        </is>
      </c>
    </row>
    <row r="2567">
      <c r="A2567" t="inlineStr">
        <is>
          <t>hkegt1</t>
        </is>
      </c>
      <c r="B2567" t="inlineStr">
        <is>
          <t>Early days, some things I can do to prepare?</t>
        </is>
      </c>
      <c r="C2567" t="inlineStr">
        <is>
          <t>I have a fever, so the symptoms mild. Was tested Tuesday will get results Monday. Very likely positive. Is there a sticky or thread explain all the things that are smart to do to make it better? I've heard things like sleep in stomach, breathing exercises... What about the Tylenol. Should I take it if the pain isn't too bad? Isn't a fever good?
Any special: exercises, foods, breathing regimes, activity regimes, ways to sit, stand, sleep, OTC to take, or not take, food to avoid? 
Thanks!</t>
        </is>
      </c>
      <c r="D2567" t="n">
        <v>1</v>
      </c>
      <c r="E2567" t="n">
        <v>12</v>
      </c>
      <c r="F2567">
        <f>HYPERLINK("https://www.reddit.com/r/COVID19positive/comments/hkegt1/early_days_some_things_i_can_do_to_prepare/")</f>
        <v/>
      </c>
      <c r="G2567" t="inlineStr">
        <is>
          <t>2020-07-03 00:00:50</t>
        </is>
      </c>
      <c r="H2567" t="inlineStr">
        <is>
          <t>Presumed Positive - From Doctor</t>
        </is>
      </c>
    </row>
    <row r="2568">
      <c r="A2568" t="inlineStr">
        <is>
          <t>hkeofs</t>
        </is>
      </c>
      <c r="B2568" t="inlineStr">
        <is>
          <t>Anyone else noticing blue veins?</t>
        </is>
      </c>
      <c r="C2568" t="inlineStr">
        <is>
          <t>I'm over 100 days in and currently coping with unexplained sinus tachycardia, and some kind of dysautonomia or vascular issues that are looking a lot like POTS.  Something weird that's catching my attention lately - I'm pretty tan and yet I'm noticing a lot of blue veins showing through my skin.  The ones in my hands, arms, and feet become more prominent and dimensional after exertion of any kind, but veins all over my body are more noticeably blue than usual even at rest.  Just curious if this is happening to anyone else.</t>
        </is>
      </c>
      <c r="D2568" t="n">
        <v>1</v>
      </c>
      <c r="E2568" t="n">
        <v>11</v>
      </c>
      <c r="F2568">
        <f>HYPERLINK("https://www.reddit.com/r/COVID19positive/comments/hkeofs/anyone_else_noticing_blue_veins/")</f>
        <v/>
      </c>
      <c r="G2568" t="inlineStr">
        <is>
          <t>2020-07-03 00:19:45</t>
        </is>
      </c>
      <c r="H2568" t="inlineStr">
        <is>
          <t>Presumed Positive - From Doctor</t>
        </is>
      </c>
    </row>
    <row r="2569">
      <c r="A2569" t="inlineStr">
        <is>
          <t>hkiugc</t>
        </is>
      </c>
      <c r="B2569" t="inlineStr">
        <is>
          <t>It's time for a new diagnosis for me, 'post covid fatigue syndrome'</t>
        </is>
      </c>
      <c r="C2569" t="inlineStr">
        <is>
          <t>Having been 'cleared' on April 22, and still having fatigue and joint pains, I will hopefully get my dr. to diagnosis me with this new title. 
I returned to my part-time job, only a few shifts a week, and it has really been challenging. On my days off I'm drained, like I ran a marathon the day before. 
They gave me a 6am shift, despite the fact that I had told them that I only wanted to work afternoons to evening.  They said they couldn't change it.   
So I did it, seeing how it would go, and I'm wrecked. It was only 6am to 10pm but it wore me out. I sort of napped that afternoon.   
But today, the day after, I felt like a truck had run me over. I was even dizzy. So I called in sick to work. No way could I see myself doing a 6 hour shift (2pm to 8pm). Add driving time and that's 7 hours out of the house. 
Normal, healthy people would probably be like 'boo-hoo, 7 hours', but they don't get how bad this post-covid fatigue is. 
Today was the most tired I've probably ever been. Even walking in the house I was hunching down to save energy. Talking to my housemate my head was drooping down. I've never done those things before. 
So I want the diagnosis and work can either accept it or say goodbye. It's time to put my recovery first.</t>
        </is>
      </c>
      <c r="D2569" t="n">
        <v>1</v>
      </c>
      <c r="E2569" t="n">
        <v>5</v>
      </c>
      <c r="F2569">
        <f>HYPERLINK("https://www.reddit.com/r/COVID19positive/comments/hkiugc/its_time_for_a_new_diagnosis_for_me_post_covid/")</f>
        <v/>
      </c>
      <c r="G2569" t="inlineStr">
        <is>
          <t>2020-07-03 06:14:38</t>
        </is>
      </c>
      <c r="H2569" t="inlineStr">
        <is>
          <t>Tested Positive - Me</t>
        </is>
      </c>
    </row>
    <row r="2570">
      <c r="A2570" t="inlineStr">
        <is>
          <t>hkjnmv</t>
        </is>
      </c>
      <c r="B2570" t="inlineStr">
        <is>
          <t>I tested positive</t>
        </is>
      </c>
      <c r="C2570" t="inlineStr">
        <is>
          <t>Hi, I just found out I tested positive. I only had congestion in my nose, runny nose, and some sneezing. I was careful.. I wore a mask everywhere with several ppl in close range. Please get tested and stay home. I don’t know obviously where I got it. I still had to go to work at a Hospital so there is a chance I got it there... but no one really knows. Therefore, please be careful. If you have any symptoms like a cold that almost felt like nothing kinda like me PLEASE GET TESTED.</t>
        </is>
      </c>
      <c r="D2570" t="n">
        <v>1</v>
      </c>
      <c r="E2570" t="n">
        <v>1</v>
      </c>
      <c r="F2570">
        <f>HYPERLINK("https://www.reddit.com/r/COVID19positive/comments/hkjnmv/i_tested_positive/")</f>
        <v/>
      </c>
      <c r="G2570" t="inlineStr">
        <is>
          <t>2020-07-03 07:07:26</t>
        </is>
      </c>
      <c r="H2570" t="inlineStr">
        <is>
          <t>Tested Positive - Me</t>
        </is>
      </c>
    </row>
    <row r="2571">
      <c r="A2571" t="inlineStr">
        <is>
          <t>hkjqkd</t>
        </is>
      </c>
      <c r="B2571" t="inlineStr">
        <is>
          <t>Have I gotten through the worst?</t>
        </is>
      </c>
      <c r="C2571" t="inlineStr">
        <is>
          <t>I posted a few days ago about caring for my dad, but I’ve also been feeling symptoms for about a week. I started off feeling lots of fatigue and shivers all throughout my body. This turned into intense chills, headache and a low fever of about 100, I had a headache for about two-three days straight and bouts of nausea coming in and out as well as some tightness in my chest, but it felt more like nerves. I’ve been much more prone to anxiety and almost jittery and have felt dizzy from time to time. Right now though, all I have left is a cough and I can’t particularly smell. I’ve been waiting on my test results from last Friday but I’m pretty sure I have it at this point since I was in close contact with my dad when he started getting sick. 
Still, will it get worse for me or will it just be more of the same? A constant stream of mild symptoms until this thing fades out? I’m not complaining, just hoping I’ll level off rather than have to worry about getting worse.</t>
        </is>
      </c>
      <c r="D2571" t="n">
        <v>1</v>
      </c>
      <c r="E2571" t="n">
        <v>3</v>
      </c>
      <c r="F2571">
        <f>HYPERLINK("https://www.reddit.com/r/COVID19positive/comments/hkjqkd/have_i_gotten_through_the_worst/")</f>
        <v/>
      </c>
      <c r="G2571" t="inlineStr">
        <is>
          <t>2020-07-03 07:12:12</t>
        </is>
      </c>
      <c r="H2571" t="inlineStr">
        <is>
          <t>Presumed Positive - From Test</t>
        </is>
      </c>
    </row>
    <row r="2572">
      <c r="A2572" t="inlineStr">
        <is>
          <t>hkktke</t>
        </is>
      </c>
      <c r="B2572" t="inlineStr">
        <is>
          <t>I'm terrified.</t>
        </is>
      </c>
      <c r="C2572" t="inlineStr">
        <is>
          <t>I just found this sub while looking for information about this illness.   
I'm so scared, I really don't know what to do. I came down with covid 5 days ago after a coworker that i work in close proximity with wasn't feeling good. Lo and behold, next day I had it too. He got tested and was positive, and so unsurprisingly my test was positive as well. I've been alright so far. Mild cough. No lung issues. Headache and fever, aches and pains.   
I thought maybe i'd get through it without issue. Now i've read that most people who get severely ill don't experience worse symptoms until day 10-12. I'm terrified. I had acute kidney injury earlier this year from medication and I know this can cause kidney issues. On top of this, my girlfriend also started showing symptoms today (we live together in studio apartment, we figured she was going to get it too). I've just been panicking all morning. Wondering if i'll drop dead, or if she will. We have literally no family in this state and I have nobody I can reach out to for actual support. I really wish someone could tell me without a doubt that it'll be alright but I know it doesn't work like that. I don't know what to do with myself right now. I've been pacing my apartment and crying all morning.</t>
        </is>
      </c>
      <c r="D2572" t="n">
        <v>8</v>
      </c>
      <c r="E2572" t="n">
        <v>89</v>
      </c>
      <c r="F2572">
        <f>HYPERLINK("https://www.reddit.com/r/COVID19positive/comments/hkktke/im_terrified/")</f>
        <v/>
      </c>
      <c r="G2572" t="inlineStr">
        <is>
          <t>2020-07-03 08:16:11</t>
        </is>
      </c>
      <c r="H2572" t="inlineStr">
        <is>
          <t>Tested Positive - Me</t>
        </is>
      </c>
    </row>
    <row r="2573">
      <c r="A2573" t="inlineStr">
        <is>
          <t>hkm0cy</t>
        </is>
      </c>
      <c r="B2573" t="inlineStr">
        <is>
          <t>scared to pass it to my family</t>
        </is>
      </c>
      <c r="C2573" t="inlineStr">
        <is>
          <t>im 21 and tested positive. i moved back in w my parents in april to work from home, originally until august. i am so scared to pass it to my family. ive been isolating in my room but i know thats not necessarily going to prevent spread. is anyone else in a similar situation? i dont want anything bad to happen to them. i would feel so guilty and be so destroyed if they became seriously ill. theyre in their 50s. i hear stories of kids parents dying from this. i wouldnt be able to live with myself.</t>
        </is>
      </c>
      <c r="D2573" t="n">
        <v>2</v>
      </c>
      <c r="E2573" t="n">
        <v>6</v>
      </c>
      <c r="F2573">
        <f>HYPERLINK("https://www.reddit.com/r/COVID19positive/comments/hkm0cy/scared_to_pass_it_to_my_family/")</f>
        <v/>
      </c>
      <c r="G2573" t="inlineStr">
        <is>
          <t>2020-07-03 09:22:15</t>
        </is>
      </c>
      <c r="H2573" t="inlineStr">
        <is>
          <t>Tested Positive - Me</t>
        </is>
      </c>
    </row>
    <row r="2574">
      <c r="A2574" t="inlineStr">
        <is>
          <t>hkmxmr</t>
        </is>
      </c>
      <c r="B2574" t="inlineStr">
        <is>
          <t>Day 32 since symptoms</t>
        </is>
      </c>
      <c r="C2574" t="inlineStr">
        <is>
          <t>Now over the last 2 weeks or so I’ve felt relatively fine. I had one day where I was zoinked but I attributed that to lack of sleep from anxiety of the virus. I went and got checked after that and my lungs were clear and heart was functioning properly so that relieved my worry a lot. Today I cut my grass for the first time in a while (had someone do it the last few weeks) and my yard is relatively large (about 3/4 acre) compared to other residential plots and usually I can do all 3 portions of my yard (front, side and back) at the same time in about an 1 hour and half to 1:45. I decided to pace myself and not do all the yards so I just did my front yard since it was the most out of control and after about 35 minutes of mowing I was struggling outside. I stopped and took about an hour break before going back out and finishing. Whole front yard took me about 50 minutes which is normal. However now I’m worried that I may still have problems as it relates to covid. I’m a pretty in shape individual who has just lost a ton of weight over the last year and mowing normally doesn’t give me much trouble. To be fair it also was 85 degrees outside and felt like 90 so that could attribute to it but I’ve mowed in this weather before and have had little to no trouble. Just wanted to share my experience to see if anyone has is having similar issues.</t>
        </is>
      </c>
      <c r="D2574" t="n">
        <v>1</v>
      </c>
      <c r="E2574" t="n">
        <v>3</v>
      </c>
      <c r="F2574">
        <f>HYPERLINK("https://www.reddit.com/r/COVID19positive/comments/hkmxmr/day_32_since_symptoms/")</f>
        <v/>
      </c>
      <c r="G2574" t="inlineStr">
        <is>
          <t>2020-07-03 10:13:51</t>
        </is>
      </c>
      <c r="H2574" t="inlineStr">
        <is>
          <t>Tested Positive - Me</t>
        </is>
      </c>
    </row>
    <row r="2575">
      <c r="A2575" t="inlineStr">
        <is>
          <t>hknamp</t>
        </is>
      </c>
      <c r="B2575" t="inlineStr">
        <is>
          <t>21-year-old with Asthmatic history</t>
        </is>
      </c>
      <c r="C2575" t="inlineStr">
        <is>
          <t>June 30th started with bad diarrhea. Then it progressed to a fever. Chills. Night sweats. it's currently July 3rd and I feel good in the day but seem to get bad at night. 
I've exposed my twin brother (21), mom (50), dad (51), and possibly sister (16). I'm really worried about them. I won't be able to live with myself if I lose one of them due to my carelessness.</t>
        </is>
      </c>
      <c r="D2575" t="n">
        <v>1</v>
      </c>
      <c r="E2575" t="n">
        <v>2</v>
      </c>
      <c r="F2575">
        <f>HYPERLINK("https://www.reddit.com/r/COVID19positive/comments/hknamp/21yearold_with_asthmatic_history/")</f>
        <v/>
      </c>
      <c r="G2575" t="inlineStr">
        <is>
          <t>2020-07-03 10:33:36</t>
        </is>
      </c>
      <c r="H2575" t="inlineStr">
        <is>
          <t>Presumed Positive - From Test</t>
        </is>
      </c>
    </row>
    <row r="2576">
      <c r="A2576" t="inlineStr">
        <is>
          <t>hknlkd</t>
        </is>
      </c>
      <c r="B2576" t="inlineStr">
        <is>
          <t>Tongue/Mouth Pain</t>
        </is>
      </c>
      <c r="C2576" t="inlineStr">
        <is>
          <t>I recently got tested positive for Covid. Most of all the symptoms have passed except now I have a really sore tongue that appears to have some dark red fungi/bacteria on it that has been present since I first got sick. Worrying me because it won’t go away. It has a burning feeling normally, especially when I’m eating and food touches the top of my tongue. Any ideas?</t>
        </is>
      </c>
      <c r="D2576" t="n">
        <v>1</v>
      </c>
      <c r="E2576" t="n">
        <v>3</v>
      </c>
      <c r="F2576">
        <f>HYPERLINK("https://www.reddit.com/r/COVID19positive/comments/hknlkd/tonguemouth_pain/")</f>
        <v/>
      </c>
      <c r="G2576" t="inlineStr">
        <is>
          <t>2020-07-03 10:50:43</t>
        </is>
      </c>
      <c r="H2576" t="inlineStr">
        <is>
          <t>Tested Positive - Me</t>
        </is>
      </c>
    </row>
    <row r="2577">
      <c r="A2577" t="inlineStr">
        <is>
          <t>hknsjo</t>
        </is>
      </c>
      <c r="B2577" t="inlineStr">
        <is>
          <t>Family member tested positive.</t>
        </is>
      </c>
      <c r="C2577" t="inlineStr">
        <is>
          <t>If I live with this family member and I am experiencing symptoms, do I have to go get tested or do I just stay quarantined for 14 days? I feel fine. It’s like a very mild cold. I feel it would be a waste of money ($200 each) to test because other family members in this house are experiencing a mild cold as well.</t>
        </is>
      </c>
      <c r="D2577" t="n">
        <v>3</v>
      </c>
      <c r="E2577" t="n">
        <v>9</v>
      </c>
      <c r="F2577">
        <f>HYPERLINK("https://www.reddit.com/r/COVID19positive/comments/hknsjo/family_member_tested_positive/")</f>
        <v/>
      </c>
      <c r="G2577" t="inlineStr">
        <is>
          <t>2020-07-03 11:01:40</t>
        </is>
      </c>
      <c r="H2577" t="inlineStr">
        <is>
          <t>Tested Positive - Family</t>
        </is>
      </c>
    </row>
    <row r="2578">
      <c r="A2578" t="inlineStr">
        <is>
          <t>hknyiz</t>
        </is>
      </c>
      <c r="B2578" t="inlineStr">
        <is>
          <t>Blisters on hands as a symptom? Was positive in May, recovered and tested negative, symptoms seem to be coming back.</t>
        </is>
      </c>
      <c r="C2578" t="inlineStr">
        <is>
          <t>I tested positive in May, was very sick for about 10 days, then started to feel better. Tested negative twice since. My breathing and energy never recovered and now I’m coughing and have a sore throat again. Today I woke up with stomach issues and blisters on my fingers.
Does anyone know if blisters are a symptom?</t>
        </is>
      </c>
      <c r="D2578" t="n">
        <v>6</v>
      </c>
      <c r="E2578" t="n">
        <v>5</v>
      </c>
      <c r="F2578">
        <f>HYPERLINK("https://www.reddit.com/r/COVID19positive/comments/hknyiz/blisters_on_hands_as_a_symptom_was_positive_in/")</f>
        <v/>
      </c>
      <c r="G2578" t="inlineStr">
        <is>
          <t>2020-07-03 11:11:09</t>
        </is>
      </c>
      <c r="H2578" t="inlineStr">
        <is>
          <t>Tested Positive - Me</t>
        </is>
      </c>
    </row>
    <row r="2579">
      <c r="A2579" t="inlineStr">
        <is>
          <t>hko9kg</t>
        </is>
      </c>
      <c r="B2579" t="inlineStr">
        <is>
          <t>Shortness of Breath but O2 Normal</t>
        </is>
      </c>
      <c r="C2579" t="inlineStr">
        <is>
          <t>On day 21.   Thought I was recovering but Temp and SOB came back even worse. Wondering if others have had this experience where they have SOB for a day or two but O2 stays above 95 the entire time.  Asking because I was told to not bother going to the hospital if O2 is above 90, but SOB feels bad that in any other circumstance I would be calling an ambulance.</t>
        </is>
      </c>
      <c r="D2579" t="n">
        <v>3</v>
      </c>
      <c r="E2579" t="n">
        <v>5</v>
      </c>
      <c r="F2579">
        <f>HYPERLINK("https://www.reddit.com/r/COVID19positive/comments/hko9kg/shortness_of_breath_but_o2_normal/")</f>
        <v/>
      </c>
      <c r="G2579" t="inlineStr">
        <is>
          <t>2020-07-03 11:28:45</t>
        </is>
      </c>
      <c r="H2579" t="inlineStr">
        <is>
          <t>Presumed Positive - From Doctor</t>
        </is>
      </c>
    </row>
    <row r="2580">
      <c r="A2580" t="inlineStr">
        <is>
          <t>hkoejw</t>
        </is>
      </c>
      <c r="B2580" t="inlineStr">
        <is>
          <t>The flight attendant from earlier this week here: what was the first symptom (+ people) that something wasn’t quite right? Rash, anyone?</t>
        </is>
      </c>
      <c r="C2580" t="inlineStr">
        <is>
          <t>I hope everyone is staying safe and doing well. First, I want to thank everyone that reached out to me and the few of you that made me laugh while I sit in isolation. It’s just a message board (!), but you all are the best. 
Question for those that tested positive: 
What was the first symptom after your exposure? When did it happen? 
I was very fortunate to know that I was exposed as soon as possible thanks to a wonderful co-worker that I got tested with. I am forever grateful that she called me without even having my number. We work on planes and likely won’t fly with each other. She tracked me down. 
My first symptom happened at 9-12 hours after my first point of contact with COVID. It was an itchy, hot body rash that extended over the entire trunk of my body and up my neck. It disappeared over the course of 2 hours and I only noticed when my body got warm like a sunburn on affected areas. 
My tonsils inflamed 2 days out along with a sore throat. 
I ask this because fevers and sense of smell seem to be what most people are looking for. For me, a fever has been a very small portion. I am now 11 days since initial exposure and just lost my sense of smell today. I guess I don’t need it anyways ;). I will truck along. 
What was your first noticeable symptom?</t>
        </is>
      </c>
      <c r="D2580" t="n">
        <v>3</v>
      </c>
      <c r="E2580" t="n">
        <v>4</v>
      </c>
      <c r="F2580">
        <f>HYPERLINK("https://www.reddit.com/r/COVID19positive/comments/hkoejw/the_flight_attendant_from_earlier_this_week_here/")</f>
        <v/>
      </c>
      <c r="G2580" t="inlineStr">
        <is>
          <t>2020-07-03 11:36:38</t>
        </is>
      </c>
      <c r="H2580" t="inlineStr">
        <is>
          <t>Tested Positive - Me</t>
        </is>
      </c>
    </row>
    <row r="2581">
      <c r="A2581" t="inlineStr">
        <is>
          <t>hkoh3r</t>
        </is>
      </c>
      <c r="B2581" t="inlineStr">
        <is>
          <t>Symptoms changing</t>
        </is>
      </c>
      <c r="C2581" t="inlineStr">
        <is>
          <t>I started with chills and possibly a fever but no way of confirming without a thermometer. Then a sore throat developed later on that day. After a couple days the chills went away and I thought the sore throat was ready to leave. Woke up the next day and the sore throat became worse and painful. Then came the headaches. Tension headaches possibly sinus headaches. Pretty much sometimes when I breathe through my nose I get a pulsating headache that I just can not handle. It is now Day 7 and the only symptom that remains is the headache triggered by breathing through my nose.</t>
        </is>
      </c>
      <c r="D2581" t="n">
        <v>2</v>
      </c>
      <c r="E2581" t="n">
        <v>9</v>
      </c>
      <c r="F2581">
        <f>HYPERLINK("https://www.reddit.com/r/COVID19positive/comments/hkoh3r/symptoms_changing/")</f>
        <v/>
      </c>
      <c r="G2581" t="inlineStr">
        <is>
          <t>2020-07-03 11:40:46</t>
        </is>
      </c>
      <c r="H2581" t="inlineStr">
        <is>
          <t>Tested Positive - Me</t>
        </is>
      </c>
    </row>
    <row r="2582">
      <c r="A2582" t="inlineStr">
        <is>
          <t>hkoirh</t>
        </is>
      </c>
      <c r="B2582" t="inlineStr">
        <is>
          <t>Blood in phlegm a symptom?</t>
        </is>
      </c>
      <c r="C2582" t="inlineStr">
        <is>
          <t>Hi all! I just stumbled across this sub while looking for information on possible symptoms not typical of CV. I was exposed to someone who tested positive on 6/28 and myself was tested 7/2, still waiting for results. During this past week, I've only really developed a sore throat and slight cough. This morning, however, I coughed up phlegm with blood in it. Definitely didn't have a bloody nose and I really haven't been coughing a lot, maybe a like 5 coughs a day. Is this a possible symptom? I am freaking out and not sure if I'm overthinking. My breathing has been okay, I have been on/off with congestion and I feel hot at times but no alarming fever.</t>
        </is>
      </c>
      <c r="D2582" t="n">
        <v>1</v>
      </c>
      <c r="E2582" t="n">
        <v>3</v>
      </c>
      <c r="F2582">
        <f>HYPERLINK("https://www.reddit.com/r/COVID19positive/comments/hkoirh/blood_in_phlegm_a_symptom/")</f>
        <v/>
      </c>
      <c r="G2582" t="inlineStr">
        <is>
          <t>2020-07-03 11:43:26</t>
        </is>
      </c>
      <c r="H2582" t="inlineStr">
        <is>
          <t>Presumed Positive - From Test</t>
        </is>
      </c>
    </row>
    <row r="2583">
      <c r="A2583" t="inlineStr">
        <is>
          <t>hkp13w</t>
        </is>
      </c>
      <c r="B2583" t="inlineStr">
        <is>
          <t>Just got positive . Scared . Female 43, type 2 diabetes controlled . Low BMI. Otherwise healthy .</t>
        </is>
      </c>
      <c r="C2583" t="inlineStr">
        <is>
          <t>A tiny fever , a tiny SOB , blocked nose 
Got infected on 27 or 28 June . Did test today , came back positive.  Blood type O. 
I wire n95 masks, shields , shower hat , disinfected my hands a million times , changed my mask frequently , avoided any interaction with other humans except a necessary air travel from San Francisco with a stop in Dallas airport . 
Anyone there has diabetes 2 and controlled and around my age ?</t>
        </is>
      </c>
      <c r="D2583" t="n">
        <v>2</v>
      </c>
      <c r="E2583" t="n">
        <v>9</v>
      </c>
      <c r="F2583">
        <f>HYPERLINK("https://www.reddit.com/r/COVID19positive/comments/hkp13w/just_got_positive_scared_female_43_type_2/")</f>
        <v/>
      </c>
      <c r="G2583" t="inlineStr">
        <is>
          <t>2020-07-03 12:12:23</t>
        </is>
      </c>
      <c r="H2583" t="inlineStr">
        <is>
          <t>Tested Positive - Me</t>
        </is>
      </c>
    </row>
    <row r="2584">
      <c r="A2584" t="inlineStr">
        <is>
          <t>hkpbqo</t>
        </is>
      </c>
      <c r="B2584" t="inlineStr">
        <is>
          <t>On and off symptoms every other day?/Trouble sleeping</t>
        </is>
      </c>
      <c r="C2584" t="inlineStr">
        <is>
          <t>Hi, I’m currently on day 20 and I seem to be having 2 leftover symptoms that only show up every other day. I’ll have a headache one day, the next back pain, the next headache, etc. It’s been like this for several days now. Is anyone else experiencing this?
Is anyone also having trouble sleeping? I typically have trouble sleeping over the summers (since I was about 15, I’m 21) but I would take melatonin and eventually fall asleep. I took 21 mg of melatonin last night and I don’t think I fell asleep until 5 AM. I have noticed some brands of melatonin have worked better than others but does anyone have any tips? I would like to be able to sleep :(</t>
        </is>
      </c>
      <c r="D2584" t="n">
        <v>2</v>
      </c>
      <c r="E2584" t="n">
        <v>2</v>
      </c>
      <c r="F2584">
        <f>HYPERLINK("https://www.reddit.com/r/COVID19positive/comments/hkpbqo/on_and_off_symptoms_every_other_daytrouble/")</f>
        <v/>
      </c>
      <c r="G2584" t="inlineStr">
        <is>
          <t>2020-07-03 12:29:26</t>
        </is>
      </c>
      <c r="H2584" t="inlineStr">
        <is>
          <t>Tested Positive - Me</t>
        </is>
      </c>
    </row>
    <row r="2585">
      <c r="A2585" t="inlineStr">
        <is>
          <t>hkqpb9</t>
        </is>
      </c>
      <c r="B2585" t="inlineStr">
        <is>
          <t>Symptom help</t>
        </is>
      </c>
      <c r="C2585" t="inlineStr">
        <is>
          <t>I tested positive on Wednesday. 21 yo. Lost my sense of taste &amp;amp; smell yesterday. No desire to eat.</t>
        </is>
      </c>
      <c r="D2585" t="n">
        <v>4</v>
      </c>
      <c r="E2585" t="n">
        <v>5</v>
      </c>
      <c r="F2585">
        <f>HYPERLINK("https://www.reddit.com/r/COVID19positive/comments/hkqpb9/symptom_help/")</f>
        <v/>
      </c>
      <c r="G2585" t="inlineStr">
        <is>
          <t>2020-07-03 13:50:19</t>
        </is>
      </c>
      <c r="H2585" t="inlineStr">
        <is>
          <t>Tested Positive - Me</t>
        </is>
      </c>
    </row>
    <row r="2586">
      <c r="A2586" t="inlineStr">
        <is>
          <t>hkqs4k</t>
        </is>
      </c>
      <c r="B2586" t="inlineStr">
        <is>
          <t>Im actually getting quite worried tbh, after 8 weeks ive developed really severe crippling kidney and testicle pain, the pain is so bad its making me feel sick</t>
        </is>
      </c>
      <c r="C2586" t="inlineStr">
        <is>
          <t>Anyone had new symptoms and symptoms getting more severe after 8 weeks?</t>
        </is>
      </c>
      <c r="D2586" t="n">
        <v>3</v>
      </c>
      <c r="E2586" t="n">
        <v>9</v>
      </c>
      <c r="F2586">
        <f>HYPERLINK("https://www.reddit.com/r/COVID19positive/comments/hkqs4k/im_actually_getting_quite_worried_tbh_after_8/")</f>
        <v/>
      </c>
      <c r="G2586" t="inlineStr">
        <is>
          <t>2020-07-03 13:54:56</t>
        </is>
      </c>
      <c r="H2586" t="inlineStr">
        <is>
          <t>Tested Positive</t>
        </is>
      </c>
    </row>
    <row r="2587">
      <c r="A2587" t="inlineStr">
        <is>
          <t>hkr45s</t>
        </is>
      </c>
      <c r="B2587" t="inlineStr">
        <is>
          <t>I'm in recovery!</t>
        </is>
      </c>
      <c r="C2587" t="inlineStr">
        <is>
          <t>Hello!
I just wanted to talk about my experience with Covid-19 as I basically didn't have the extreme symptoms like most people. I am 29, female, live in the USA. No health conditions besides allergies and mild asthma.
Ok so! I started feeling symptoms on June 22nd: mostly just my heart was racing randomly, I felt pretty tired after just roller skating for like 2 hours. (yes outside but I had my face covering on).
Tuesday, June 23rd: I woke up with an extremely bad headache and my neck was in so much pain but I took ibuprofen and all symptoms went away.
Wednesday, June 24th- Sunday, June 28th: I had a headache, nasal congestion but with no mucus, super fatigued (took two naps a day), my mouth was so dry I drank so much water but I couldn't quench my thirst, and I stayed home this entire time and was away from others. On Sunday, I woke up with extreme vertigo and all I could do was lay down and sleep because I had extreme nausea as well.
I made an appointment and got tested on 6/30, got results 7/2 and I came up positive.
I took the nasal swab test. I stopped feeling symptoms on Tuesday, June 30th. I still had weird boogers in my nose but no fever, headache, body aches, congestion, or dry mouth.
The day I got my results (yesterday): I sent everyone I was with in the last two weeks a text telling them everything (symptoms, apologies, how to take a test, etc.). I haven't left the house since I got my positive result but IF I were to I'd deff wear a mask. I also got a call from the local health department asking about my symptoms, evaluated me, asked if I need any resources, answered all my questions, etc. Masks are ESSENTIAL
I'm the first person to have it out of everyone I know. I'm happy that it's done with and that I didn't have more severe symptoms.</t>
        </is>
      </c>
      <c r="D2587" t="n">
        <v>5</v>
      </c>
      <c r="E2587" t="n">
        <v>25</v>
      </c>
      <c r="F2587">
        <f>HYPERLINK("https://www.reddit.com/r/COVID19positive/comments/hkr45s/im_in_recovery/")</f>
        <v/>
      </c>
      <c r="G2587" t="inlineStr">
        <is>
          <t>2020-07-03 14:15:01</t>
        </is>
      </c>
      <c r="H2587" t="inlineStr">
        <is>
          <t>Tested Positive - Me</t>
        </is>
      </c>
    </row>
    <row r="2588">
      <c r="A2588" t="inlineStr">
        <is>
          <t>hkrg9z</t>
        </is>
      </c>
      <c r="B2588" t="inlineStr">
        <is>
          <t>Safe to end isolation?</t>
        </is>
      </c>
      <c r="C2588" t="inlineStr">
        <is>
          <t>If I tested positive for Covid about 3-4 weeks ago (asymptomatic), do I need to re-isolate if coming in contact with someone who has it currently? Will I become contagious again or am I most likely safe? Seeing mixed opinions</t>
        </is>
      </c>
      <c r="D2588" t="n">
        <v>1</v>
      </c>
      <c r="E2588" t="n">
        <v>2</v>
      </c>
      <c r="F2588">
        <f>HYPERLINK("https://www.reddit.com/r/COVID19positive/comments/hkrg9z/safe_to_end_isolation/")</f>
        <v/>
      </c>
      <c r="G2588" t="inlineStr">
        <is>
          <t>2020-07-03 14:35:16</t>
        </is>
      </c>
      <c r="H2588" t="inlineStr">
        <is>
          <t>Tested Positive - Me</t>
        </is>
      </c>
    </row>
    <row r="2589">
      <c r="A2589" t="inlineStr">
        <is>
          <t>hkrjgs</t>
        </is>
      </c>
      <c r="B2589" t="inlineStr">
        <is>
          <t>Worried sick about my grandparents</t>
        </is>
      </c>
      <c r="C2589" t="inlineStr">
        <is>
          <t>My cousin tested positive for Covid-19. He was sent home from work on Monday, and I have no idea what day he is on. He has a low-grade fever and just lost his sense of taste. His mother/my aunt was around my grandparents about 8 days ago. She has been around my cousin, but she's not showing symptoms. I'm afraid she has it and doesn't know it yet, and that she exposed my grandparents. 
I'm so worried and stressed out. I feel absolutely helpless. I guess I can only wait and see what happens, but at least from what the news says, it seems like Covid would be a death sentence for my grandparents. 
Is it possible that my grandparents could catch Covid from being around my aunt? Does the timeline add up?</t>
        </is>
      </c>
      <c r="D2589" t="n">
        <v>2</v>
      </c>
      <c r="E2589" t="n">
        <v>2</v>
      </c>
      <c r="F2589">
        <f>HYPERLINK("https://www.reddit.com/r/COVID19positive/comments/hkrjgs/worried_sick_about_my_grandparents/")</f>
        <v/>
      </c>
      <c r="G2589" t="inlineStr">
        <is>
          <t>2020-07-03 14:40:45</t>
        </is>
      </c>
      <c r="H2589" t="inlineStr">
        <is>
          <t>Tested Positive - Family</t>
        </is>
      </c>
    </row>
    <row r="2590">
      <c r="A2590" t="inlineStr">
        <is>
          <t>hkrpeo</t>
        </is>
      </c>
      <c r="B2590" t="inlineStr">
        <is>
          <t>38 Male Arizona Positive</t>
        </is>
      </c>
      <c r="C2590" t="inlineStr">
        <is>
          <t>Hello, I work at a casino in Laughlin Nevada, but live in Arizona. On Wednesday I started showing symptoms of COVID and security took my temperature. It was 103 so they sent me to the hospital to be tested. I got the results today and I tested positive. 
Our casino reopened on June 4th and I got called back June 9th. I had taken every precaution that I could, facemask, constantly sanitizing, but guests were not required to wear masks just until last week. Even when that went into effect they still were difficult and caused problems. I had one guest tell me to stick my facemask up my ass. He promptly got 86'd from the property. I believe that we reopened too early and had been saying that from the beginning, but being called back to work, I couldn't say no because I have bills to pay and need my job, so now I'm paying the price. 
My symptoms are pretty mild. I haven't had a fever since Wednesday and aside from a sore throat and a little fatigue, I don't really feel too bad. I hope this is the worst it gets. 
How long does the virus stay in your system once diagnosed?</t>
        </is>
      </c>
      <c r="D2590" t="n">
        <v>154</v>
      </c>
      <c r="E2590" t="n">
        <v>74</v>
      </c>
      <c r="F2590">
        <f>HYPERLINK("https://www.reddit.com/r/COVID19positive/comments/hkrpeo/38_male_arizona_positive/")</f>
        <v/>
      </c>
      <c r="G2590" t="inlineStr">
        <is>
          <t>2020-07-03 14:50:36</t>
        </is>
      </c>
      <c r="H2590" t="inlineStr">
        <is>
          <t>Tested Positive - Me</t>
        </is>
      </c>
    </row>
    <row r="2591">
      <c r="A2591" t="inlineStr">
        <is>
          <t>hkrtpq</t>
        </is>
      </c>
      <c r="B2591" t="inlineStr">
        <is>
          <t>Symptomatic</t>
        </is>
      </c>
      <c r="C2591" t="inlineStr">
        <is>
          <t>I recently took the covid19 test and it came back positive but I have not felt sick at all no fever no symptoms. I am confused about what to do besides stay away for people who I work with and family. Doses anyone know or have experience the same thing. I need help understanding</t>
        </is>
      </c>
      <c r="D2591" t="n">
        <v>1</v>
      </c>
      <c r="E2591" t="n">
        <v>5</v>
      </c>
      <c r="F2591">
        <f>HYPERLINK("https://www.reddit.com/r/COVID19positive/comments/hkrtpq/symptomatic/")</f>
        <v/>
      </c>
      <c r="G2591" t="inlineStr">
        <is>
          <t>2020-07-03 14:57:48</t>
        </is>
      </c>
      <c r="H2591" t="inlineStr">
        <is>
          <t>Tested Positive - Me</t>
        </is>
      </c>
    </row>
    <row r="2592">
      <c r="A2592" t="inlineStr">
        <is>
          <t>hksdfp</t>
        </is>
      </c>
      <c r="B2592" t="inlineStr">
        <is>
          <t>Symptoms coming in waves?</t>
        </is>
      </c>
      <c r="C2592" t="inlineStr">
        <is>
          <t>I have read about this online and even here and this sub, but I find it so strange. On Monday, 6/29, I woke up with the most mild sore throat I have ever had. The next day I had a serious headache, sore throat, and had extreme dizzy spells. At that point I suspected I had it, but still wasn't sure until the day after when I had extreme pain in my chest and my entire body was fatigued by noon. What's strange is, whenever I wake up in the morning, I feel totally fine. Then as the day progresses I start to feel worse and worse. Anyone else experiencing that?</t>
        </is>
      </c>
      <c r="D2592" t="n">
        <v>7</v>
      </c>
      <c r="E2592" t="n">
        <v>8</v>
      </c>
      <c r="F2592">
        <f>HYPERLINK("https://www.reddit.com/r/COVID19positive/comments/hksdfp/symptoms_coming_in_waves/")</f>
        <v/>
      </c>
      <c r="G2592" t="inlineStr">
        <is>
          <t>2020-07-03 15:31:30</t>
        </is>
      </c>
      <c r="H2592" t="inlineStr">
        <is>
          <t>Presumed Positive - From Test</t>
        </is>
      </c>
    </row>
    <row r="2593">
      <c r="A2593" t="inlineStr">
        <is>
          <t>hkspxt</t>
        </is>
      </c>
      <c r="B2593" t="inlineStr">
        <is>
          <t>Father Tested Positive, I Tested Negative</t>
        </is>
      </c>
      <c r="C2593" t="inlineStr">
        <is>
          <t xml:space="preserve">The title states it all,
We tested on the same day, my dad was positive, I was negative (but I am still isolating) and I had a cough at the time of the test, but feel completely ok now. My dad said it was like a bad cold and is doing fine (he's 63) so there is hope for positive outcomes. Hoping my 98-year-old grandma doesn't get it...
Has anyone else had this situation? The person you share a home with tested positive, and you tested negative? If so, what did you do?  What's your story? </t>
        </is>
      </c>
      <c r="D2593" t="n">
        <v>3</v>
      </c>
      <c r="E2593" t="n">
        <v>9</v>
      </c>
      <c r="F2593">
        <f>HYPERLINK("https://www.reddit.com/r/COVID19positive/comments/hkspxt/father_tested_positive_i_tested_negative/")</f>
        <v/>
      </c>
      <c r="G2593" t="inlineStr">
        <is>
          <t>2020-07-03 15:53:09</t>
        </is>
      </c>
      <c r="H2593" t="inlineStr">
        <is>
          <t>Tested Positive - Family</t>
        </is>
      </c>
    </row>
    <row r="2594">
      <c r="A2594" t="inlineStr">
        <is>
          <t>hkswn9</t>
        </is>
      </c>
      <c r="B2594" t="inlineStr">
        <is>
          <t>Those who experience chest pains</t>
        </is>
      </c>
      <c r="C2594" t="inlineStr">
        <is>
          <t>For those who experience chest pain as a symptom, can you describe in detail the type of pain, area in the chest, how long your chest pain symptom lasted, and if it came back in "waves"?
Today was really the first day the chest pain/pressure subsided but it just recently came back as more of a pressure. The only other symptom currently is sore throat.</t>
        </is>
      </c>
      <c r="D2594" t="n">
        <v>3</v>
      </c>
      <c r="E2594" t="n">
        <v>14</v>
      </c>
      <c r="F2594">
        <f>HYPERLINK("https://www.reddit.com/r/COVID19positive/comments/hkswn9/those_who_experience_chest_pains/")</f>
        <v/>
      </c>
      <c r="G2594" t="inlineStr">
        <is>
          <t>2020-07-03 16:05:00</t>
        </is>
      </c>
      <c r="H2594" t="inlineStr">
        <is>
          <t>Tested Positive - Me</t>
        </is>
      </c>
    </row>
    <row r="2595">
      <c r="A2595" t="inlineStr">
        <is>
          <t>hktq8o</t>
        </is>
      </c>
      <c r="B2595" t="inlineStr">
        <is>
          <t>When can you stop isolating? Got some confusing answers from the nurse line today.</t>
        </is>
      </c>
      <c r="C2595" t="inlineStr">
        <is>
          <t>20F, just found out this morning I tested positive. I was tested on the June 27th, which is also the same day I started having any symptoms (a fever). Besides fatigue, most of my symptoms disappeared between the 28th and the 1st. Thursday I started having chest pain and mild shortness of breath. I can feel a cough coming on and my headache is back too.  This morning I woke up with a fever which I hadn't had since the day I got tested. 
The nurse who called to tell me I tested positive asked me when I started feeling sick and I tried to explain what I said above. She told me I could stop isolating on Monday the 6th, but this seems too early from everything I've read? If true that's great, but I don't want to put anyone else at risk if I go out too soon</t>
        </is>
      </c>
      <c r="D2595" t="n">
        <v>0</v>
      </c>
      <c r="E2595" t="n">
        <v>2</v>
      </c>
      <c r="F2595">
        <f>HYPERLINK("https://www.reddit.com/r/COVID19positive/comments/hktq8o/when_can_you_stop_isolating_got_some_confusing/")</f>
        <v/>
      </c>
      <c r="G2595" t="inlineStr">
        <is>
          <t>2020-07-03 16:58:45</t>
        </is>
      </c>
      <c r="H2595" t="inlineStr">
        <is>
          <t>Tested Positive - Me</t>
        </is>
      </c>
    </row>
    <row r="2596">
      <c r="A2596" t="inlineStr">
        <is>
          <t>hkty19</t>
        </is>
      </c>
      <c r="B2596" t="inlineStr">
        <is>
          <t>When to go to the hospital</t>
        </is>
      </c>
      <c r="C2596" t="inlineStr">
        <is>
          <t>I’m on day 7, got my positive result on day 5. Everyday, I get really bad breathing and pain wise around 6:30 pm. 
How do I know if it’s bad enough to go to the hospital? The past two nights I’ve felt like I needed to, but eventually I felt like I got better after about 6 hours. I feel like if I go in, they’ll tell me I’m fine and my symptoms are super mild and that I’m crazy. I also don’t want them to go through all the extra stuff to make sure that they are safe, I don’t want to expose people. 
Imposter syndrome but make it for illness, I guess.</t>
        </is>
      </c>
      <c r="D2596" t="n">
        <v>4</v>
      </c>
      <c r="E2596" t="n">
        <v>9</v>
      </c>
      <c r="F2596">
        <f>HYPERLINK("https://www.reddit.com/r/COVID19positive/comments/hkty19/when_to_go_to_the_hospital/")</f>
        <v/>
      </c>
      <c r="G2596" t="inlineStr">
        <is>
          <t>2020-07-03 17:13:24</t>
        </is>
      </c>
      <c r="H2596" t="inlineStr">
        <is>
          <t>Tested Positive - Me</t>
        </is>
      </c>
    </row>
    <row r="2597">
      <c r="A2597" t="inlineStr">
        <is>
          <t>hkuhq9</t>
        </is>
      </c>
      <c r="B2597" t="inlineStr">
        <is>
          <t>Symptoms every couple of days</t>
        </is>
      </c>
      <c r="C2597" t="inlineStr">
        <is>
          <t>(Keep in mind my family has been strict haven’t seen my grandparents in a month). One day work up with sore throat. Kept on getting worse through the day. Next I I was just sitting on the couch and it hit me all at once. Hard breathing, sore throat, chest pain, cough. Mom took me to urgent care and they tested me for everything. Felt fine from then on. One week later finally got my results back, positive. Now the symptoms are just coming and going. But when they hit, boy do they hit.</t>
        </is>
      </c>
      <c r="D2597" t="n">
        <v>3</v>
      </c>
      <c r="E2597" t="n">
        <v>6</v>
      </c>
      <c r="F2597">
        <f>HYPERLINK("https://www.reddit.com/r/COVID19positive/comments/hkuhq9/symptoms_every_couple_of_days/")</f>
        <v/>
      </c>
      <c r="G2597" t="inlineStr">
        <is>
          <t>2020-07-03 17:52:35</t>
        </is>
      </c>
      <c r="H2597" t="inlineStr">
        <is>
          <t>Tested Positive - Me</t>
        </is>
      </c>
    </row>
    <row r="2598">
      <c r="A2598" t="inlineStr">
        <is>
          <t>hkumzj</t>
        </is>
      </c>
      <c r="B2598" t="inlineStr">
        <is>
          <t>How did you know that you recovered from Covid</t>
        </is>
      </c>
      <c r="C2598" t="inlineStr">
        <is>
          <t>[removed]
[View Poll](https://www.reddit.com/poll/hkumzj)</t>
        </is>
      </c>
      <c r="D2598" t="n">
        <v>1</v>
      </c>
      <c r="E2598" t="n">
        <v>0</v>
      </c>
      <c r="F2598">
        <f>HYPERLINK("https://www.reddit.com/r/COVID19positive/comments/hkumzj/how_did_you_know_that_you_recovered_from_covid/")</f>
        <v/>
      </c>
      <c r="G2598" t="inlineStr">
        <is>
          <t>2020-07-03 18:03:07</t>
        </is>
      </c>
      <c r="H2598" t="inlineStr">
        <is>
          <t>Tested Positive - Me</t>
        </is>
      </c>
    </row>
    <row r="2599">
      <c r="A2599" t="inlineStr">
        <is>
          <t>hkupoe</t>
        </is>
      </c>
      <c r="B2599" t="inlineStr">
        <is>
          <t>Presumed positive and losing my mind</t>
        </is>
      </c>
      <c r="C2599" t="inlineStr">
        <is>
          <t>31M, no known health issues.
I believe that I was exposed on 6/25 or earlier. I shared a truck with my coworker on 6/16, 6/17, 6/18, 6/24 and 6/25. He suddenly began to feel ill on 6/25. He was tested 6/26, and got his positive results on 6/30.
Here's my timeline.
6/25 - presumed exposure.
6/27 - scratchy throat off and on/small amount of nasal congestion.
6/28 - scratchy throat off and on/small amount of nasal congestion.
6/29 - scratchy throat off and on/small amount of nasal congestion. Very fatigued.
6/30 - scratchy throat off and on/small amount of nasal congestion.
7/1 - tested, awaiting results. This is also the day that I noticed an almost entire lack of smell and most taste. I could catch whiffs of very strong scents like garlic and mouthwash. Breathing through my nose felt odd, almost metallic, difficult to describe.
7/2 - small amount of congestion in left ear. Breathing through my nose felt odd, almost metallic, difficult to describe.
7/3 - small amount of congestion in left ear. Garlic smelled a little stronger today. Breathing through my nose still feels odd, almost metallic, difficult to describe, the feeling is not as intense as previous days, but still noticeable.
I've had some fatigue almost every day. I've been sleeping 10+ hours per night.
How I'm treating myself so far:
Water with electrolyte powder, tea occasionally.
Multivitamin, 11MG zinc tablet every 4ish hours (cold remedy tablet), 6000IU of Vitamin D daily, DayQuil, and NyQuil.
I'm a reader, when something is wrong, I read and research to the point where I drive myself nuts. I've been reading a lot in this sub about symptoms, complications, durations, remedies, herbal treatments, etc.
I've nearly convinced myself that every ache, pain, weird feeling, etc, is a complication of COVID, and I'm nervous.
I'm on the verge of ordering NAC, quercetin, zinc supplements, and maybe some green tea extract. I'm not 100% sure how to dose all these and if they will do more harm than good.
At this point, every day I wake up without more symptoms is good, though I am terrified that this is suddenly gonna take a bad turn.
tl;dr: presumed positive, doing too much reading, scaring myself.</t>
        </is>
      </c>
      <c r="D2599" t="n">
        <v>5</v>
      </c>
      <c r="E2599" t="n">
        <v>3</v>
      </c>
      <c r="F2599">
        <f>HYPERLINK("https://www.reddit.com/r/COVID19positive/comments/hkupoe/presumed_positive_and_losing_my_mind/")</f>
        <v/>
      </c>
      <c r="G2599" t="inlineStr">
        <is>
          <t>2020-07-03 18:08:26</t>
        </is>
      </c>
      <c r="H2599" t="inlineStr">
        <is>
          <t>Presumed Positive - From Doctor</t>
        </is>
      </c>
    </row>
    <row r="2600">
      <c r="A2600" t="inlineStr">
        <is>
          <t>hkuyqo</t>
        </is>
      </c>
      <c r="B2600" t="inlineStr">
        <is>
          <t>20F with asthma- timeline of my symptoms</t>
        </is>
      </c>
      <c r="C2600" t="inlineStr">
        <is>
          <t>I am on breo 100/25 for my asthma (prior to COVID) and haven't had any bad flare ups recently but I am prone to bronchitis and pneumonia, although those are a walk in the park compared to this. I was terrified to get this virus and still am scared of the unknown but it's getting better. I live in South Florida and believe I got it from work because I started a new job a few days before showing symptoms. I hope this helps anyone who feels hopeless or like they are alone because I definitely did until I read through this sub.
Heres a timeline of my symptoms:
June 20th- numb tongue and swollen throat, muscle pain and shaking with a 99.5 fever. woke up at like 2am to bad diarrhea but that was a one time incident.
June 21st- sinus pressure and headache, muscle twitching (bad and I kept randomly dropping things), sp02 at 95
June 22nd- same as the day before, exhausted, get nasal swab test at urgent care and it comes back NEGATIVE
June 23- Self test at CVS, POSITIVE result ended up coming back on June 30th.
June 23rd-26th- symptoms disappear other than the muscle twitches and I felt great??
June 27th- felt short of breath and like I needed to use my rescue inhaler for the first time in a year. No fever but I got super cold and hot randomly and my muscles hurt.
June 28th- Felt worsening short of breath, had telemedicine call and was prescribed doxycycline and prednisone because at this point I had only gotten a negative result. Chest burns and I get a sharp pain near my left shoulder. Around 1am it gets bad and my roommate drives me to ER because I thought I was actually dying. sp02 is at 97, chest x ray comes back clear, blood test normal besides elevated WBC. Rapid test comes back NEGATIVE so they basically tell me to get out because it's probably just anxiety or an asthma flare up.
June 29th- get home around 8am from hospital and spend the whole day trying to sleep. Prednisone is giving me major anxiety and I had a weird symptom where I would gasp for air whenever I tried to fall asleep despite normal oxygen levels. The whole day was a blur and I felt super weak with shortness of breath.
June 30th- I get an email from CVS with my POSITIVE result. Combined with the prednisone and fear from finding out I really have COVID, my anxiety is through the roof and I was convinced I was going to drop dead the entire day. Shortness of breath continues and is the worst its been.  Chest burning, breathing is a chore and I had no energy. 
July 1st- Same shortness of breath and crippling anxiety. I notice my heart rate is lower than usual, resting at 50bpm (it's usually 65). Blood pressure spikes and goes down all day so I'm contributing that to the anxiety. sp02 is at 98.
July 2nd - Shortness of breath continues, chest burning,  insomnia but I get prescribed Xanax to help with the anxiety and sleep. I think my anxiety was at its worst and I convinced myself I developed a blood clot because my thigh hurt after reading so many articles about blood clotting. 
July 3rd- sp02 is at 98/99 and shortness of breath is slowly getting better. I had energy to shower today and I feel normal for the first time in days as I type this. Sinus headache returns but its not too bad.
Supplements I've been taking: 
Quercetin w/ bromelain 
Zinc 50mg 
Vitamin D 2000 iu
Fish oil 
Probiotic
&amp;amp;#x200B;
I hope I am over the worst of it and getting my anxiety in check has lessened my physical symptoms.  I wish everyone a speedy recovery and get a pulse ox monitor and blood pressure cuff to monitor your vitals.  Stay off social media and don't read about severe cases because it will only make your physical symptoms feel worse, but please don't be afraid to go to ER if you feel there is something really wrong.</t>
        </is>
      </c>
      <c r="D2600" t="n">
        <v>8</v>
      </c>
      <c r="E2600" t="n">
        <v>22</v>
      </c>
      <c r="F2600">
        <f>HYPERLINK("https://www.reddit.com/r/COVID19positive/comments/hkuyqo/20f_with_asthma_timeline_of_my_symptoms/")</f>
        <v/>
      </c>
      <c r="G2600" t="inlineStr">
        <is>
          <t>2020-07-03 18:27:07</t>
        </is>
      </c>
      <c r="H2600" t="inlineStr">
        <is>
          <t>Tested Positive - Me</t>
        </is>
      </c>
    </row>
    <row r="2601">
      <c r="A2601" t="inlineStr">
        <is>
          <t>hkv5ew</t>
        </is>
      </c>
      <c r="B2601" t="inlineStr">
        <is>
          <t>I just tested positive and am quarantining except for very early morning kayaks and walking outside</t>
        </is>
      </c>
      <c r="C2601" t="inlineStr">
        <is>
          <t>I live in a condo with HOAS  in Florida - and a beautiful walking path. Im on day 3 of quarantine and Ive been kayaking before anyone is awake and walking fairly late- wearing a mask and staying far more than 6 feet from people. I let my HOA know that I am positive,and the president said he didnt want me to leave my apartment at all. I think my outside time is safe and reasonable- i also take the stairs  not the elevator and wear gloves to open the door, Am i being irrational or unsafe?</t>
        </is>
      </c>
      <c r="D2601" t="n">
        <v>0</v>
      </c>
      <c r="E2601" t="n">
        <v>14</v>
      </c>
      <c r="F2601">
        <f>HYPERLINK("https://www.reddit.com/r/COVID19positive/comments/hkv5ew/i_just_tested_positive_and_am_quarantining_except/")</f>
        <v/>
      </c>
      <c r="G2601" t="inlineStr">
        <is>
          <t>2020-07-03 18:40:49</t>
        </is>
      </c>
      <c r="H2601" t="inlineStr">
        <is>
          <t>Tested Positive - Me</t>
        </is>
      </c>
    </row>
    <row r="2602">
      <c r="A2602" t="inlineStr">
        <is>
          <t>hkvio4</t>
        </is>
      </c>
      <c r="B2602" t="inlineStr">
        <is>
          <t>The “long-hauler” hell rant (language warning)</t>
        </is>
      </c>
      <c r="C2602" t="inlineStr">
        <is>
          <t>What are doctors actually doing at this point to study post infection timeframes and ongoing symptoms of patients that were positively diagnosed at one point? I’ve been on steroids for nearly a damn month. I’ve been up the ER more times than I’d care to admit. I’ve been blasted with so much radiation that it’s a wonder I’m not glowing. I understand not much is known yet about this virus clinically, but what is actually being done to treat patients like us who aren’t critically ill, but cycling and suffering with same old bullshit? Having it brushed off as post viral syndrome and given some prednisone or told to rest doesn’t seem like a solution. It’s unbelievably frustrating to experience the same symptoms over and over again. One day you feel great and then the next you’re back at square one and feeling ill enough (with shortness of breath or pain) to warrant a trip to urgent care or the ER. Having to repeatedly call out of work, cancel plans, etc. Only to once again have normal scans and labs. Especially when doctors either flat out don’t believe you or just have no real clue about how to treat you. It’s become such a mindfuck. Has anyone had success with any experimental treatments from their doctors in kicking this thing once and for all? How are you long haulers being treated medically for your symptoms?</t>
        </is>
      </c>
      <c r="D2602" t="n">
        <v>10</v>
      </c>
      <c r="E2602" t="n">
        <v>74</v>
      </c>
      <c r="F2602">
        <f>HYPERLINK("https://www.reddit.com/r/COVID19positive/comments/hkvio4/the_longhauler_hell_rant_language_warning/")</f>
        <v/>
      </c>
      <c r="G2602" t="inlineStr">
        <is>
          <t>2020-07-03 19:08:05</t>
        </is>
      </c>
      <c r="H2602" t="inlineStr">
        <is>
          <t>Tested Positive - Me</t>
        </is>
      </c>
    </row>
    <row r="2603">
      <c r="A2603" t="inlineStr">
        <is>
          <t>hkvjqj</t>
        </is>
      </c>
      <c r="B2603" t="inlineStr">
        <is>
          <t>Anyone still having GI issues?</t>
        </is>
      </c>
      <c r="C2603" t="inlineStr">
        <is>
          <t>Almost 4 complete months of symptoms and still have gi issues. Its gotten better in the sense that I have hunger now thankfully. But my liver feels bloated and had dull pains. Feel nauseous a lot nowadays when in the beginning months i didnt.</t>
        </is>
      </c>
      <c r="D2603" t="n">
        <v>2</v>
      </c>
      <c r="E2603" t="n">
        <v>6</v>
      </c>
      <c r="F2603">
        <f>HYPERLINK("https://www.reddit.com/r/COVID19positive/comments/hkvjqj/anyone_still_having_gi_issues/")</f>
        <v/>
      </c>
      <c r="G2603" t="inlineStr">
        <is>
          <t>2020-07-03 19:10:07</t>
        </is>
      </c>
      <c r="H2603" t="inlineStr">
        <is>
          <t>Presumed Positive - From Doctor</t>
        </is>
      </c>
    </row>
    <row r="2604">
      <c r="A2604" t="inlineStr">
        <is>
          <t>hkvtdr</t>
        </is>
      </c>
      <c r="B2604" t="inlineStr">
        <is>
          <t>Reached a recovery plateau?</t>
        </is>
      </c>
      <c r="C2604" t="inlineStr">
        <is>
          <t xml:space="preserve">
So I am on day 9 recovering. My symptoms started about last week on Tuesday with fever, body aches, headache. Little various things of eyes hurting are all gone. My fever finally hit 99.9 for first home in 10 days. 
The only issue I have is the  slight fever and shortness of breath? 
Does anyone else have this? Just curious. 29/m</t>
        </is>
      </c>
      <c r="D2604" t="n">
        <v>2</v>
      </c>
      <c r="E2604" t="n">
        <v>4</v>
      </c>
      <c r="F2604">
        <f>HYPERLINK("https://www.reddit.com/r/COVID19positive/comments/hkvtdr/reached_a_recovery_plateau/")</f>
        <v/>
      </c>
      <c r="G2604" t="inlineStr">
        <is>
          <t>2020-07-03 19:30:26</t>
        </is>
      </c>
      <c r="H2604" t="inlineStr">
        <is>
          <t>Tested Positive - Me</t>
        </is>
      </c>
    </row>
    <row r="2605">
      <c r="A2605" t="inlineStr">
        <is>
          <t>hkw90l</t>
        </is>
      </c>
      <c r="B2605" t="inlineStr">
        <is>
          <t>Currently Recovering (20)</t>
        </is>
      </c>
      <c r="C2605" t="inlineStr">
        <is>
          <t>A couple days ago I posted how my mom and I tested positive. She’s currently still in the hospital but her doctors are hoping she could be coming home in a few days. I on the other hand have been officially recovering for the past few days. It had been about a week when my breathing and chest felt under attack but I had no signs of getting worse. So I went back to the ER I tested at to make sure my lungs weren’t getting any worse, and they didn’t. Turned out my fever had disappeared (I don’t own a thermostat so i haven’t been able to track my temp so this was great to hear) and my chest X-rays showed no signs of pneumonia. I knew from then on it would only get better. For the most part it has. It’s going on my 11th day of covid and I feel closer to myself than I have in what feels like ages and thanks to a prescription from my doctors, my congestion and cough have begun to subside and are practically gone for the most part. The only quip however is that my recovery has been very very slow and not all my symptoms are gone. Everyday I still deal with minor fatigue, occasional diarrhea, night sweats, minor brain fog, and a constant thirst. I’m unable to tell if any of these symptoms are getting better as they’re all present in some form. However things are definitely better than they seem to be. They’re manageable for the most part and have no signs of worsening as of this moment. To those still under the effects or are currently recovering too, I wanna offer the advice to try your best to keep your stress and anxiety levels down. It’s easier said than done but doing so made my nights bearable as I would be laying as I should and all of a sudden I’d become stressed out over the smallest feeling in my body and think this is it, this is how I get worse. Only when I caught myself have I been able to stop myself from continuing to give myself fits of fear and pain. We can only do so much when our bodies are under attack, but we can always take some power back when we stop to relax and focus on being patient and waiting this whole mess over. I learned that panicking will never solve my problems. It’s best we all try to keep a level head and focus on what we can do in the moment. Pls take care everyone and I hope I can give at least one of you solace.</t>
        </is>
      </c>
      <c r="D2605" t="n">
        <v>1</v>
      </c>
      <c r="E2605" t="n">
        <v>1</v>
      </c>
      <c r="F2605">
        <f>HYPERLINK("https://www.reddit.com/r/COVID19positive/comments/hkw90l/currently_recovering_20/")</f>
        <v/>
      </c>
      <c r="G2605" t="inlineStr">
        <is>
          <t>2020-07-03 20:03:11</t>
        </is>
      </c>
      <c r="H2605" t="inlineStr">
        <is>
          <t>Tested Positive - Me</t>
        </is>
      </c>
    </row>
    <row r="2606">
      <c r="A2606" t="inlineStr">
        <is>
          <t>hkweg1</t>
        </is>
      </c>
      <c r="B2606" t="inlineStr">
        <is>
          <t>asymptomatic</t>
        </is>
      </c>
      <c r="C2606" t="inlineStr">
        <is>
          <t>Asymptomatic
I was supposed to be having nose surgery monday so i had to get tested for covid as a formality. I got a call yesterday saying i tested positive and i would have to test negative on the 10th and 13th so i can have surgery. I have no symptoms and feel great overall. Does anyone have any advice or know how long it will take to test negative. A girl i know is on day 23 of testing positive and i really hope that doesn’t happen to me. My family is acting insane overall, giving me weird teas, and trying to stop me from telling people for some reason.</t>
        </is>
      </c>
      <c r="D2606" t="n">
        <v>2</v>
      </c>
      <c r="E2606" t="n">
        <v>15</v>
      </c>
      <c r="F2606">
        <f>HYPERLINK("https://www.reddit.com/r/COVID19positive/comments/hkweg1/asymptomatic/")</f>
        <v/>
      </c>
      <c r="G2606" t="inlineStr">
        <is>
          <t>2020-07-03 20:14:39</t>
        </is>
      </c>
      <c r="H2606" t="inlineStr">
        <is>
          <t>Tested Positive - Me</t>
        </is>
      </c>
    </row>
    <row r="2607">
      <c r="A2607" t="inlineStr">
        <is>
          <t>hkwgpq</t>
        </is>
      </c>
      <c r="B2607" t="inlineStr">
        <is>
          <t>Feeling dizzy without any symptoms.</t>
        </is>
      </c>
      <c r="C2607" t="inlineStr">
        <is>
          <t>So i tested positive 10 days ago my symptoms were really mild and completely disappeared except that i feel dizzy most of the time for the last 3 days. Has anyone experienced that?  My doctor said that i can stop isolating whenever i complete 3 days without any symptoms. Should I continue isolating until this disappears? I haven’t been outside my home for 4 months and i’m getting crazy.</t>
        </is>
      </c>
      <c r="D2607" t="n">
        <v>2</v>
      </c>
      <c r="E2607" t="n">
        <v>15</v>
      </c>
      <c r="F2607">
        <f>HYPERLINK("https://www.reddit.com/r/COVID19positive/comments/hkwgpq/feeling_dizzy_without_any_symptoms/")</f>
        <v/>
      </c>
      <c r="G2607" t="inlineStr">
        <is>
          <t>2020-07-03 20:19:22</t>
        </is>
      </c>
      <c r="H2607" t="inlineStr">
        <is>
          <t>Tested Positive - Me</t>
        </is>
      </c>
    </row>
    <row r="2608">
      <c r="A2608" t="inlineStr">
        <is>
          <t>hkwmn2</t>
        </is>
      </c>
      <c r="B2608" t="inlineStr">
        <is>
          <t>Response for people who say everyone recovers that we shouldn’t worry</t>
        </is>
      </c>
      <c r="C2608" t="inlineStr">
        <is>
          <t>what do you say to that?</t>
        </is>
      </c>
      <c r="D2608" t="n">
        <v>2</v>
      </c>
      <c r="E2608" t="n">
        <v>7</v>
      </c>
      <c r="F2608">
        <f>HYPERLINK("https://www.reddit.com/r/COVID19positive/comments/hkwmn2/response_for_people_who_say_everyone_recovers/")</f>
        <v/>
      </c>
      <c r="G2608" t="inlineStr">
        <is>
          <t>2020-07-03 20:31:22</t>
        </is>
      </c>
      <c r="H2608" t="inlineStr">
        <is>
          <t>Tested Positive - Family</t>
        </is>
      </c>
    </row>
    <row r="2609">
      <c r="A2609" t="inlineStr">
        <is>
          <t>hkwrp2</t>
        </is>
      </c>
      <c r="B2609" t="inlineStr">
        <is>
          <t>White Blood Cells</t>
        </is>
      </c>
      <c r="C2609" t="inlineStr">
        <is>
          <t>I’ve had symptoms since March but the lingering symptoms are cough and SOB. I took a bunch of test including CT scan, EKG, echocardiography which all turned out normal. However, one thing that didn’t fall within normal range from my blood test is my eosinophils count (white blood cells) which are pretty high. I’m wondering if anyone have the same issue?</t>
        </is>
      </c>
      <c r="D2609" t="n">
        <v>0</v>
      </c>
      <c r="E2609" t="n">
        <v>2</v>
      </c>
      <c r="F2609">
        <f>HYPERLINK("https://www.reddit.com/r/COVID19positive/comments/hkwrp2/white_blood_cells/")</f>
        <v/>
      </c>
      <c r="G2609" t="inlineStr">
        <is>
          <t>2020-07-03 20:41:59</t>
        </is>
      </c>
      <c r="H2609" t="inlineStr">
        <is>
          <t>Presumed Positive - From Doctor</t>
        </is>
      </c>
    </row>
    <row r="2610">
      <c r="A2610" t="inlineStr">
        <is>
          <t>hkwwo5</t>
        </is>
      </c>
      <c r="B2610" t="inlineStr">
        <is>
          <t>Need advice as I self quarantine myself?</t>
        </is>
      </c>
      <c r="C2610" t="inlineStr">
        <is>
          <t>Hi everyone, so I'm not sure if I'm posting in the right subreddit, but I just wanted some advice. 
I started with a fever Monday 6/30 and called off work since. The fever lasted 2 days and on Wednesday I had a massive headache that developed into a sinus ache and later that evening I couldn't smell anything. I felt tired throughout up until Thursday and today I actually just feel like I have a mild cold with some runny nose and inflamed nasal passageways. (Still can't taste or smell anything). I'm scheduled to be tested on the 7th but my car actually just started misfiring with the check engine light flashing and everything. 
My issue is, is that I don't know if I have covid, but on the off chance that I do, I have to wait to take my car to the mechanic so that I don't spread whatever I have. And I can't move my car at the risk of it getting worse, so that means I can't get tested (because I can't move my car). So, what should I do? Wait a full 2 weeks before going to see anyone? I actually live alone so I can't really ask anyone for a ride or for help without risking them as well.</t>
        </is>
      </c>
      <c r="D2610" t="n">
        <v>1</v>
      </c>
      <c r="E2610" t="n">
        <v>3</v>
      </c>
      <c r="F2610">
        <f>HYPERLINK("https://www.reddit.com/r/COVID19positive/comments/hkwwo5/need_advice_as_i_self_quarantine_myself/")</f>
        <v/>
      </c>
      <c r="G2610" t="inlineStr">
        <is>
          <t>2020-07-03 20:52:25</t>
        </is>
      </c>
      <c r="H2610" t="inlineStr">
        <is>
          <t>Presumed Positive - From Doctor</t>
        </is>
      </c>
    </row>
    <row r="2611">
      <c r="A2611" t="inlineStr">
        <is>
          <t>hkxpfi</t>
        </is>
      </c>
      <c r="B2611" t="inlineStr">
        <is>
          <t>atazanavir</t>
        </is>
      </c>
      <c r="C2611" t="inlineStr">
        <is>
          <t>Anyone has been given atazanavir for covid ? Was diagnosed yesterday . I have diabetes, well controlled  . 43 yr female . Low BMI . No other health conditions except diabetes ,</t>
        </is>
      </c>
      <c r="D2611" t="n">
        <v>1</v>
      </c>
      <c r="E2611" t="n">
        <v>1</v>
      </c>
      <c r="F2611">
        <f>HYPERLINK("https://www.reddit.com/r/COVID19positive/comments/hkxpfi/atazanavir/")</f>
        <v/>
      </c>
      <c r="G2611" t="inlineStr">
        <is>
          <t>2020-07-03 21:55:23</t>
        </is>
      </c>
      <c r="H2611" t="inlineStr">
        <is>
          <t>Tested Positive - Me</t>
        </is>
      </c>
    </row>
    <row r="2612">
      <c r="A2612" t="inlineStr">
        <is>
          <t>hky7lx</t>
        </is>
      </c>
      <c r="B2612" t="inlineStr">
        <is>
          <t>Loss of taste and smell after Covid</t>
        </is>
      </c>
      <c r="C2612" t="inlineStr">
        <is>
          <t>I am 3 months "recovered" from Covid but have noticed some things dont smell or taste the same. Anyone else in the same boat? I read that it could take a year to heal, but ya know the internet says a lot...</t>
        </is>
      </c>
      <c r="D2612" t="n">
        <v>1</v>
      </c>
      <c r="E2612" t="n">
        <v>31</v>
      </c>
      <c r="F2612">
        <f>HYPERLINK("https://www.reddit.com/r/COVID19positive/comments/hky7lx/loss_of_taste_and_smell_after_covid/")</f>
        <v/>
      </c>
      <c r="G2612" t="inlineStr">
        <is>
          <t>2020-07-03 22:38:30</t>
        </is>
      </c>
      <c r="H2612" t="inlineStr">
        <is>
          <t>Tested Positive - Me</t>
        </is>
      </c>
    </row>
    <row r="2613">
      <c r="A2613" t="inlineStr">
        <is>
          <t>hkynjc</t>
        </is>
      </c>
      <c r="B2613" t="inlineStr">
        <is>
          <t>30m - healthy - positive</t>
        </is>
      </c>
      <c r="C2613" t="inlineStr">
        <is>
          <t>I’m a distance athlete. I tested positive on 6/28/20. I wanted to post my experience to provide some clarity and alleviate some fears. I have had zero respiratory or sinus issues. Mainly fever, chills, cramps, stomach cramps, and bad diarrhea.   
6/27/20 - body cramps, unknown cause. 
6/28/20 - tested. Still bad body cramps, fever started that night. POSITIVE COVID RESULT. 
6/29/20 - still eating and drinking but in bed most of the day. Fever at night.
6/30/20 - sense of taste and smell gone. Still eating and drinking easily. Most of day spent in bed. No noticeable fever.
7/1/20 - fever returns with a vengeance in evening. 101.5. Diarrhea begins hourly. Appetite disappears in evening, accompanied by severe abdominal cramps. 
7/2/20 - repeat of previous day. Fever. IV fluids. 
7/3/20 - not as bad as previous day. No fever. Diarrhea every 3 hours. Drinking fluids. 
7/4/20 - feeling better, still abdominal cramps, but no fever. More to follow. 
TLDR:
This has been manageable. Just ensure you are staying hydrated.</t>
        </is>
      </c>
      <c r="D2613" t="n">
        <v>1</v>
      </c>
      <c r="E2613" t="n">
        <v>7</v>
      </c>
      <c r="F2613">
        <f>HYPERLINK("https://www.reddit.com/r/COVID19positive/comments/hkynjc/30m_healthy_positive/")</f>
        <v/>
      </c>
      <c r="G2613" t="inlineStr">
        <is>
          <t>2020-07-03 23:17:58</t>
        </is>
      </c>
      <c r="H2613" t="inlineStr">
        <is>
          <t>Tested Positive</t>
        </is>
      </c>
    </row>
    <row r="2614">
      <c r="A2614" t="inlineStr">
        <is>
          <t>hkzhha</t>
        </is>
      </c>
      <c r="B2614" t="inlineStr">
        <is>
          <t>Whole family possibly reinfected</t>
        </is>
      </c>
      <c r="C2614" t="inlineStr">
        <is>
          <t>While I understand that most cases of "reinfection" probably are just reactivation, I don't think that mine is. 
First, some background. My family is me (42F), husband (36M), and adult daughter (21F).  I work at a gas station and I most likely picked it up from one of the approximately seven million gross people that come through there every day. 3/25/20, I started showing symptoms (fever, debilitating dry/wet cough which lead to bronchitis, severe fatigue, body aches, congestion, loss of smell/changed taste, fainting). They quickly got worse and did not go away completely until 5/5/20. My husband had severe fatigue, some mild coughing, and body aches starting 3/30. My daughter only had abnormal moderate tachycardia and moderate fatigue, also starting 3/30. Both recovered with no lingering symptoms in about 12 days. None of my family was able to be tested due to a severe lack of tests in the area (one doctor said that I couldn't get tested unless I was "rich or dying") but I was told by three doctors to presume that we were positive because we all had some symptoms and I had a good many of them. We all also tested negative for influenza A and B and none of us had any other respiratory illnesses such as pneumonia or the common cold that would have caused these symptoms otherwise. I had an antibody test done and it came back negative, but it was a test done at the very end when I still had symptoms and is what is now known to not be acceptably accurate.
On 6/25, my husband came home from work (he is a paramedic) with what he thought was a light cold (some congestion, sneezing, and a little coughing). His work, out of an overabundance of caution, had him swab tested because he had worked with a COVID+ patient a few days before. While we were waiting for these results, I had to call out of work for a bad cough as well on 6/26. My daughter began to have what we thought was just a prolonged migraine with nausea but without aura, also on 6/26. My husband's results came back positive on 6/29. At this point, I had started to have a 100.2 fever and my daughter became severely congested, fatigued, and achy. We then both were swab tested and results came back positive on 7/2. As of 7/4, I have also become congested, have body aches, some loss of smell and taste, fainting, and the fatigue is awful.
While there may be some doubt as to what the first sickness was, I was told to presume positive because there were no tests available and my symptoms were classic. The fact that my whole family has had symptoms both times rules out the usual "reactivation" theory that may be the case with individuals as it's highly unlikely that we all "reactivated" at one time. In addition, the symptoms in my cases were so similar both times that I don't think it could have been anything else.
I'm not writing all of this to try to claim some sort of special status. If you don't believe me, that's fine. I will say that we are finding out more and more about this illness all the time (for example, we now know that a European strain made its way across the pond to the US that is different than the one that was in Asia) and that my experience fits with it having it twice, along with my family.</t>
        </is>
      </c>
      <c r="D2614" t="n">
        <v>1</v>
      </c>
      <c r="E2614" t="n">
        <v>59</v>
      </c>
      <c r="F2614">
        <f>HYPERLINK("https://www.reddit.com/r/COVID19positive/comments/hkzhha/whole_family_possibly_reinfected/")</f>
        <v/>
      </c>
      <c r="G2614" t="inlineStr">
        <is>
          <t>2020-07-04 00:36:36</t>
        </is>
      </c>
      <c r="H2614" t="inlineStr">
        <is>
          <t>Tested Positive - Family</t>
        </is>
      </c>
    </row>
    <row r="2615">
      <c r="A2615" t="inlineStr">
        <is>
          <t>hkzqf0</t>
        </is>
      </c>
      <c r="B2615" t="inlineStr">
        <is>
          <t>Cousin was fine no symptoms and passed overnight because she went in for chest pain.</t>
        </is>
      </c>
      <c r="C2615" t="inlineStr">
        <is>
          <t>My cousin was 22 years old healthy and now she’s gone. Overnight she was having chest pains and when she got to the hospital died from a heart attack. She lives with my aunt and uncle. Over the nest few days the whole family went to pay our respects. Now my uncle is in the hospital positive for COVID. He is showing signs of neumonía and they are doing a plasma transfusion from someone that survived COVID hoping that helps. As for me and my wife, we were both over at their house without masks or anything. How likely is it we caught it? I am worried for my 2 daughters. COVID was the last thing on our mind since the hospital told us she passed from a heart attack. It’s been 6 days so far and we are showing no symptoms.</t>
        </is>
      </c>
      <c r="D2615" t="n">
        <v>1</v>
      </c>
      <c r="E2615" t="n">
        <v>170</v>
      </c>
      <c r="F2615">
        <f>HYPERLINK("https://www.reddit.com/r/COVID19positive/comments/hkzqf0/cousin_was_fine_no_symptoms_and_passed_overnight/")</f>
        <v/>
      </c>
      <c r="G2615" t="inlineStr">
        <is>
          <t>2020-07-04 01:01:14</t>
        </is>
      </c>
      <c r="H2615" t="inlineStr">
        <is>
          <t>Tested Positive - Family</t>
        </is>
      </c>
    </row>
    <row r="2616">
      <c r="A2616" t="inlineStr">
        <is>
          <t>hl03ew</t>
        </is>
      </c>
      <c r="B2616" t="inlineStr">
        <is>
          <t>Sever relapse at 8 weeks or reinfection, 2 days ago was the first time ive saw my dr for 8 weeks, the doctors office were only letting one in at a time, i was masked up and my gp had a face shield with mask and glasses, but the room was tiny, could i be reinfected?</t>
        </is>
      </c>
      <c r="C2616" t="inlineStr">
        <is>
          <t>My symptoms have really ramped up again since then, especially back in the nose again where it all started for me, which i find strange as that left me ages ago, im terrified of going through it all again, my eyes are so bloodshot now it feels like the beginning</t>
        </is>
      </c>
      <c r="D2616" t="n">
        <v>1</v>
      </c>
      <c r="E2616" t="n">
        <v>6</v>
      </c>
      <c r="F2616">
        <f>HYPERLINK("https://www.reddit.com/r/COVID19positive/comments/hl03ew/sever_relapse_at_8_weeks_or_reinfection_2_days/")</f>
        <v/>
      </c>
      <c r="G2616" t="inlineStr">
        <is>
          <t>2020-07-04 01:36:34</t>
        </is>
      </c>
      <c r="H2616" t="inlineStr">
        <is>
          <t>Tested Positive</t>
        </is>
      </c>
    </row>
    <row r="2617">
      <c r="A2617" t="inlineStr">
        <is>
          <t>hl04uz</t>
        </is>
      </c>
      <c r="B2617" t="inlineStr">
        <is>
          <t>Has anyone else that tested positive noticed a certain body/breath odor they had?</t>
        </is>
      </c>
      <c r="C2617" t="inlineStr">
        <is>
          <t>It’s mostly a funny breath smell, I wouldn’t call it bad or stinky breath but just a funny and very certain scent in their breath, the closest thing i can think of is a somewhat sugary/sweet scent, slightly unpleasant though, but not exactly a foul odor</t>
        </is>
      </c>
      <c r="D2617" t="n">
        <v>1</v>
      </c>
      <c r="E2617" t="n">
        <v>16</v>
      </c>
      <c r="F2617">
        <f>HYPERLINK("https://www.reddit.com/r/COVID19positive/comments/hl04uz/has_anyone_else_that_tested_positive_noticed_a/")</f>
        <v/>
      </c>
      <c r="G2617" t="inlineStr">
        <is>
          <t>2020-07-04 01:40:41</t>
        </is>
      </c>
      <c r="H2617" t="inlineStr">
        <is>
          <t>Tested Positive</t>
        </is>
      </c>
    </row>
    <row r="2618">
      <c r="A2618" t="inlineStr">
        <is>
          <t>hl23g6</t>
        </is>
      </c>
      <c r="B2618" t="inlineStr">
        <is>
          <t>Sinus Pressure Headache</t>
        </is>
      </c>
      <c r="C2618" t="inlineStr">
        <is>
          <t>Anyone experience an excruciatingly painful headache? My headache was like none that I’ve ever experienced, mostly in the back of my head, resulting in pain in my cheekbones and jaw. This lasted for almost 2 weeks. Additionally, I also experienced a tingling sensation in my hand, which eventually went away. No fever, but dry cough (dark phlegm) prior to the onset of that horrific headache.</t>
        </is>
      </c>
      <c r="D2618" t="n">
        <v>1</v>
      </c>
      <c r="E2618" t="n">
        <v>9</v>
      </c>
      <c r="F2618">
        <f>HYPERLINK("https://www.reddit.com/r/COVID19positive/comments/hl23g6/sinus_pressure_headache/")</f>
        <v/>
      </c>
      <c r="G2618" t="inlineStr">
        <is>
          <t>2020-07-04 04:49:41</t>
        </is>
      </c>
      <c r="H2618" t="inlineStr">
        <is>
          <t>Presumed Positive - From Doctor</t>
        </is>
      </c>
    </row>
    <row r="2619">
      <c r="A2619" t="inlineStr">
        <is>
          <t>hl3tyc</t>
        </is>
      </c>
      <c r="B2619" t="inlineStr">
        <is>
          <t>4 months</t>
        </is>
      </c>
      <c r="C2619" t="inlineStr">
        <is>
          <t>I’m on month 4 today (sick since March 4th). It’s not getting better. After doing more than my normal “sit around and try to distract” for 2 days, in which I did experience flares but I said fuck it because I wanted to help take care of my own kid, today everything hurts and my fever is just constant. A bad flare. A really bad flare.  If something, anything, grazes my skin, it hurts. The body aches are ridiculous. Nausea, no appetite, weakness, fatigue, hitting hard today. 
I really, really don’t like feeling like I have the flu but all the time. I really, really don’t like that I’m on month 4. I really, really don’t like any of this.
See you guys next month. Hoping to post a “recovered” post instead of “still sick, y’all!”</t>
        </is>
      </c>
      <c r="D2619" t="n">
        <v>1</v>
      </c>
      <c r="E2619" t="n">
        <v>30</v>
      </c>
      <c r="F2619">
        <f>HYPERLINK("https://www.reddit.com/r/COVID19positive/comments/hl3tyc/4_months/")</f>
        <v/>
      </c>
      <c r="G2619" t="inlineStr">
        <is>
          <t>2020-07-04 07:05:22</t>
        </is>
      </c>
      <c r="H2619" t="inlineStr">
        <is>
          <t>Tested Positive - Me</t>
        </is>
      </c>
    </row>
    <row r="2620">
      <c r="A2620" t="inlineStr">
        <is>
          <t>hl3va7</t>
        </is>
      </c>
      <c r="B2620" t="inlineStr">
        <is>
          <t>22F in Miami tested Positive</t>
        </is>
      </c>
      <c r="C2620" t="inlineStr">
        <is>
          <t>Okay so last week around Thursday I felt my mouth kinda weird like a sore throat was coming.. I thought almost nothing of it. Then Friday came I felt better and thought maybe I was almost getting sick I was coughing a bit every now and then but rarely. However, once Saturday hit and I was at work.. (i work in an office at a Hospital) I felt my nose super congested and it was super runny! I was also sneezing (but I always sneezed at work I think its just very dusty in there !) I had never had my nose be this runny it was bad. I had a slight headache, I felt tired &amp;amp; exhausted. I knew I had to talk to a DR so I face-timed with one. He told me to try to get tested but he didn’t think I had it. He said it was probably allergies acting up. I also didn’t feel that bad so I thought maybe he was right. However, I still knew I had to get tested.. so I kept my distance at home as much as possible and kept calling places to get tested. It was pretty difficult to make an appointment for anytime soon (i’m in Miami) .. so I had to make one at a community place online quickly before they got full. I ended up calling off of work Sunday and I felt guilty thinking I was probably overreacting. I’m so grateful now that I tested and found out I was positive. I’m on about day 8-9 on my symptoms and I’m locked up in my room lol. However, I do feel a lot better. I never had a fever, shortness of breath, or anything extreme. I feel like i’m coming close to the end. I just wish I would have realized earlier that I probably had COVID but my symptoms were weird, mainly just nasal congestion.. some runniness.. nothing that couldn’t be allergy related. Therefore, I think everyone should be tested to be safe. After this I think i’m going to always wear a mask even around others at my house. I live with my parents and they have health issues I was so scared when I found out I was positive. I’m grateful my symptoms were mild. (Btw i’m fully healthy and have no health issues) .</t>
        </is>
      </c>
      <c r="D2620" t="n">
        <v>1</v>
      </c>
      <c r="E2620" t="n">
        <v>38</v>
      </c>
      <c r="F2620">
        <f>HYPERLINK("https://www.reddit.com/r/COVID19positive/comments/hl3va7/22f_in_miami_tested_positive/")</f>
        <v/>
      </c>
      <c r="G2620" t="inlineStr">
        <is>
          <t>2020-07-04 07:08:04</t>
        </is>
      </c>
      <c r="H2620" t="inlineStr">
        <is>
          <t>Tested Positive - Me</t>
        </is>
      </c>
    </row>
    <row r="2621">
      <c r="A2621" t="inlineStr">
        <is>
          <t>hl4auf</t>
        </is>
      </c>
      <c r="B2621" t="inlineStr">
        <is>
          <t>Covid Induced Double Pneumonia</t>
        </is>
      </c>
      <c r="C2621" t="inlineStr">
        <is>
          <t>I’m a 31 yo overweight female. Symptoms began June 15, admitted to hospital on June 20. Diagnosed with double pneumonia with “broken glass” disparity on both lungs consistent with COVID and received a positive test result Sunday, June 21st. I was in the hospital on an oxygen cannula for three days, pulmonologist says it was mild and shouldn’t have lasting effects. All good in recovery, just tired, self isolating, trying to build up stamina.
Jump to today, I finished my five days of azithromycin and finished ten days of dexamethasone, I’m coughing again. No chest pain, no shortness of breath, just this dry cough. 
Has anyone else experienced double pneumonia and had similar recovery experience?
A family friend who is an RN says I should go to the ER if it gets worse.</t>
        </is>
      </c>
      <c r="D2621" t="n">
        <v>1</v>
      </c>
      <c r="E2621" t="n">
        <v>6</v>
      </c>
      <c r="F2621">
        <f>HYPERLINK("https://www.reddit.com/r/COVID19positive/comments/hl4auf/covid_induced_double_pneumonia/")</f>
        <v/>
      </c>
      <c r="G2621" t="inlineStr">
        <is>
          <t>2020-07-04 07:36:58</t>
        </is>
      </c>
      <c r="H2621" t="inlineStr">
        <is>
          <t>Tested Positive - Me</t>
        </is>
      </c>
    </row>
    <row r="2622">
      <c r="A2622" t="inlineStr">
        <is>
          <t>hl4yqm</t>
        </is>
      </c>
      <c r="B2622" t="inlineStr">
        <is>
          <t>Blood work after having covid</t>
        </is>
      </c>
      <c r="C2622" t="inlineStr">
        <is>
          <t>Hi!
If you tested positive after covid, and got blood work done. what things were not normal for you?? 
I had regular d dimer
Very low vitamin d 
Reactivation of EBV (does anyone have any idea about this)
And high cholesterol 
Anyone else ?</t>
        </is>
      </c>
      <c r="D2622" t="n">
        <v>1</v>
      </c>
      <c r="E2622" t="n">
        <v>10</v>
      </c>
      <c r="F2622">
        <f>HYPERLINK("https://www.reddit.com/r/COVID19positive/comments/hl4yqm/blood_work_after_having_covid/")</f>
        <v/>
      </c>
      <c r="G2622" t="inlineStr">
        <is>
          <t>2020-07-04 08:18:53</t>
        </is>
      </c>
      <c r="H2622" t="inlineStr">
        <is>
          <t>Tested Positive</t>
        </is>
      </c>
    </row>
    <row r="2623">
      <c r="A2623" t="inlineStr">
        <is>
          <t>hl5755</t>
        </is>
      </c>
      <c r="B2623" t="inlineStr">
        <is>
          <t>Can someone help call my nerves please.</t>
        </is>
      </c>
      <c r="C2623" t="inlineStr">
        <is>
          <t>So I came down with symptoms in early April. Extreme fatigue, shortness of breath, loss of appetite, and overall just weird feelings throughout my body.  The first time I went to the urgent care, the doctor didn't think I had it because I didn't have a fever so he gave me a zpack and steroid. That may have helped some because it suddenly felt like stuff was coming out of my chest. However, I still had shortness of breath and I wound up going to the ER because I woke up with an accelerated heart rate. Blood was fine. I went back to the urgent care to get tested and the test came back negative. This was about 4 weeks after my initial symptoms. Decided to get a primary care doctor and he let me get an antibodies test. That also came back negative but he was still convinced that I've had covid because of my symptoms that I've had for so long. I had a ct scan done and that apparently looked normal too. It's day 90 now and I do feel like I'm getting better every week but it feels like I'm at a standstill now. I still have these weird sensations of not being able to take a full breath, a fuzzy face, and now it feels like I have crud in my throat. Has anyone had an experience like this? I'm planning to get another antibodies test along with my wife because she experienced some shortness of breath during my initial symptoms too. I'll feel great for 3 days then not great for 3 days. It's so annoying. Anyways, sorry to rant. I just need to get this off my chest because it's driving me insane. Any feedback is helpful. Thank you all!</t>
        </is>
      </c>
      <c r="D2623" t="n">
        <v>1</v>
      </c>
      <c r="E2623" t="n">
        <v>7</v>
      </c>
      <c r="F2623">
        <f>HYPERLINK("https://www.reddit.com/r/COVID19positive/comments/hl5755/can_someone_help_call_my_nerves_please/")</f>
        <v/>
      </c>
      <c r="G2623" t="inlineStr">
        <is>
          <t>2020-07-04 08:33:45</t>
        </is>
      </c>
      <c r="H2623" t="inlineStr">
        <is>
          <t>Presumed Positive - From Doctor</t>
        </is>
      </c>
    </row>
    <row r="2624">
      <c r="A2624" t="inlineStr">
        <is>
          <t>hl5dbd</t>
        </is>
      </c>
      <c r="B2624" t="inlineStr">
        <is>
          <t>I'm a nurse who caught Covid-19 in work at the start of April</t>
        </is>
      </c>
      <c r="C2624" t="inlineStr">
        <is>
          <t>Today I finally managed to put my running shoes on and ran 2km round my local park.
I was redeployed from my lovely amazing job as a blood-borne virus specialist to support the wards for an influx of sick people back at the start of April and I got sick pretty quickly. It was seven weeks before I could work again and only this week have i had the strength to work a full week in my job.
I've been going entirely spare sat on the sofa waiting until I felt strong enough to be able to go running again and I'm now sat back on the sofa having done it. It feels really good even if it was only a very short distance.
After so many weeks I got my health back and now I can start to recover my strength and I'm so excited.</t>
        </is>
      </c>
      <c r="D2624" t="n">
        <v>17</v>
      </c>
      <c r="E2624" t="n">
        <v>97</v>
      </c>
      <c r="F2624">
        <f>HYPERLINK("https://www.reddit.com/r/COVID19positive/comments/hl5dbd/im_a_nurse_who_caught_covid19_in_work_at_the/")</f>
        <v/>
      </c>
      <c r="G2624" t="inlineStr">
        <is>
          <t>2020-07-04 08:44:15</t>
        </is>
      </c>
      <c r="H2624" t="inlineStr">
        <is>
          <t>Tested Positive - Me</t>
        </is>
      </c>
    </row>
    <row r="2625">
      <c r="A2625" t="inlineStr">
        <is>
          <t>hl5fm7</t>
        </is>
      </c>
      <c r="B2625" t="inlineStr">
        <is>
          <t>How long?</t>
        </is>
      </c>
      <c r="C2625" t="inlineStr">
        <is>
          <t>My symptoms first appeared on June 18th and I tested positive on June 24th. I’ve been self-isolating ever since I received my results... I just got retested yesterday and my results came back positive again! 
My coworker who got it pretty much at the same time as I did got a call from her local health department and was told she’s clear to come out of isolation. They even told her that if she got re-tested the chances of her still being positive were high but that she is no longer contagious. I won’t feel comfortable coming out of isolation until my results come back negative but I know that can take some time :( How long until your results came back negative?</t>
        </is>
      </c>
      <c r="D2625" t="n">
        <v>1</v>
      </c>
      <c r="E2625" t="n">
        <v>2</v>
      </c>
      <c r="F2625">
        <f>HYPERLINK("https://www.reddit.com/r/COVID19positive/comments/hl5fm7/how_long/")</f>
        <v/>
      </c>
      <c r="G2625" t="inlineStr">
        <is>
          <t>2020-07-04 08:48:11</t>
        </is>
      </c>
      <c r="H2625" t="inlineStr">
        <is>
          <t>Tested Positive - Me</t>
        </is>
      </c>
    </row>
    <row r="2626">
      <c r="A2626" t="inlineStr">
        <is>
          <t>hl5gsz</t>
        </is>
      </c>
      <c r="B2626" t="inlineStr">
        <is>
          <t>Life is so fragile</t>
        </is>
      </c>
      <c r="C2626" t="inlineStr">
        <is>
          <t>Ever since the covid pandemic hit, we are faced with the fragility of life. Death is not a topic talked about a lot in the western world and because of that we have become so delusional and materialistic. This pandemic sucks but it has given me a much much needed appreciation of life. My symptoms are annoying as hell but I wake up each day in awe of how truly magnificent it is to be alive and how easy how easy how so easy that it can all be taken away in a literal second. I stopped worrying about the future and just relishing the now. The trees, clouds, sounds of the bird.... oh how magnificent. I can’t really speak at how much in awe I am of LIFE nowadays. Just a little rant.... peace</t>
        </is>
      </c>
      <c r="D2626" t="n">
        <v>24</v>
      </c>
      <c r="E2626" t="n">
        <v>28</v>
      </c>
      <c r="F2626">
        <f>HYPERLINK("https://www.reddit.com/r/COVID19positive/comments/hl5gsz/life_is_so_fragile/")</f>
        <v/>
      </c>
      <c r="G2626" t="inlineStr">
        <is>
          <t>2020-07-04 08:50:19</t>
        </is>
      </c>
      <c r="H2626" t="inlineStr">
        <is>
          <t>Presumed Positive - From Doctor</t>
        </is>
      </c>
    </row>
    <row r="2627">
      <c r="A2627" t="inlineStr">
        <is>
          <t>hl5hr4</t>
        </is>
      </c>
      <c r="B2627" t="inlineStr">
        <is>
          <t>26m PA positive with almost no symptoms</t>
        </is>
      </c>
      <c r="C2627" t="inlineStr">
        <is>
          <t>26m living with senior citizen parents. All of us got tested at community test site to have proof of negative test when we went on vacation. All in same car. We all received our results at different times: I got positive first, then dad positive 2 days later, then mom negative a day later.
12 days ago I had a mild soreness in mouth like sore throat was coming on, but never really got a sore throat. It lasted two days and I thought nothing of it. Now I have almost no symptoms. No temp, no sore throat, no runny nose, nothing. Dad not feeling any symptoms either. 
Wonder when i'll be better/safe to return to normal society. Any thoughts? No way to know if that time 12 days ago was it, wasn't it, if symptoms are going to come now, or they've already come and gone.</t>
        </is>
      </c>
      <c r="D2627" t="n">
        <v>2</v>
      </c>
      <c r="E2627" t="n">
        <v>10</v>
      </c>
      <c r="F2627">
        <f>HYPERLINK("https://www.reddit.com/r/COVID19positive/comments/hl5hr4/26m_pa_positive_with_almost_no_symptoms/")</f>
        <v/>
      </c>
      <c r="G2627" t="inlineStr">
        <is>
          <t>2020-07-04 08:51:52</t>
        </is>
      </c>
      <c r="H2627" t="inlineStr">
        <is>
          <t>Tested Positive</t>
        </is>
      </c>
    </row>
    <row r="2628">
      <c r="A2628" t="inlineStr">
        <is>
          <t>hl6n8t</t>
        </is>
      </c>
      <c r="B2628" t="inlineStr">
        <is>
          <t>Am i relapsing or did i get reinfected?</t>
        </is>
      </c>
      <c r="C2628" t="inlineStr">
        <is>
          <t>I'm a week 11 long hauler, my breathing became fine to the point that i was living my life the way i usually do and felt good. I thought i had finally recovered and was full of hope but ever since the last 3-4 days my breathing has been total shit again.
It feels like im back on week 1 but slightly better and its devastating. I'm sick and tired of this virus. My mental state is deteriorating. I can't take it anymore.
I THOUGHT I WAS FINALLY DONE WITH IT
Also just some food for thought but the number of relapse/reinfected posts on this sub are slowly increasing. Is the virus mutating?</t>
        </is>
      </c>
      <c r="D2628" t="n">
        <v>3</v>
      </c>
      <c r="E2628" t="n">
        <v>9</v>
      </c>
      <c r="F2628">
        <f>HYPERLINK("https://www.reddit.com/r/COVID19positive/comments/hl6n8t/am_i_relapsing_or_did_i_get_reinfected/")</f>
        <v/>
      </c>
      <c r="G2628" t="inlineStr">
        <is>
          <t>2020-07-04 10:01:22</t>
        </is>
      </c>
      <c r="H2628" t="inlineStr">
        <is>
          <t>Presumed Positive - From Doctor</t>
        </is>
      </c>
    </row>
    <row r="2629">
      <c r="A2629" t="inlineStr">
        <is>
          <t>hl7ui8</t>
        </is>
      </c>
      <c r="B2629" t="inlineStr">
        <is>
          <t>Is it safe to quarantine with someone else who also tested positive?</t>
        </is>
      </c>
      <c r="C2629" t="inlineStr">
        <is>
          <t>The question is confusing but me and my boyfriend who live together tested positive and we believe we got it from work because there’s been a lot of people testing positive lately (we live in Texas). Is it safe for us to share the room or should one of stay in the living room? 
I don’t have many symptoms just extreme fatigue and he doesn’t either just random coughs here and there.</t>
        </is>
      </c>
      <c r="D2629" t="n">
        <v>1</v>
      </c>
      <c r="E2629" t="n">
        <v>5</v>
      </c>
      <c r="F2629">
        <f>HYPERLINK("https://www.reddit.com/r/COVID19positive/comments/hl7ui8/is_it_safe_to_quarantine_with_someone_else_who/")</f>
        <v/>
      </c>
      <c r="G2629" t="inlineStr">
        <is>
          <t>2020-07-04 11:12:41</t>
        </is>
      </c>
      <c r="H2629" t="inlineStr">
        <is>
          <t>Tested Positive</t>
        </is>
      </c>
    </row>
    <row r="2630">
      <c r="A2630" t="inlineStr">
        <is>
          <t>hl88ac</t>
        </is>
      </c>
      <c r="B2630" t="inlineStr">
        <is>
          <t>Low spo2 levels</t>
        </is>
      </c>
      <c r="C2630" t="inlineStr">
        <is>
          <t>I admit I am sort of trying to avoid the ER by asking this, but I'd appreciate some input.  We just got a pulse oximeter and I am pulling between 87-93 with a fairly high heart rate. I do have shortness of breath, specifically when I get up and be even a little active. It also makes me cough. So far my symptoms have been manageable and yesterday had been my best day so far. Even at it's worst it mostly just sucks for a bit. If/when I go to the ER what even can/will they do for me? I don't want to feel like I made an unimpactful visit as I can't afford it and I dont want to waste their reaources.</t>
        </is>
      </c>
      <c r="D2630" t="n">
        <v>1</v>
      </c>
      <c r="E2630" t="n">
        <v>12</v>
      </c>
      <c r="F2630">
        <f>HYPERLINK("https://www.reddit.com/r/COVID19positive/comments/hl88ac/low_spo2_levels/")</f>
        <v/>
      </c>
      <c r="G2630" t="inlineStr">
        <is>
          <t>2020-07-04 11:35:02</t>
        </is>
      </c>
      <c r="H2630" t="inlineStr">
        <is>
          <t>Tested Positive - Family</t>
        </is>
      </c>
    </row>
    <row r="2631">
      <c r="A2631" t="inlineStr">
        <is>
          <t>hl9817</t>
        </is>
      </c>
      <c r="B2631" t="inlineStr">
        <is>
          <t>When did you finally feel okay to be around others?</t>
        </is>
      </c>
      <c r="C2631" t="inlineStr">
        <is>
          <t>My boyfriend tested positive and started feelings symptoms on the 22nd of June. He was actually hospitalized for low o2 stats and received the convalescent plasma treatment. He hasn’t had a fever  for 4 days (no Tylenol), his oxygen is back up, but he just has a little bit of a cough (he’s also taking mucinex). It’s been 13 days since his first symptom. I’m aware the CDC says 10 days since symptom and 3 days without fever but we’re a little skeptical. When did you start being around people again? I’m trying to figure out if I can move back into our room 🥺</t>
        </is>
      </c>
      <c r="D2631" t="n">
        <v>1</v>
      </c>
      <c r="E2631" t="n">
        <v>4</v>
      </c>
      <c r="F2631">
        <f>HYPERLINK("https://www.reddit.com/r/COVID19positive/comments/hl9817/when_did_you_finally_feel_okay_to_be_around_others/")</f>
        <v/>
      </c>
      <c r="G2631" t="inlineStr">
        <is>
          <t>2020-07-04 12:35:19</t>
        </is>
      </c>
      <c r="H2631" t="inlineStr">
        <is>
          <t>Tested Positive - Family</t>
        </is>
      </c>
    </row>
    <row r="2632">
      <c r="A2632" t="inlineStr">
        <is>
          <t>hla5ww</t>
        </is>
      </c>
      <c r="B2632" t="inlineStr">
        <is>
          <t>Girlfriend (22f) having pain in lungs. I (23M) feel fine.</t>
        </is>
      </c>
      <c r="C2632" t="inlineStr">
        <is>
          <t>My girlfriend and I, along with our two roommates, tested positive for covid-19. As of right now, my only symptom is loss of taste and smell for the last week. My girlfriend had similar symptoms until the last few days. She has been complaining about her shortness of breath and pressure in her lungs. She’s really frightening me and she is persistent that she does not want to go to the hospital but I’m not sure what else to do. I feel pretty great apart from the loss of smell and taste so I’ve been trying really hard to take care of her. Any familiar experiences or advice?</t>
        </is>
      </c>
      <c r="D2632" t="n">
        <v>1</v>
      </c>
      <c r="E2632" t="n">
        <v>16</v>
      </c>
      <c r="F2632">
        <f>HYPERLINK("https://www.reddit.com/r/COVID19positive/comments/hla5ww/girlfriend_22f_having_pain_in_lungs_i_23m_feel/")</f>
        <v/>
      </c>
      <c r="G2632" t="inlineStr">
        <is>
          <t>2020-07-04 13:33:08</t>
        </is>
      </c>
      <c r="H2632" t="inlineStr">
        <is>
          <t>Tested Positive</t>
        </is>
      </c>
    </row>
    <row r="2633">
      <c r="A2633" t="inlineStr">
        <is>
          <t>hlalnj</t>
        </is>
      </c>
      <c r="B2633" t="inlineStr">
        <is>
          <t>Regarding the PCR Tests and negative tests</t>
        </is>
      </c>
      <c r="C2633" t="inlineStr">
        <is>
          <t xml:space="preserve"> A team of scientists from Johns Hopkins published a review and meta-analysis in the Annals of Internal Medicine on May 13 (Kucirka et al. 2020). They reviewed 7 previously published studies on RT-PCR performance with over 1,330 samples from the upper respiratory tract.
The likelihood of getting a false negative test result (testing negative when you are actually infected) was 100% on the first day of infection. By day 4, the probability of a false negative result decreased to 67% (still very high). The lowest chance of getting a false negative test result was on day 8 (20%), after which point the probability of false negatives increased again. So, even when the timing is optimal, tests may miss about 1 in 5 infections. People who get symptoms with infection usually develop their symptoms around day 5 of infection. This means the test is most accurate at detecting an actual infection when it’s taken around 3 days after the start of symptoms or around 8 days after exposure. Taking the test before or after that point results in a higher rate of false negatives.
False positive results (testing positive when you don’t actually have the infection) are thought to be much less of an issue with RT-PCR tests for COVID-19 compared to false negative results. 
Please don’t let a negative test give you a false sense of security. They have a high false negative rate. If you have symptoms that match use common sense, you most likely have it and should isolate.</t>
        </is>
      </c>
      <c r="D2633" t="n">
        <v>6</v>
      </c>
      <c r="E2633" t="n">
        <v>5</v>
      </c>
      <c r="F2633">
        <f>HYPERLINK("https://www.reddit.com/r/COVID19positive/comments/hlalnj/regarding_the_pcr_tests_and_negative_tests/")</f>
        <v/>
      </c>
      <c r="G2633" t="inlineStr">
        <is>
          <t>2020-07-04 14:00:13</t>
        </is>
      </c>
      <c r="H2633" t="inlineStr">
        <is>
          <t>Tested Positive - Me</t>
        </is>
      </c>
    </row>
    <row r="2634">
      <c r="A2634" t="inlineStr">
        <is>
          <t>hlas05</t>
        </is>
      </c>
      <c r="B2634" t="inlineStr">
        <is>
          <t>False negative- whelp! I’m positive!!!</t>
        </is>
      </c>
      <c r="C2634" t="inlineStr">
        <is>
          <t>I posted about this a week or so ago. I felt bad so I got two tests 24hrs apart (per my job’s policy). I got a negative on the first test and then suddenly my boss told me about a “new policy change” that said I could come back with only one negative test if you have no more symptoms. 
Well! After working a week and having my kids back with me- I got my second result back and apparently I’m positive! 
Thankfully no one in my house feels bad or is having any issues. We don’t go out anywhere... at all. I literally go to work and come home. Unfortunately I’ve already been back to work. They directly report results to my job bc I was tested by the same company, so they know. 
I feel fine now. I get little headaches and hot flashes. No fever or anything else really. I did develop this rash inside my nose (not the nostril they swabbed) that is irritated and raw and runs occasionally. It just feels like my nose got picked really hard or something...but that’s it so far thankfully. 
It just sucks that things shook out like that and the risk involved.</t>
        </is>
      </c>
      <c r="D2634" t="n">
        <v>6</v>
      </c>
      <c r="E2634" t="n">
        <v>2</v>
      </c>
      <c r="F2634">
        <f>HYPERLINK("https://www.reddit.com/r/COVID19positive/comments/hlas05/false_negative_whelp_im_positive/")</f>
        <v/>
      </c>
      <c r="G2634" t="inlineStr">
        <is>
          <t>2020-07-04 14:10:48</t>
        </is>
      </c>
      <c r="H2634" t="inlineStr">
        <is>
          <t>Tested Positive - Me</t>
        </is>
      </c>
    </row>
    <row r="2635">
      <c r="A2635" t="inlineStr">
        <is>
          <t>hlb4e1</t>
        </is>
      </c>
      <c r="B2635" t="inlineStr">
        <is>
          <t>kidney ??</t>
        </is>
      </c>
      <c r="C2635" t="inlineStr">
        <is>
          <t>i have a pain aron d the kidney area and it hurts to the touch. Anyone else have the same pain or something?</t>
        </is>
      </c>
      <c r="D2635" t="n">
        <v>2</v>
      </c>
      <c r="E2635" t="n">
        <v>4</v>
      </c>
      <c r="F2635">
        <f>HYPERLINK("https://www.reddit.com/r/COVID19positive/comments/hlb4e1/kidney/")</f>
        <v/>
      </c>
      <c r="G2635" t="inlineStr">
        <is>
          <t>2020-07-04 14:31:00</t>
        </is>
      </c>
      <c r="H2635" t="inlineStr">
        <is>
          <t>Tested Positive - Me</t>
        </is>
      </c>
    </row>
    <row r="2636">
      <c r="A2636" t="inlineStr">
        <is>
          <t>hlbrxj</t>
        </is>
      </c>
      <c r="B2636" t="inlineStr">
        <is>
          <t>Tested positive and pregnant</t>
        </is>
      </c>
      <c r="C2636" t="inlineStr">
        <is>
          <t>I was suspected positive but just got my results today after my first test was negative. My husband started having symptoms on the 18th of June with a stuffy nose and low grade fever. He assumed it was allergies and didn’t think anything of it. Since we live together we both got tested on the 19th. At this point he is feeling horrible with joint pain, back pain, fever (102), diarrhea, chills, and a headache. On the 24th we got our results back, mine was negative, but his was positive. I thought I would try to give detail on my symptoms so far 
6/24 Feeling a slight sore, scratchy throat no fever or cough
6/25 sore throat worsened, cough started, body aches, diarrhea 
6/26 feeling mostly the same, still no fever
6/27 lots of congestion like a really bad sinus infection and feeling lethargic 
6/28 I actually started feeling better except this is when I lost my sense of taste and smell 
6/29 through 6/30 cough is nearly gone but things taste off or different, still congested 
7/1through 3rd one day I felt fine and the next I felt lethargic, not aches but just drained of energy 
Today 7/4 I feel I’m at about 75% still no fever, no more diarrhea, much less couching, mostly just feeling lethargic. Also baby has been moving normally this whole time and haven’t noticed anything different . I think my sense of smell and taste is starting to come back slowly.</t>
        </is>
      </c>
      <c r="D2636" t="n">
        <v>3</v>
      </c>
      <c r="E2636" t="n">
        <v>5</v>
      </c>
      <c r="F2636">
        <f>HYPERLINK("https://www.reddit.com/r/COVID19positive/comments/hlbrxj/tested_positive_and_pregnant/")</f>
        <v/>
      </c>
      <c r="G2636" t="inlineStr">
        <is>
          <t>2020-07-04 15:13:21</t>
        </is>
      </c>
      <c r="H2636" t="inlineStr">
        <is>
          <t>Tested Positive</t>
        </is>
      </c>
    </row>
    <row r="2637">
      <c r="A2637" t="inlineStr">
        <is>
          <t>hlbs0c</t>
        </is>
      </c>
      <c r="B2637" t="inlineStr">
        <is>
          <t>Heart rate with clear blood work and clear chest x Ray</t>
        </is>
      </c>
      <c r="C2637" t="inlineStr">
        <is>
          <t>if my chest x Ray is clear and my blood work came back normal other than vitamin d low and cholesterol a little high.. my heart rate is still going high during the day not doing much. Like just swimming or walking but not too much. It pounds. Could I still have something wrong with my heart or would it have def shown up on blood work / chest x Ray / o2 meter?</t>
        </is>
      </c>
      <c r="D2637" t="n">
        <v>1</v>
      </c>
      <c r="E2637" t="n">
        <v>10</v>
      </c>
      <c r="F2637">
        <f>HYPERLINK("https://www.reddit.com/r/COVID19positive/comments/hlbs0c/heart_rate_with_clear_blood_work_and_clear_chest/")</f>
        <v/>
      </c>
      <c r="G2637" t="inlineStr">
        <is>
          <t>2020-07-04 15:13:29</t>
        </is>
      </c>
      <c r="H2637" t="inlineStr">
        <is>
          <t>Tested Positive - Me</t>
        </is>
      </c>
    </row>
    <row r="2638">
      <c r="A2638" t="inlineStr">
        <is>
          <t>hlbsu4</t>
        </is>
      </c>
      <c r="B2638" t="inlineStr">
        <is>
          <t>In the same car as someone that tested positive</t>
        </is>
      </c>
      <c r="C2638" t="inlineStr">
        <is>
          <t>Hung out with a friend for about 2 hours, he wasn’t showing any symptoms or anything and said he’d got tested for COVID around the 20th. He said his results hadn’t gotten back yet but the people he hangs out with that were exposed in the same area all came back negative. I didn’t know he hadn’t been quarantining/was even exposed to it til after he was in the car unfortunately but now the situation is that he tested positive 10 days before I met him and his symptoms subsided around 4 days before I met him (he was asymptomatic at the time we hung out.) No facemasks worn and contact was limited to a few handshakes, it’s been 5 days and I don’t have any symptoms and am getting tested Monday but does anyone have any idea what my odds of having it are? I’ve been freaking out about it a little and don’t know how much risk I’m at right now so I’d appreciate the help.</t>
        </is>
      </c>
      <c r="D2638" t="n">
        <v>1</v>
      </c>
      <c r="E2638" t="n">
        <v>6</v>
      </c>
      <c r="F2638">
        <f>HYPERLINK("https://www.reddit.com/r/COVID19positive/comments/hlbsu4/in_the_same_car_as_someone_that_tested_positive/")</f>
        <v/>
      </c>
      <c r="G2638" t="inlineStr">
        <is>
          <t>2020-07-04 15:15:02</t>
        </is>
      </c>
      <c r="H2638" t="inlineStr">
        <is>
          <t>Tested Positive - Friends</t>
        </is>
      </c>
    </row>
    <row r="2639">
      <c r="A2639" t="inlineStr">
        <is>
          <t>hlcchf</t>
        </is>
      </c>
      <c r="B2639" t="inlineStr">
        <is>
          <t>21M, Am I almost over it?</t>
        </is>
      </c>
      <c r="C2639" t="inlineStr">
        <is>
          <t>The only symptoms I’ve ever had was eye pain, congestion, runny nose, for the first 5 days and now I simply cannot smell or taste anything despite not being congested anymore. Otherwise I feel perfectly fine. Just sucks that I can’t taste anything. 
My family had it worse with fevers, chills, and muscle aches. My first symptom of the eye pain started on June 26. My loss of smell/taste started June 30th.</t>
        </is>
      </c>
      <c r="D2639" t="n">
        <v>2</v>
      </c>
      <c r="E2639" t="n">
        <v>3</v>
      </c>
      <c r="F2639">
        <f>HYPERLINK("https://www.reddit.com/r/COVID19positive/comments/hlcchf/21m_am_i_almost_over_it/")</f>
        <v/>
      </c>
      <c r="G2639" t="inlineStr">
        <is>
          <t>2020-07-04 15:51:35</t>
        </is>
      </c>
      <c r="H2639" t="inlineStr">
        <is>
          <t>Tested Positive - Me</t>
        </is>
      </c>
    </row>
    <row r="2640">
      <c r="A2640" t="inlineStr">
        <is>
          <t>hlduq7</t>
        </is>
      </c>
      <c r="B2640" t="inlineStr">
        <is>
          <t>Let’s share early symptoms</t>
        </is>
      </c>
      <c r="C2640" t="inlineStr">
        <is>
          <t>How soon you were tested after exposure . What are your early symptoms ? How far you are in your illness ? Was it mild ? 
Anymore existing condition , blood type , gender would be helpful. I trying to find out what to expect next . 
As for me exposure Saturday 27/28 june , tested positive  5 days later on Friday . So far mild symptoms , oxygen level 94-95 , lack of sleep , very minor fever or no fever , tingling in my chest , slight stomach discomfort, sneezing , more frequent urination than usual , poor sleep . 
Female , 43 , diabetes type 2 , very well controlled . Had diabetes for only 6 months . Low BMI ( very skinny) . Blood type O.  On low carb diet . None smoker , none drinker . 
It’s Sunday , 3 days after tested . Was tested because of exposure and not because of symptoms . 
Taking anti viral atazanavir since Friday, plus medication to manage symptoms and women multi vitamin .  Measuring oxygen level and temperature a few times a day . Alone in quarantine in a separate apartment since exposure . Concerned about getting too ill to call for ambulance.</t>
        </is>
      </c>
      <c r="D2640" t="n">
        <v>2</v>
      </c>
      <c r="E2640" t="n">
        <v>4</v>
      </c>
      <c r="F2640">
        <f>HYPERLINK("https://www.reddit.com/r/COVID19positive/comments/hlduq7/lets_share_early_symptoms/")</f>
        <v/>
      </c>
      <c r="G2640" t="inlineStr">
        <is>
          <t>2020-07-04 17:39:37</t>
        </is>
      </c>
      <c r="H2640" t="inlineStr">
        <is>
          <t>Tested Positive - Me</t>
        </is>
      </c>
    </row>
    <row r="2641">
      <c r="A2641" t="inlineStr">
        <is>
          <t>hldvti</t>
        </is>
      </c>
      <c r="B2641" t="inlineStr">
        <is>
          <t>Such a confusing disease</t>
        </is>
      </c>
      <c r="C2641" t="inlineStr">
        <is>
          <t>My wife and I had plans to travel with her family today through next week. We have a 7 week old so we had asked everyone to get tested beforehand. My wife and I have minimized our risk, only done socially distant backyard hangs, haven't spent time in people's houses, etc...and I have been the one to do the shopping . We have been taking it more seriously than a lot of people I know.
So...her rapid covid 19 swab came back positive and mine came back negative so they tested our newborn who also came back negative. 
Two days later we went back for another test (not rapid this time) so we'll see what happens but I have no idea where she could have gotten it that I didn't. She talked to our back neighbor for a few minutes the other night...not close though.  
And now I'm hyper aware of everything my son does, wondering if it's a symptom or if it's just normal infant behavior . 
Nah.</t>
        </is>
      </c>
      <c r="D2641" t="n">
        <v>1</v>
      </c>
      <c r="E2641" t="n">
        <v>8</v>
      </c>
      <c r="F2641">
        <f>HYPERLINK("https://www.reddit.com/r/COVID19positive/comments/hldvti/such_a_confusing_disease/")</f>
        <v/>
      </c>
      <c r="G2641" t="inlineStr">
        <is>
          <t>2020-07-04 17:41:52</t>
        </is>
      </c>
      <c r="H2641" t="inlineStr">
        <is>
          <t>Tested Positive - Family</t>
        </is>
      </c>
    </row>
    <row r="2642">
      <c r="A2642" t="inlineStr">
        <is>
          <t>hle0n1</t>
        </is>
      </c>
      <c r="B2642" t="inlineStr">
        <is>
          <t>Tested Positive</t>
        </is>
      </c>
      <c r="C2642" t="inlineStr">
        <is>
          <t>(23, male, no underlying health conditions, healthy besides the fact that I’m technically overweight) 
Friday 6/26 - I was exposed to a large group of people for an extended period of time with no social distancing or masks 
Saturday 6/27 - Sunday 6/28 - I felt “off”, felt like I had bad brain fog 
Monday 6/29 PM - developed a very slight cough, barley noticeable 
Tuesday 6/30 AM - felt fine, still had the slight cough 
Tuesday 6/30 PM - Slight trouble breathing with slight chest pains. Again, barley noticeable, I just thought it was from wearing a mask and moving around a lot. 
Wednesday 7/1 - Felt fine throughout the day, at night my body was sore (like I just lifted weights). I was laying in bed and my arm got tired holding up my phone. I took my tempature and it was 100.1
Thursday 7/2 - Slight stuffy nose and slight cough. Fever was gone. Got tested with instant results, came back POSITIVE. I think I had loss of taste? Hard to tell. 
Friday 7/3 - Felt fine all day. Slight cough. I developed a sore through although it was barley noticeable. My nose was a little stuffy. 
Friday 7/4 - Still feel fine. Barely noticeable sore throat, slight cough and my nose is a little stuffy. It feels like a light cold / allergies 
I was told to stay quarantined 10 days from the start of symptoms as long as my fever doesn’t reappear. We’ll see how the next 5-6 days go.</t>
        </is>
      </c>
      <c r="D2642" t="n">
        <v>1</v>
      </c>
      <c r="E2642" t="n">
        <v>7</v>
      </c>
      <c r="F2642">
        <f>HYPERLINK("https://www.reddit.com/r/COVID19positive/comments/hle0n1/tested_positive/")</f>
        <v/>
      </c>
      <c r="G2642" t="inlineStr">
        <is>
          <t>2020-07-04 17:51:58</t>
        </is>
      </c>
      <c r="H2642" t="inlineStr">
        <is>
          <t>Tested Positive - Me</t>
        </is>
      </c>
    </row>
    <row r="2643">
      <c r="A2643" t="inlineStr">
        <is>
          <t>hle5x0</t>
        </is>
      </c>
      <c r="B2643" t="inlineStr">
        <is>
          <t>Symptom Question-Irritation inside of Nose/Rash</t>
        </is>
      </c>
      <c r="C2643" t="inlineStr">
        <is>
          <t>I posted in a certain post about my symptoms, one being an extremely painful headache in the back of the head, along with frequent tingling of the hands and a bout of vertigo for about a week. Has anyone also experienced a rash/scab like irritation inside their nose. This occurred for a prolonged period of time, the inside of my nose was extremely dry.</t>
        </is>
      </c>
      <c r="D2643" t="n">
        <v>1</v>
      </c>
      <c r="E2643" t="n">
        <v>6</v>
      </c>
      <c r="F2643">
        <f>HYPERLINK("https://www.reddit.com/r/COVID19positive/comments/hle5x0/symptom_questionirritation_inside_of_noserash/")</f>
        <v/>
      </c>
      <c r="G2643" t="inlineStr">
        <is>
          <t>2020-07-04 18:03:11</t>
        </is>
      </c>
      <c r="H2643" t="inlineStr">
        <is>
          <t>Presumed Positive - From Doctor</t>
        </is>
      </c>
    </row>
    <row r="2644">
      <c r="A2644" t="inlineStr">
        <is>
          <t>hledpf</t>
        </is>
      </c>
      <c r="B2644" t="inlineStr">
        <is>
          <t>I tested Positive, Here is my Experience....</t>
        </is>
      </c>
      <c r="C2644" t="inlineStr">
        <is>
          <t xml:space="preserve">Hello,
I was told I should come here to share my experience for those interested in learning from us that tested positive. I am very new at posting or Reddit so if there is something Im doing wrong please let me know.
Im a 45 years old male that is married and we live in North Texas. This all started June 18th 2020. I went in to see my Dr for nothing more than the sniffles and some congestion in my nose area. It was not uncommon for me to feel this way around this time of the year. I have seasonal allergies so just thought it was that. When I saw him I had a temp of 98.6 and felt fine outside of the stuffiness and weighted 198lbs (which is my norm). He gave me a steroid shot and a zpack (5 day antibiotic) just incase it was turning into a sinus infection. I left and felt FINE!
Then things went weird on me June 20th (saturday) about 2:30am. I for some reason woke up and realized that I could NOT SMELL A THING!!!!!!!!! I am not sure why I woke up but then it created panic. Not because I had COvid on my mind, but I was like "OMG why cant I smell! What if it doesn't come back!!! Almost went into a anxiety attack. I had to calm myself down and get up for a bit as I was getting hot and very anxious. I finally laid back down about 1.5 hours later and fell asleep. Upon waking up Sunday wife asked what was wrong with me and I told her. She said oh your okay, just your sinus stuff, just relax and don't think about it..it will come back. Monday morning (June 22nd) I called the Dr and told them I lost all sense of taste and smell. I went in to see him that afternoon at 2:30pm. When I was seen my temp was 98.7 but I noticed my weight dropped to 193 lbs (5lbs) in just 4 days. Now I truly figured it was from stress and anxiety. I stopped eating some because I was like why should I eat if I cant taste, then add the anxious feeling I was having and that means LOST WEIGHT! The doc said well any other symptoms?  No sir, that's it just the stuffy nose and now I can't taste or smell anything. Well, I can send you to get tested if you want but I don't think you have it. So I decided why not at this point.
I was scheduled to test for Covid on June 24th which was a Wednesday. I went and had the test done (drive thru testing site by a dr office) and was quite the experience I will say. They swabbed BOTH nostrils and boy that was a weird kinda painful feeling. The back of my eyes hurt and had a headache for about 2 hours after lol. I was told the test would be 5-7 business days, and was like Whaattt!!! I am sure they are overwhelmed with tests but I was like Dang, that's a long time to wait for a result for something so scary.
I got the test results on Monday, June 29th 2020. I got the call and she said you tested positive for Covid19. Told me to quarantine for 14 days.
Guys, please pay attention to the slightest change in your body.  Technically I noticed some changes on the 18th of June. They were MILD!!!!!! When I lost the taste/smell that Saturday should have really told me something but again I've had that happen before with a bad sinusitis spell. So in reality i was already into my 12th day by the time I got my results. I did purchase a old fashion digital thermometer from Amazon on the 26th and my temp NEVER ONCE got above 98.8 degrees. I will also say I noticed a slight elephant on my chest feeling when I woke up June 27th. Nothing bad, just a slight pressure in my upper chest when I took deep breaths in.  On Sunday June 28th I was outside my house welding on a trailer and while it was HOT and prob lost a pound in  water weight, for some reason I stood on a scale I have in the garage and to my shock I was down to 183 lbs. which was a 15 lbs weight loss. That's when reality started setting in and wondering if my test would come back positive.
Wife was tested on July 1st and we wait for those results. They told her 10-12 days lol. We have been sleeping apart for the most part since June 24th when I got tested. Now we are in seperate parts of the house sleeping apart and wearing facemasks when we are in the kitchen and we try to schedule those apart. Her symptoms are mild to nothing so far, no temp and a slight tightness in her chest that comes and goes.
I would immediately see your Dr. for sure if you lose any sense of taste of smell. That should be ONE of the top symptoms to look out for only bc it is overlooked I feel.
Im here and if I missed anything feel free to ask, Im sure I forgot some details.
Please be safe, wear your masks. I have had such anxiety since all this has happened it's unreal.
If you go on the day I FIRST went in to the Dr with sniffles/congestion which I was told technically is when you are supposed to go into quarantine till you get your results  back but again I thought it was simple sinus issues, I am at day 17 now. If you go when I was tested on the 24th then I am in day 11, which I clearly should be past it being I clearly had it BEFORE then.
It is truly amazing how many of us like myself may be infected with this nasty virus and walking around in public (I do always wear masks though) and just DON'T KNOW IT!!!!!! That is the scariest part of this whole thing!!!!
I'm here if yall have any questions...I hope this has helped many understand how it can show its face in a harsh manner, and in some cases a manner we just think it is something small as a cold/sinus issues. Its real guys, and it can mask itself depending on the body it is infecting. I know lots of yall dont like wearing masks, but we must all do our part. We are blessed to show very little symptoms so far and I will continue to pray for us and yall!
Its easier and more comfortable to wear a face mask than it is to wear a ventilator!!
God Bless!!
\*ADDED\* I also forgot to add that I went to a small curve of dry mouth and wanting/drinking lots of water. I think this virus tried to dehydrate me at one point (3-4 days ago). That is tough with me because I am a heavy water drinker. I work out in the elements every day and some of you know how harsh the Texas heat can be. One point I was drinking a LOT more water than I was expelling by using the bathroom. Be cautious of that too! 
I have had some PM's asking about my health. I forgot to mention,  I am what I would consider healthy, or at least feel like. Hope I don't jinx myself! I don't drink, smoke or do any drugs. Only medication I'm on is Claritin and a steroid nasal spray, that's pretty much it. Im about 5'11" around 198 lbs. The only evil is my life is diet sodas and sugary things at night :-) </t>
        </is>
      </c>
      <c r="D2644" t="n">
        <v>11</v>
      </c>
      <c r="E2644" t="n">
        <v>87</v>
      </c>
      <c r="F2644">
        <f>HYPERLINK("https://www.reddit.com/r/COVID19positive/comments/hledpf/i_tested_positive_here_is_my_experience/")</f>
        <v/>
      </c>
      <c r="G2644" t="inlineStr">
        <is>
          <t>2020-07-04 18:20:13</t>
        </is>
      </c>
      <c r="H2644" t="inlineStr">
        <is>
          <t>Tested Positive - Me</t>
        </is>
      </c>
    </row>
    <row r="2645">
      <c r="A2645" t="inlineStr">
        <is>
          <t>hlevqc</t>
        </is>
      </c>
      <c r="B2645" t="inlineStr">
        <is>
          <t>Covid Spread Makes No Sense</t>
        </is>
      </c>
      <c r="C2645" t="inlineStr">
        <is>
          <t>Ok, this may sound stupid but the spread of Covid makes no sense. If China shut down Wuhan and surrounding cities in January, then how was the virus spread so much in other countries? And how come other cities like Shangai and Beijing were barely affected. Like they have basically so little cases. 
I believe China created Covid-19, spread it on its own people and then unleashed on the rest of the world as biological warfare. As you can see today, they have been taking full advantage of the situation, buying up struggling companies, forcing poor countries to take on debt from them, potentially launching a war on India and taking full control of Hong Kong.
Call me crazy but this stuff is hella fishy...</t>
        </is>
      </c>
      <c r="D2645" t="n">
        <v>0</v>
      </c>
      <c r="E2645" t="n">
        <v>5</v>
      </c>
      <c r="F2645">
        <f>HYPERLINK("https://www.reddit.com/r/COVID19positive/comments/hlevqc/covid_spread_makes_no_sense/")</f>
        <v/>
      </c>
      <c r="G2645" t="inlineStr">
        <is>
          <t>2020-07-04 19:00:51</t>
        </is>
      </c>
      <c r="H2645" t="inlineStr">
        <is>
          <t>Tested Positive - Friends</t>
        </is>
      </c>
    </row>
    <row r="2646">
      <c r="A2646" t="inlineStr">
        <is>
          <t>hlezki</t>
        </is>
      </c>
      <c r="B2646" t="inlineStr">
        <is>
          <t>Awaiting results 24 year old male, healthy besides I suffer from regular pvcs ( heart palpitations )</t>
        </is>
      </c>
      <c r="C2646" t="inlineStr">
        <is>
          <t>Hello all,
To start I have done everything right masks, hand washing, no gathering etc. Only thing was having to go back to work and being the only person masked. However about a week ago I started feeling "off"... dizzy, fatigued, headaches, almost like my bones hurt too weird I know, nausea. No fever, oxygen levels good. The rest of the symptoms are making me feel miserable.. I know I'm not positive yet but man I have to be. Anyone relate? Also to add I'll have days where I feel great and then boom back on to feeling terrible, it's been about a week.</t>
        </is>
      </c>
      <c r="D2646" t="n">
        <v>1</v>
      </c>
      <c r="E2646" t="n">
        <v>3</v>
      </c>
      <c r="F2646">
        <f>HYPERLINK("https://www.reddit.com/r/COVID19positive/comments/hlezki/awaiting_results_24_year_old_male_healthy_besides/")</f>
        <v/>
      </c>
      <c r="G2646" t="inlineStr">
        <is>
          <t>2020-07-04 19:09:01</t>
        </is>
      </c>
      <c r="H2646" t="inlineStr">
        <is>
          <t>Presumed Positive - From Doctor</t>
        </is>
      </c>
    </row>
    <row r="2647">
      <c r="A2647" t="inlineStr">
        <is>
          <t>hlfyst</t>
        </is>
      </c>
      <c r="B2647" t="inlineStr">
        <is>
          <t>COVID pneumonia</t>
        </is>
      </c>
      <c r="C2647" t="inlineStr">
        <is>
          <t>Anyone have tips on how to treat, or ease walking pneumonia due to COVID? Perhaps some breathing exercises, home remedies etc.</t>
        </is>
      </c>
      <c r="D2647" t="n">
        <v>1</v>
      </c>
      <c r="E2647" t="n">
        <v>4</v>
      </c>
      <c r="F2647">
        <f>HYPERLINK("https://www.reddit.com/r/COVID19positive/comments/hlfyst/covid_pneumonia/")</f>
        <v/>
      </c>
      <c r="G2647" t="inlineStr">
        <is>
          <t>2020-07-04 20:27:00</t>
        </is>
      </c>
      <c r="H2647" t="inlineStr">
        <is>
          <t>Tested Positive - Me</t>
        </is>
      </c>
    </row>
    <row r="2648">
      <c r="A2648" t="inlineStr">
        <is>
          <t>hlgiar</t>
        </is>
      </c>
      <c r="B2648" t="inlineStr">
        <is>
          <t>Tested without any symptoms , and got positive</t>
        </is>
      </c>
      <c r="C2648" t="inlineStr">
        <is>
          <t>Anyone tested randomly or because of an exposure WITHOUT any symptoms and got positive?
How your symptoms developed over days ? How long after doing the test ?</t>
        </is>
      </c>
      <c r="D2648" t="n">
        <v>1</v>
      </c>
      <c r="E2648" t="n">
        <v>21</v>
      </c>
      <c r="F2648">
        <f>HYPERLINK("https://www.reddit.com/r/COVID19positive/comments/hlgiar/tested_without_any_symptoms_and_got_positive/")</f>
        <v/>
      </c>
      <c r="G2648" t="inlineStr">
        <is>
          <t>2020-07-04 21:11:07</t>
        </is>
      </c>
      <c r="H2648" t="inlineStr">
        <is>
          <t>Tested Positive - Me</t>
        </is>
      </c>
    </row>
    <row r="2649">
      <c r="A2649" t="inlineStr">
        <is>
          <t>hlgv36</t>
        </is>
      </c>
      <c r="B2649" t="inlineStr">
        <is>
          <t>Did I or did I not have it??</t>
        </is>
      </c>
      <c r="C2649" t="inlineStr">
        <is>
          <t>Hello, a little back story... I work for a IT company out of Houston, Texas. My company decided to test all of us. I did not have any symptoms. They check our temperature everyday we go in and keep track in a spreadsheet for any variation. We do not go out to restaurants or bars. I go from work straight home and once a week to the grocery store. Last Tuesday they ran a antibodies test and I came back positive for the antibody IgM. They wanted me to take a swab test. I took it that same day. Yesterday our HR department reached out to tell me that my test came back negative. I have been very concerned because I live with my wife and my two kids 9 year old and 6 month old. They don’t have any symptoms. They went to get tested last Wednesday right after me because of my results. Could It have been that I was Asymptotic? Did I infect my family without knowing? Help I am very confused.</t>
        </is>
      </c>
      <c r="D2649" t="n">
        <v>1</v>
      </c>
      <c r="E2649" t="n">
        <v>4</v>
      </c>
      <c r="F2649">
        <f>HYPERLINK("https://www.reddit.com/r/COVID19positive/comments/hlgv36/did_i_or_did_i_not_have_it/")</f>
        <v/>
      </c>
      <c r="G2649" t="inlineStr">
        <is>
          <t>2020-07-04 21:41:37</t>
        </is>
      </c>
      <c r="H2649" t="inlineStr">
        <is>
          <t>Tested Positive - Me</t>
        </is>
      </c>
    </row>
    <row r="2650">
      <c r="A2650" t="inlineStr">
        <is>
          <t>hlgxt8</t>
        </is>
      </c>
      <c r="B2650" t="inlineStr">
        <is>
          <t>A mild case discovered during a not so mild situation</t>
        </is>
      </c>
      <c r="C2650" t="inlineStr">
        <is>
          <t>My case of covid came at the end of March/early April. It was a Tuesday already a few weeks into the shutdown working from home when we start to hear fire trucks pull up to our apartment building. We peak outside and see some smoke coming from the other side of the building and see the ladder start to come out to be placed on that side. Some relief at least that it isn’t on our side, but I wonder if it’s enough smoke to reach our side of the building so I check the door to make sure there isn’t immediate danger. No heat, but I look through the peephole and see the hallway is quite smoky. I realize that I do not smell anything. I ask my girlfriend if she’s able to smell the smoke and luckily she does, so that really made me nervous. While I had been feeling that my senses were diminished, I was congested the weekend prior, so I felt that explained the weakened senses, but was less so on this day. My girlfriend made some Indian dish for dinner and I could only really taste saltiness and a little heat (more like the sensation of spicy rather than taste), so it really hit that something was wrong. The CDC at this point had not officially recognized loss of smell and taste as a symptom, but many anecdotes seemed to have included that as one of the early signs. Headaches were also added to that list and I was experiencing that pretty regularly at that time. So at this point all I could do was wait and hope that I didn’t start to have a fever or an endless cough.
The week goes on and no other symptoms present itself, then Saturday morning comes. When I went to the bathroom, I caught a whiff of the new candle my girlfriend had just gotten. Then I open a fragrant lotion, the soap when I wash my hands, go to the kitchen and open up the vinegar and hot sauce, everything. It was coming back at last! I actually felt part of my brain reactivating when all those scents were coming back to me. I can’t remember what I had to eat that day, but I was sure happy to be able to taste it. Now that is to say, it didn’t come back all at once. The candle which first woke things up two weeks later became so intense I couldn’t stand it, but it was a Yankee Candle so I figured the fact that I enjoyed how mild it was earlier confirmed to me that I was close to full strength. 
At the end of April, the city announces that antibodies tests are becoming more available. As I fortunately did not experience the more severe symptoms I opted to avoid getting the diagnostic test especially with how chaotic things were at the hospitals. If I didn’t actually have it before going there, I certainly might be leaving with it. After reading reports of the clinic’s procedures and patient experiences I went ahead and took the antibody test. Before the doctor drew my blood he of course asked if I was experiencing symptoms and I relayed my story. Then he tells me “oh yeah, same thing with me, but I had to be hospitalized for a few days. I’m much better now, but still can’t smell everything.” My results come in a few days later and while I tested positive for antibodies, they do indicate that it could be from other strains of coronavirus.
So that’s my story. Glad that if I indeed had it, it was a pretty mild case. I have been wearing masks outside since this all started and will continue to do so. While things are much better here in New York, I really wish that the places that are struggling with it now would take it seriously.</t>
        </is>
      </c>
      <c r="D2650" t="n">
        <v>1</v>
      </c>
      <c r="E2650" t="n">
        <v>1</v>
      </c>
      <c r="F2650">
        <f>HYPERLINK("https://www.reddit.com/r/COVID19positive/comments/hlgxt8/a_mild_case_discovered_during_a_not_so_mild/")</f>
        <v/>
      </c>
      <c r="G2650" t="inlineStr">
        <is>
          <t>2020-07-04 21:48:13</t>
        </is>
      </c>
      <c r="H2650" t="inlineStr">
        <is>
          <t>Tested Positive - Me</t>
        </is>
      </c>
    </row>
    <row r="2651">
      <c r="A2651" t="inlineStr">
        <is>
          <t>hlh4bg</t>
        </is>
      </c>
      <c r="B2651" t="inlineStr">
        <is>
          <t>Major symptom: Headache</t>
        </is>
      </c>
      <c r="C2651" t="inlineStr">
        <is>
          <t>I’m in AZ and tested positive last week. No clue where I got it but unfortunately think I passed it to my sister before I showed symptoms.
Symptoms:
Lungs have no problems
Cant smell (but I can taste!)
Fever for the first 3 days
Aches, Chills, etc with fever
Extreme fatigue, sleeping 12+ hours per day
MAJOR HEADACHES
omg, the headaches are so terrible and nothing takes the edge off. I haven’t heard much about headaches being a symptom but my head and eyes feel like a glitchy computer. Has anyone else had this symptom? How long did you suffer from it????</t>
        </is>
      </c>
      <c r="D2651" t="n">
        <v>1</v>
      </c>
      <c r="E2651" t="n">
        <v>24</v>
      </c>
      <c r="F2651">
        <f>HYPERLINK("https://www.reddit.com/r/COVID19positive/comments/hlh4bg/major_symptom_headache/")</f>
        <v/>
      </c>
      <c r="G2651" t="inlineStr">
        <is>
          <t>2020-07-04 22:04:11</t>
        </is>
      </c>
      <c r="H2651" t="inlineStr">
        <is>
          <t>Tested Positive - Me</t>
        </is>
      </c>
    </row>
    <row r="2652">
      <c r="A2652" t="inlineStr">
        <is>
          <t>hlh6fb</t>
        </is>
      </c>
      <c r="B2652" t="inlineStr">
        <is>
          <t>My father is in the hospital and has been on a ventilator for 4 days now. I'm in desperate need of some real life recovery stories- no sugarcoating necessary.</t>
        </is>
      </c>
      <c r="C2652" t="inlineStr">
        <is>
          <t>My father, age 66 whose in Texas, did everything "right". I.e. mask, distancing, hand washing. He still got it. He was immediately admitted into ICU considering his age. He was on Bipap from Sunday through Thursday- because his oxygen wa low and heartbeats too fast they put him on a ventilator, he's going on day 4. He did fine for a day- now he's in fragile, critical condition- though stable (whatever means with this illness). 
Has anyone experienced this personally, or have any family/friends experience this?
I'm terrified- but realistically hopeful. It would just really help me out right now to hear some positive/hail mary comeback stories. Thank you.</t>
        </is>
      </c>
      <c r="D2652" t="n">
        <v>1</v>
      </c>
      <c r="E2652" t="n">
        <v>166</v>
      </c>
      <c r="F2652">
        <f>HYPERLINK("https://www.reddit.com/r/COVID19positive/comments/hlh6fb/my_father_is_in_the_hospital_and_has_been_on_a/")</f>
        <v/>
      </c>
      <c r="G2652" t="inlineStr">
        <is>
          <t>2020-07-04 22:09:20</t>
        </is>
      </c>
      <c r="H2652" t="inlineStr">
        <is>
          <t>Tested Positive - Family</t>
        </is>
      </c>
    </row>
    <row r="2653">
      <c r="A2653" t="inlineStr">
        <is>
          <t>hlhh3w</t>
        </is>
      </c>
      <c r="B2653" t="inlineStr">
        <is>
          <t>Covid positive symptoms are only cough ND fever</t>
        </is>
      </c>
      <c r="C2653" t="inlineStr">
        <is>
          <t>I've been sick a total of 8 days now I just barely received my positive results but I was already sure I had it.
I've had low grade fever and the worst is this wheezing persistent cough other than that I feel fine my energy is good I don't feel like crap this cough is just debilitating. I have cough attacks here and there mostly at night and when I wake up. Has anyone else had similar symptoms and how long before you started feeling better. Thanks in advance!</t>
        </is>
      </c>
      <c r="D2653" t="n">
        <v>1</v>
      </c>
      <c r="E2653" t="n">
        <v>8</v>
      </c>
      <c r="F2653">
        <f>HYPERLINK("https://www.reddit.com/r/COVID19positive/comments/hlhh3w/covid_positive_symptoms_are_only_cough_nd_fever/")</f>
        <v/>
      </c>
      <c r="G2653" t="inlineStr">
        <is>
          <t>2020-07-04 22:36:52</t>
        </is>
      </c>
      <c r="H2653" t="inlineStr">
        <is>
          <t>Tested Positive - Me</t>
        </is>
      </c>
    </row>
    <row r="2654">
      <c r="A2654" t="inlineStr">
        <is>
          <t>hli1wk</t>
        </is>
      </c>
      <c r="B2654" t="inlineStr">
        <is>
          <t>Random Smells while Recovering</t>
        </is>
      </c>
      <c r="C2654" t="inlineStr">
        <is>
          <t>It’s been about 1.5 weeks since my first symptoms and I’ve been feeling good for the last 4ish days.
My smell and taste have seemed to come back...
But now randomly it’ll feel like my sinuses will get super clear and I’ll smell some god awful smell for like 2-3 seconds (as well as be really cold in my nose) and then it goes away. It usually happens when I get up from laying down. It’s happened the last 2 days around the time I go to bed. I still have some green fungi or bacteria on my tongue that seems to be clearing up more each day, so I’m thinking that I’m smelling my own breath. Hope it’s not something else like a lung going bad or something, cause I’ve been feeling better each day but worried that even though I don’t feel any pain that something bad is going on without me know and I’ll get hit with something gnarly. Probably me just stressing out but still.
Anybody else having these weird random smell outbursts?</t>
        </is>
      </c>
      <c r="D2654" t="n">
        <v>1</v>
      </c>
      <c r="E2654" t="n">
        <v>9</v>
      </c>
      <c r="F2654">
        <f>HYPERLINK("https://www.reddit.com/r/COVID19positive/comments/hli1wk/random_smells_while_recovering/")</f>
        <v/>
      </c>
      <c r="G2654" t="inlineStr">
        <is>
          <t>2020-07-04 23:31:11</t>
        </is>
      </c>
      <c r="H2654" t="inlineStr">
        <is>
          <t>Tested Positive - Me</t>
        </is>
      </c>
    </row>
    <row r="2655">
      <c r="A2655" t="inlineStr">
        <is>
          <t>hlixgi</t>
        </is>
      </c>
      <c r="B2655" t="inlineStr">
        <is>
          <t>My early experience as a COVID+ teen</t>
        </is>
      </c>
      <c r="C2655" t="inlineStr">
        <is>
          <t>I thought I'd leave this here for others my age to read, or maybe concerned parents.
I am 19F, weigh 115 lbs, and have a weak immune system. I take heavy daily doses of vitamins C, B12, and iron for anemia. I mostly stay home, but went to the mall one single time for 20 minutes with the BF and his mom to get shoes. I suspect this is where I caught it, because both he and his mom tested positive as well.
The virus feels so normal at first. To me, it was like a baby flu. Muscle aches, headaches, chilly. I get it often, big deal.
Then it got even worse. My eyes started to hurt when I blink. Constant dry cough, and now today my nose has started to bleed. Breathing is kinda hard. I'm afraid of how long I'll be sick and how much worse I'll grow over time. It's only been a week.
But please, do encourage your family and friends- even those who think they have strong immune systems- to stay home as much as possible. I was one of those who thought, "I won't catch it, it'll happen to somebody else." But it's always possible, and it's very very likely now.
Thank you for reading (: Best luck with recovery, all!</t>
        </is>
      </c>
      <c r="D2655" t="n">
        <v>1</v>
      </c>
      <c r="E2655" t="n">
        <v>10</v>
      </c>
      <c r="F2655">
        <f>HYPERLINK("https://www.reddit.com/r/COVID19positive/comments/hlixgi/my_early_experience_as_a_covid_teen/")</f>
        <v/>
      </c>
      <c r="G2655" t="inlineStr">
        <is>
          <t>2020-07-05 00:56:57</t>
        </is>
      </c>
      <c r="H2655" t="inlineStr">
        <is>
          <t>Tested Positive</t>
        </is>
      </c>
    </row>
    <row r="2656">
      <c r="A2656" t="inlineStr">
        <is>
          <t>hljja5</t>
        </is>
      </c>
      <c r="B2656" t="inlineStr">
        <is>
          <t>Throbbing pain in arm as a symptom.</t>
        </is>
      </c>
      <c r="C2656" t="inlineStr">
        <is>
          <t>I am on track to recovery now but I just remembered one of the symptoms I had was my entire arm felt like a pressure build up, it felt like it was going to explode. Combined with a horrible pins and needles feeling. I’m on track to recovery but thought I’d put it out there if other people experienced something similar?</t>
        </is>
      </c>
      <c r="D2656" t="n">
        <v>1</v>
      </c>
      <c r="E2656" t="n">
        <v>10</v>
      </c>
      <c r="F2656">
        <f>HYPERLINK("https://www.reddit.com/r/COVID19positive/comments/hljja5/throbbing_pain_in_arm_as_a_symptom/")</f>
        <v/>
      </c>
      <c r="G2656" t="inlineStr">
        <is>
          <t>2020-07-05 01:57:53</t>
        </is>
      </c>
      <c r="H2656" t="inlineStr">
        <is>
          <t>Presumed Positive - From Doctor</t>
        </is>
      </c>
    </row>
    <row r="2657">
      <c r="A2657" t="inlineStr">
        <is>
          <t>hljkc8</t>
        </is>
      </c>
      <c r="B2657" t="inlineStr">
        <is>
          <t>I had alcohol</t>
        </is>
      </c>
      <c r="C2657" t="inlineStr">
        <is>
          <t>I had alcohol tonight and now I can’t smell or taste again ? I want to cry.</t>
        </is>
      </c>
      <c r="D2657" t="n">
        <v>1</v>
      </c>
      <c r="E2657" t="n">
        <v>10</v>
      </c>
      <c r="F2657">
        <f>HYPERLINK("https://www.reddit.com/r/COVID19positive/comments/hljkc8/i_had_alcohol/")</f>
        <v/>
      </c>
      <c r="G2657" t="inlineStr">
        <is>
          <t>2020-07-05 02:00:39</t>
        </is>
      </c>
      <c r="H2657" t="inlineStr">
        <is>
          <t>Tested Positive - Me</t>
        </is>
      </c>
    </row>
    <row r="2658">
      <c r="A2658" t="inlineStr">
        <is>
          <t>hljvb4</t>
        </is>
      </c>
      <c r="B2658" t="inlineStr">
        <is>
          <t>symptoms returning</t>
        </is>
      </c>
      <c r="C2658" t="inlineStr">
        <is>
          <t>I had the symptom of lost of smell and taste for 11 days. I was able to drink and smell for a week. I drank Alcohol today and I suddenly can’t taste or smell again. Why !!!!</t>
        </is>
      </c>
      <c r="D2658" t="n">
        <v>1</v>
      </c>
      <c r="E2658" t="n">
        <v>19</v>
      </c>
      <c r="F2658">
        <f>HYPERLINK("https://www.reddit.com/r/COVID19positive/comments/hljvb4/symptoms_returning/")</f>
        <v/>
      </c>
      <c r="G2658" t="inlineStr">
        <is>
          <t>2020-07-05 02:30:03</t>
        </is>
      </c>
      <c r="H2658" t="inlineStr">
        <is>
          <t>Tested Positive - Me</t>
        </is>
      </c>
    </row>
    <row r="2659">
      <c r="A2659" t="inlineStr">
        <is>
          <t>hlkcs8</t>
        </is>
      </c>
      <c r="B2659" t="inlineStr">
        <is>
          <t>I can't tell if it's coming or going</t>
        </is>
      </c>
      <c r="C2659" t="inlineStr">
        <is>
          <t>So two weeks ago our son's ABA therapist tested positive for Covid-19. We decided to stay in for two weeks just to be safe. 
About a week and half later he was having some stomach issues so we called his doctor and she set up a test for last Thursday. I didn't think he had Covid until I woke up that day and wasn't feeling great. He took the test and it came back positive. 
He is a messy toddler so I figured it was safe to assume we have it. 
My wife has been asymptomatic if she has it (being in the same house with us, would it be possible that she didn't?)
I am now having symptoms about two weeks from when my son most likely got exposed. I have no sense of smell, I have a lot of body aches, mostly my legs and lower back, but they come and go. I have got close to a fever, but never a fever. I have a lot of fatigue and slight headaches. 
I just woke up to my 4th day of symptoms. Should I expect this to get worse? If it's a mild case, how long can I expect this to last?</t>
        </is>
      </c>
      <c r="D2659" t="n">
        <v>1</v>
      </c>
      <c r="E2659" t="n">
        <v>6</v>
      </c>
      <c r="F2659">
        <f>HYPERLINK("https://www.reddit.com/r/COVID19positive/comments/hlkcs8/i_cant_tell_if_its_coming_or_going/")</f>
        <v/>
      </c>
      <c r="G2659" t="inlineStr">
        <is>
          <t>2020-07-05 03:16:39</t>
        </is>
      </c>
      <c r="H2659" t="inlineStr">
        <is>
          <t>Presumed Positive - From Doctor</t>
        </is>
      </c>
    </row>
    <row r="2660">
      <c r="A2660" t="inlineStr">
        <is>
          <t>hlklba</t>
        </is>
      </c>
      <c r="B2660" t="inlineStr">
        <is>
          <t>Well now what???</t>
        </is>
      </c>
      <c r="C2660" t="inlineStr">
        <is>
          <t>Let me just start off by saying, when this whole COVID-19 started I didn’t think much of it. I see the news making a big deal out of it and I would tell myself “Ahhhh whatever this shit will go away soon.” When a friend contracted the disease I was like “Hmmmmm he’ll be alright” when 4 of my coworkers tested positive I was like “They are so lucky they are getting time off.” I honestly didn’t care/think much of the virus, and although I always used a mask to protect myself from a “devastating disease” I honestly didn’t wash my hands much because I just honestly didn’t see myself ever contracting anything. Then it happened, last Friday I felt a little tired, more than usual after work but didn’t think much of it. I went to my parents house to pick up my baby girl, but ended up spending the night because I was too exhausted. I woke up the next day for work and still felt tired but better than the previous day. I went into work that Friday with really no issues, just feeling fatigue but not enough for me to take notice (my co worker even made a joke about me having the virus, that’s how minimal the feeling was) Monday comes along and I developed a minor headache, I notice my nose is mildly congested, and I begin to clear my throat a couple of times during the day because I had mucus in my throat (beyond light mucus). Aside from that I was working at 1000% because I did not experience any fatigue on Monday. On Tuesday I woke up sore behind my neck, and my upper back. The headache was still persistent (didn’t get worse or better), and still had mild congestion in my nose. At that point I realized “Shitttt I could possibly have the virus” I was kind of in denial during my whole shift thinking about my symptoms. As if that wasn’t bad enough, I felt a sharp itchy pain on the inside of my palm that quickly went away. Then towards the end of my shift I felt a “faint” feeling as if I was going to pass out for a second. At that point I was convinced that there were too many weird symptoms/experiences that I couldn’t shrug it off as a coincidence. On my way home I left my mask on and I texted my girl and told her I’m almost sure I have the virus. She agreed as I had kept her up to date with my symptoms since the week before. That night I had mild diarrhea, and got a few itchy bumps on my arm and my back after I took a shower. When I woke up Wednesday, my right eye was kind of crusty and itchy, my headache still remained, I felt beyond exhausted, I noticed a mild sharp pain on the side of my left chest, and my left big toe was semi swollen. I feel a little shaky. I have also been seeing movement in the room when I know there hasn’t been. (black spots moving) Although I haven’t gotten a fever or lost my sense of smell and taste I could definitely see why people are doing everything possible to avoid this shit. I want this shit to be over with already. I’ll keep y’all updated</t>
        </is>
      </c>
      <c r="D2660" t="n">
        <v>1</v>
      </c>
      <c r="E2660" t="n">
        <v>7</v>
      </c>
      <c r="F2660">
        <f>HYPERLINK("https://www.reddit.com/r/COVID19positive/comments/hlklba/well_now_what/")</f>
        <v/>
      </c>
      <c r="G2660" t="inlineStr">
        <is>
          <t>2020-07-05 03:39:17</t>
        </is>
      </c>
      <c r="H2660" t="inlineStr">
        <is>
          <t>Tested Positive - Me</t>
        </is>
      </c>
    </row>
    <row r="2661">
      <c r="A2661" t="inlineStr">
        <is>
          <t>hlm2lr</t>
        </is>
      </c>
      <c r="B2661" t="inlineStr">
        <is>
          <t>Day 13</t>
        </is>
      </c>
      <c r="C2661" t="inlineStr">
        <is>
          <t>Still waiting for my test results from 8 days ago at CVS.  I'm located in the Tampa Bay Area &amp;amp; we've been slammed with people testing this last week.
Mom is positive &amp;amp; I definitely had/have Covid</t>
        </is>
      </c>
      <c r="D2661" t="n">
        <v>1</v>
      </c>
      <c r="E2661" t="n">
        <v>6</v>
      </c>
      <c r="F2661">
        <f>HYPERLINK("https://www.reddit.com/r/COVID19positive/comments/hlm2lr/day_13/")</f>
        <v/>
      </c>
      <c r="G2661" t="inlineStr">
        <is>
          <t>2020-07-05 05:46:41</t>
        </is>
      </c>
      <c r="H2661" t="inlineStr">
        <is>
          <t>Presumed Positive - From Test</t>
        </is>
      </c>
    </row>
    <row r="2662">
      <c r="A2662" t="inlineStr">
        <is>
          <t>hlm61j</t>
        </is>
      </c>
      <c r="B2662" t="inlineStr">
        <is>
          <t>When does the high fever go away?</t>
        </is>
      </c>
      <c r="C2662" t="inlineStr">
        <is>
          <t>I’m a presumed case getting tested Tuesday which my doctor has ordered for me.  I’ve had a high fever or what I would call high fever most of the six days I’ve had this.  It never fails right before the Tylenol is about to wear off my temp is anywhere from 102.3 to 103.2.  Does it ever go away?  I feel like I’m dying.  For the six hours I’m on Tylenol, it will hover between 99 and 101.</t>
        </is>
      </c>
      <c r="D2662" t="n">
        <v>1</v>
      </c>
      <c r="E2662" t="n">
        <v>12</v>
      </c>
      <c r="F2662">
        <f>HYPERLINK("https://www.reddit.com/r/COVID19positive/comments/hlm61j/when_does_the_high_fever_go_away/")</f>
        <v/>
      </c>
      <c r="G2662" t="inlineStr">
        <is>
          <t>2020-07-05 05:54:08</t>
        </is>
      </c>
      <c r="H2662" t="inlineStr">
        <is>
          <t>Presumed Positive - From Doctor</t>
        </is>
      </c>
    </row>
    <row r="2663">
      <c r="A2663" t="inlineStr">
        <is>
          <t>hlnuno</t>
        </is>
      </c>
      <c r="B2663" t="inlineStr">
        <is>
          <t>Be careful going to the dr's people!, long haulers especially</t>
        </is>
      </c>
      <c r="C2663" t="inlineStr">
        <is>
          <t>Ive been battling this thing for 8 weeks at home, as the number of cases have dropped significantly in the uk and safety measures have been put in place i decided to go get some bloodwork at the doctors office, literally the next day i developed nose, throat and eyes stinging, felt like the beginning all over again, i can feel the breathlessness coming on again. If youre a long hauler stay at home its where youre safest.</t>
        </is>
      </c>
      <c r="D2663" t="n">
        <v>0</v>
      </c>
      <c r="E2663" t="n">
        <v>8</v>
      </c>
      <c r="F2663">
        <f>HYPERLINK("https://www.reddit.com/r/COVID19positive/comments/hlnuno/be_careful_going_to_the_drs_people_long_haulers/")</f>
        <v/>
      </c>
      <c r="G2663" t="inlineStr">
        <is>
          <t>2020-07-05 07:51:54</t>
        </is>
      </c>
      <c r="H2663" t="inlineStr">
        <is>
          <t>Tested Positive</t>
        </is>
      </c>
    </row>
    <row r="2664">
      <c r="A2664" t="inlineStr">
        <is>
          <t>hlol0v</t>
        </is>
      </c>
      <c r="B2664" t="inlineStr">
        <is>
          <t>Uncle and Cousin Were Positive months After Having been Sick</t>
        </is>
      </c>
      <c r="C2664" t="inlineStr">
        <is>
          <t>March. Entire family was sick. I, being 18, got a mild headache, nausea, and lost my sense of taste for a week. Mom and dad had body pains and recurring fever. My uncle was hit the worst. Horrible, horrible coughing fits and fever. It was not until June that we were able to get tested. We all came back with antibodies, but my cousin and my uncle came back positive for the virus itself as well. My cousin was asymptomatic and I'm not sure on my uncle's condition during the time, but I'm pretty sure he was asymptomatic as well. This means one of a few things:
1. We *just happened* to be sick with something else at the time that covid hit Elmhurst (NYC) really hard and then somehow we were all asymptomatic and they had just gotten it for the first time.
2. Or, tests were faulty.
3. Or, they had the virus and contracted it again—only a couple months after having had it the first time.
4. Or something else I haven't thought of, if u have input lmk</t>
        </is>
      </c>
      <c r="D2664" t="n">
        <v>2</v>
      </c>
      <c r="E2664" t="n">
        <v>6</v>
      </c>
      <c r="F2664">
        <f>HYPERLINK("https://www.reddit.com/r/COVID19positive/comments/hlol0v/uncle_and_cousin_were_positive_months_after/")</f>
        <v/>
      </c>
      <c r="G2664" t="inlineStr">
        <is>
          <t>2020-07-05 08:37:31</t>
        </is>
      </c>
      <c r="H2664" t="inlineStr">
        <is>
          <t>Tested Positive - Family</t>
        </is>
      </c>
    </row>
    <row r="2665">
      <c r="A2665" t="inlineStr">
        <is>
          <t>hloobc</t>
        </is>
      </c>
      <c r="B2665" t="inlineStr">
        <is>
          <t>I hate to join this club</t>
        </is>
      </c>
      <c r="C2665" t="inlineStr">
        <is>
          <t>I just found out I'm positive. 40F, southeast US. I have several underlying conditions, including Crohn's which I take immune suppressants for, very mild COPD, obesity, chronic bronchitis, and some unrelated crap. I started feeling sick 4 days ago. I thought it was a cold, no fever. The next day, my ear started hurting. I waited another day, then went to urgent care due to ear pain. I have an acute middle ear infection. The doctor wanted to test me for COVID. I said, "Is that really necessary??" He said it was, so I relented. I asked that they also go ahead and test my husband since he was there. They said results in up to 72 hours.
My test came back just now, 20 hours later. His test has not come back yet. He feels a little sick and did have a fever 3 days ago for a couple hours that went away. My main symptoms are congestion, ear pain, loss of appetite. 
If anyone has any advice for me, I'd appreciate it. We have two teenagers who stay in their rooms 23.5 hours a day anyway, so we've told them to only come out to use the bathroom and wash their hands really well. Will this definitely get worse, or could this be the worst of it? Are there 'mild' cases?? I'm so scared and in shock right now.</t>
        </is>
      </c>
      <c r="D2665" t="n">
        <v>3</v>
      </c>
      <c r="E2665" t="n">
        <v>26</v>
      </c>
      <c r="F2665">
        <f>HYPERLINK("https://www.reddit.com/r/COVID19positive/comments/hloobc/i_hate_to_join_this_club/")</f>
        <v/>
      </c>
      <c r="G2665" t="inlineStr">
        <is>
          <t>2020-07-05 08:43:13</t>
        </is>
      </c>
      <c r="H2665" t="inlineStr">
        <is>
          <t>Tested Positive - Me</t>
        </is>
      </c>
    </row>
    <row r="2666">
      <c r="A2666" t="inlineStr">
        <is>
          <t>hlp2fr</t>
        </is>
      </c>
      <c r="B2666" t="inlineStr">
        <is>
          <t>Need suggestions please</t>
        </is>
      </c>
      <c r="C2666" t="inlineStr">
        <is>
          <t>Hey guys! I’m 23 years old, F. I got Covid in May and have been dealing with just a few lingering symptoms like muscle aches and joint pains, and a tingling sensation all over my body.. sometimes I get little muscle twitches. I am wondering if anyone else has experienced this and what you guys have done to manage it? Thanks so much</t>
        </is>
      </c>
      <c r="D2666" t="n">
        <v>2</v>
      </c>
      <c r="E2666" t="n">
        <v>3</v>
      </c>
      <c r="F2666">
        <f>HYPERLINK("https://www.reddit.com/r/COVID19positive/comments/hlp2fr/need_suggestions_please/")</f>
        <v/>
      </c>
      <c r="G2666" t="inlineStr">
        <is>
          <t>2020-07-05 09:07:21</t>
        </is>
      </c>
      <c r="H2666" t="inlineStr">
        <is>
          <t>Presumed Positive - From Doctor</t>
        </is>
      </c>
    </row>
    <row r="2667">
      <c r="A2667" t="inlineStr">
        <is>
          <t>hlp743</t>
        </is>
      </c>
      <c r="B2667" t="inlineStr">
        <is>
          <t>Tested Positive, but so far have been completely asymptomatic. Am I in the clear yet?</t>
        </is>
      </c>
      <c r="C2667" t="inlineStr">
        <is>
          <t>My brother started feeling sick a few days after Father’s Day and got tested. He found out he was positive on June 27th. My mom and I got tested on June 29th after finding out he was positive since we both last saw him on Father’s Day. Her test came back negative, but mine came back positive. 
It’s entirely possible she had a false negative test, but she’s in her late 60’s and is considered pre-diabetic, and she hasn’t had a single symptom so far. 
I also haven’t had any symptoms despite my positive test. With the potential date of infection being 14 days ago, do you think I’m in the clear from future symptoms? 
I’m currently isolating in my apartment. I feel the way I’ve always felt, I have no breathing issues, I don’t feel any chest pain or heaviness, I can taste and smell everything. I’m just wondering if I’m able to say I will be completely asymptomatic or if it’s still possible to develop something?
Also, because I’ve been asymptomatic so far, I already scheduled another test for tomorrow and will also have one on Tuesday to see if I get back to back negative results.</t>
        </is>
      </c>
      <c r="D2667" t="n">
        <v>3</v>
      </c>
      <c r="E2667" t="n">
        <v>9</v>
      </c>
      <c r="F2667">
        <f>HYPERLINK("https://www.reddit.com/r/COVID19positive/comments/hlp743/tested_positive_but_so_far_have_been_completely/")</f>
        <v/>
      </c>
      <c r="G2667" t="inlineStr">
        <is>
          <t>2020-07-05 09:15:22</t>
        </is>
      </c>
      <c r="H2667" t="inlineStr">
        <is>
          <t>Tested Positive - Me</t>
        </is>
      </c>
    </row>
    <row r="2668">
      <c r="A2668" t="inlineStr">
        <is>
          <t>hlpzgh</t>
        </is>
      </c>
      <c r="B2668" t="inlineStr">
        <is>
          <t>Positive at 35 weeks pregnant</t>
        </is>
      </c>
      <c r="C2668" t="inlineStr">
        <is>
          <t>6/25 - My nose started draining and I didn't think much of it since I've had horrible congestion this entire pregnancy
6/26 - Went to the ER for horrible heartburn (I had no idea it could get that painful!) My temperature was slightly elevated compared to my normal temperature, but no one seemed concerned
6/27 - Very very low grade fever all day, along with chills, and feeling "off" but not being able to describe it. The highest my temp got was 99.7. 
6/28 - Woke up feeling like I had been hit by a bus, absolutely no energy. SO and kiddo stayed at my parents house all day working on my car while I slept most of the time. At this point, I figured I had some sort of bug. I hadn't been in direct contact with anyone who was positive as far as I knew, but I figured getting tested wouldn't be a bad idea just be to safe. Urgicare doctor even agreed that it was most likely a regular bug.
6/29 - 7/2 - Spent a good portion of the days sleeping. I have never felt so drained in my life, but this pregnancy has been so different from my last one that I thought it was pregnancy related. Very very low grade fever continued, nose alternated between draining and stuffed up, headaches on and off, sore throat, and a feeling of off that I just can't describe. I also started feeling light headed and dizzy whenever I would stand for more than 5 or so minutes at a time and developed a cough that racks my body.
7/2 - I got the call that I had tested positive and sent my husband and kiddo to urgicare to get tested asap. That evening I noticed I had lost my sense of smell, but not taste. 
7/3 - Spent the day pretty the same as the last few. Nausea and upset stomach started. That could be pregnancy related since I'm close to the end, but who knows.
7/4 - Got the call that my husband, who is immunocompromised, is positive and kiddo is negative. SO started experiencing similar symptoms on 7/1, but opted to wait to get tested until my results came in. I had a burst of energy and was able to get some cleaning done. 
7/5 - So far I have been awake more than asleep today, but I still feel like garbage. 
Since it has been one week since my initial test, I have to go back to have a second one done today. I also can't go to my OB appointment that had been scheduled for Tuesday and I'm worried that the baby will come while we are still in quarantine and SO won't be able to be with me. I found out through office gossip that one of my co workers was not feeling good when we worked together and she didn't say anything to me. I found out that she called off work 6/25 and 6/26 and got tested during that time frame. She didn't tell anyone until after I got tested that her brother in law had tested positive and she still felt it was ok to come to work after experiencing symptoms herself. We work in the medical field and go between two offices, meaning she exposed countless patients and the entire staff. The carelessness of some people absolutely blows my mind. Stay safe out there everyone!</t>
        </is>
      </c>
      <c r="D2668" t="n">
        <v>10</v>
      </c>
      <c r="E2668" t="n">
        <v>15</v>
      </c>
      <c r="F2668">
        <f>HYPERLINK("https://www.reddit.com/r/COVID19positive/comments/hlpzgh/positive_at_35_weeks_pregnant/")</f>
        <v/>
      </c>
      <c r="G2668" t="inlineStr">
        <is>
          <t>2020-07-05 10:02:22</t>
        </is>
      </c>
      <c r="H2668" t="inlineStr">
        <is>
          <t>Tested Positive</t>
        </is>
      </c>
    </row>
    <row r="2669">
      <c r="A2669" t="inlineStr">
        <is>
          <t>hlq5im</t>
        </is>
      </c>
      <c r="B2669" t="inlineStr">
        <is>
          <t>Recovered (mostly) from COVID &amp;amp; Working</t>
        </is>
      </c>
      <c r="C2669" t="inlineStr">
        <is>
          <t>Hi everyone, I had covid at the beginning of May and thought I made a full recovery by the end of May. Since then I’ve had symptoms that come back when I overexerted myself. I’m still working from home and will be working long hours (maybe 60-80 hr weeks). Has anyone experienced a relapse after going back and working normal hours? What were your experiences?</t>
        </is>
      </c>
      <c r="D2669" t="n">
        <v>2</v>
      </c>
      <c r="E2669" t="n">
        <v>2</v>
      </c>
      <c r="F2669">
        <f>HYPERLINK("https://www.reddit.com/r/COVID19positive/comments/hlq5im/recovered_mostly_from_covid_working/")</f>
        <v/>
      </c>
      <c r="G2669" t="inlineStr">
        <is>
          <t>2020-07-05 10:11:51</t>
        </is>
      </c>
      <c r="H2669" t="inlineStr">
        <is>
          <t>Tested Positive</t>
        </is>
      </c>
    </row>
    <row r="2670">
      <c r="A2670" t="inlineStr">
        <is>
          <t>hlq8ao</t>
        </is>
      </c>
      <c r="B2670" t="inlineStr">
        <is>
          <t>damn i hate my life</t>
        </is>
      </c>
      <c r="C2670" t="inlineStr">
        <is>
          <t>I am 19F working in the restaurant industry. i went and got tested with a close co-worker and her family because there was a scare at my restaurant where we were shut down for 3 days due to deep cleaning. I just got my results back today, all of theirs turned up negative but mine is positive! i’m just not sure how this could happen, i was relatively safe. going no where except work and home, always wearing a mask, always using hand sanitizer. i’m very upset about this because my parents who i live with are much older and have been going nuts over corona this entire time! how is it possible people i’m close to all got negatives and i a positive?? freaks me out...
Edit: i have no symptoms and haven’t felt sick this entire year. i know i could be asymptotic but it feels strange that if i’m positive people i’m closest to aren’t.... any such thing as a false positive?</t>
        </is>
      </c>
      <c r="D2670" t="n">
        <v>2</v>
      </c>
      <c r="E2670" t="n">
        <v>15</v>
      </c>
      <c r="F2670">
        <f>HYPERLINK("https://www.reddit.com/r/COVID19positive/comments/hlq8ao/damn_i_hate_my_life/")</f>
        <v/>
      </c>
      <c r="G2670" t="inlineStr">
        <is>
          <t>2020-07-05 10:16:22</t>
        </is>
      </c>
      <c r="H2670" t="inlineStr">
        <is>
          <t>Tested Positive</t>
        </is>
      </c>
    </row>
    <row r="2671">
      <c r="A2671" t="inlineStr">
        <is>
          <t>hlr1rc</t>
        </is>
      </c>
      <c r="B2671" t="inlineStr">
        <is>
          <t>New symptoms after 2 weeks?</t>
        </is>
      </c>
      <c r="C2671" t="inlineStr">
        <is>
          <t>Tested positive 3 weeks ago after two days of mild symptoms, chills/sweats, diahrea, stuffy nose/drip Never had SOB or sore throat/lungs. felt totally fine for 2 weeks after, now having the diarrhea and nose symptoms again  as well as:
New symptoms: completely lost appetite, no nausea, so just force self to eat and it feels fine, just dont have that urge to eat. Every morning for first few hours breathing isn't short, pulse ox ok, but breathing causes mild pain in throat and lungs. Goes away after shower etc.
Main question does this sound like Corona wave two and/or should i goto doctor again? I caught first time at doctors office so feel a little gun-shy.</t>
        </is>
      </c>
      <c r="D2671" t="n">
        <v>1</v>
      </c>
      <c r="E2671" t="n">
        <v>1</v>
      </c>
      <c r="F2671">
        <f>HYPERLINK("https://www.reddit.com/r/COVID19positive/comments/hlr1rc/new_symptoms_after_2_weeks/")</f>
        <v/>
      </c>
      <c r="G2671" t="inlineStr">
        <is>
          <t>2020-07-05 11:03:03</t>
        </is>
      </c>
      <c r="H2671" t="inlineStr">
        <is>
          <t>Tested Positive - Me</t>
        </is>
      </c>
    </row>
    <row r="2672">
      <c r="A2672" t="inlineStr">
        <is>
          <t>hlr2ke</t>
        </is>
      </c>
      <c r="B2672" t="inlineStr">
        <is>
          <t>24. Female. Hypothyroidism. Slightly overweight. Otherwise healthy.</t>
        </is>
      </c>
      <c r="C2672" t="inlineStr">
        <is>
          <t xml:space="preserve">
Basically I’m terrified and just want to know how y’all got through the heavy chest and difficult breathing feelings. And at what point is it time to go to the hospital if I need to go? I have health anxiety so this is absolutely terrifying for me and I’m just looking for some comfort getting through this.</t>
        </is>
      </c>
      <c r="D2672" t="n">
        <v>1</v>
      </c>
      <c r="E2672" t="n">
        <v>3</v>
      </c>
      <c r="F2672">
        <f>HYPERLINK("https://www.reddit.com/r/COVID19positive/comments/hlr2ke/24_female_hypothyroidism_slightly_overweight/")</f>
        <v/>
      </c>
      <c r="G2672" t="inlineStr">
        <is>
          <t>2020-07-05 11:04:21</t>
        </is>
      </c>
      <c r="H2672" t="inlineStr">
        <is>
          <t>Presumed Positive - From Doctor</t>
        </is>
      </c>
    </row>
    <row r="2673">
      <c r="A2673" t="inlineStr">
        <is>
          <t>hlrbbq</t>
        </is>
      </c>
      <c r="B2673" t="inlineStr">
        <is>
          <t>Cognitive Issues - Cause for concern?</t>
        </is>
      </c>
      <c r="C2673" t="inlineStr">
        <is>
          <t>29 year old male here, first symptoms came on a week ago around the same time my gf tested positive. Experienced the usual aches/fevers, seemed like no big deal. However over the past few days I've begun to feel less and less like myself. I'm unable to concentrate and am struggling to get any studying done. It almost feels like I've taken a mild dissociative drug or something. 
Is anyone else feeling like this?</t>
        </is>
      </c>
      <c r="D2673" t="n">
        <v>3</v>
      </c>
      <c r="E2673" t="n">
        <v>8</v>
      </c>
      <c r="F2673">
        <f>HYPERLINK("https://www.reddit.com/r/COVID19positive/comments/hlrbbq/cognitive_issues_cause_for_concern/")</f>
        <v/>
      </c>
      <c r="G2673" t="inlineStr">
        <is>
          <t>2020-07-05 11:18:38</t>
        </is>
      </c>
      <c r="H2673" t="inlineStr">
        <is>
          <t>Tested Positive - Family</t>
        </is>
      </c>
    </row>
    <row r="2674">
      <c r="A2674" t="inlineStr">
        <is>
          <t>hlrzwz</t>
        </is>
      </c>
      <c r="B2674" t="inlineStr">
        <is>
          <t>WARNING TO ALL</t>
        </is>
      </c>
      <c r="C2674" t="inlineStr">
        <is>
          <t>Posted a few days ago and asked to repost. 
Everyone, 
Thursday I learned that if you wake up and your rings or watch suddenly feel tight or you have a hard time sliding them off. It’s likely you are suffering from inflammation and not weight gain. 
I have been sick since January from what doctors can tell. I have lost 27lbs from February to now. The strange thing is I would wake up feeling awful, heavy and in pain as if I had gained 10lbs overnight. I would check my scale and see I had actually lost weight. It didn’t make sense. I’m small as it is and my clothes felt uncomfortable and tight despite not having gained any weight. 
I believe the things that saved me were not consuming dairy as it causes both inflammation and phlegm, having an inhaler for what was thought to be asthma (it wasn’t), having been put on Vitamin D supplements by my Specialist as last year in March my levels were 23, I was working in the yard helping my husband and getting lots of sun, and since I consume no dairy my husband would have me drink Vitamin D fortified Orange Juice daily during some of my worst days. I also consume lots of fruit. 
It was explained to me that Vitamin D helps to regulate the immune system thus regulating the inflammatory response. 
“Recent work has revealed that 1,25(OH)2D3 inhibited production of proinflammatory cytokines, including IFNγ, IL-17, and IL-21 in CD4+CD25− T lymphocytes, and promoted development of T-regulatory cells expressing cytotoxic T-lymphocyte antigen 4 and FOXP334 (Figure 2).”
Again it was explained that elderly and chronic disease are high risk because they share a commonality. Vitamin D deficiency. I guess the two populations are more likely to be sedentary which can result in not getting enough Vitamin D. Being a rare disease patient myself I found this to be quite true, which is why I had been put on supplements last year. 
Coincidentally I had also been put on stimulant medication to aid in the decrease of Executive Functioning due to permanent brain damage from my disease. ADHD/ADD, EFD and Narcolepsy. The stimulant medication had the added benefit of allowing me some mobility back and once that hit, I was able to walk and move about without my wheelchair and be more independent. I believe that increase it mobility helped with not only getting more sun, physical activity and being able to enjoy being outdoors but stimulants also act a moderate bronchodilator so I could actually breathe easier as well. It kept me upright rather than laying down all the time. 
I had to increase fluid intake as they stimulants can be dehydrating and in addition I had to increase electrolytes as they can also cause you to sweat. It’s anecdotal but I feel that sweating in the yard, increased fluid while outside and then immediate hot showers from feeling gross helped my body purge the virus faster than if I had been stuck in bed. 
Now I am just left with residual effects and inflammation. I just got diagnosed with horrific chest pain that we thought was a heart attack. It’s actually Costocondritis, an inflammation of the chest wall, often caused by virus or infection. 
I am not a doctor, just a patient who is believed to have contracted this in January due to several unexplained evidential findings that do in fact line up with symptoms currently being reported. I’ve been told antibody tests 5+ months out from contracting the virus are not reliable, so we’ll likely never have confirmation. I hope this information makes sense and can help even just one person. 
I also noticed when I was sick I could not sing. I come from a Blues Musician! I can sing again now! It’s a great lung exercise so I also recommend you guys sing even just alone or in a hot steamy shower. 
Be safe and stay healthy!</t>
        </is>
      </c>
      <c r="D2674" t="n">
        <v>2</v>
      </c>
      <c r="E2674" t="n">
        <v>4</v>
      </c>
      <c r="F2674">
        <f>HYPERLINK("https://www.reddit.com/r/COVID19positive/comments/hlrzwz/warning_to_all/")</f>
        <v/>
      </c>
      <c r="G2674" t="inlineStr">
        <is>
          <t>2020-07-05 11:57:36</t>
        </is>
      </c>
      <c r="H2674" t="inlineStr">
        <is>
          <t>Presumed Positive - From Doctor</t>
        </is>
      </c>
    </row>
    <row r="2675">
      <c r="A2675" t="inlineStr">
        <is>
          <t>hlsnt0</t>
        </is>
      </c>
      <c r="B2675" t="inlineStr">
        <is>
          <t>Oxygen level ( spo2) early days on</t>
        </is>
      </c>
      <c r="C2675" t="inlineStr">
        <is>
          <t>I’m early on in my covid battle ( positive 2 days ago ) . Shortness of breath and Sop2 of 95 . 
How about u ? What u do ?</t>
        </is>
      </c>
      <c r="D2675" t="n">
        <v>0</v>
      </c>
      <c r="E2675" t="n">
        <v>6</v>
      </c>
      <c r="F2675">
        <f>HYPERLINK("https://www.reddit.com/r/COVID19positive/comments/hlsnt0/oxygen_level_spo2_early_days_on/")</f>
        <v/>
      </c>
      <c r="G2675" t="inlineStr">
        <is>
          <t>2020-07-05 12:35:37</t>
        </is>
      </c>
      <c r="H2675" t="inlineStr">
        <is>
          <t>Tested Positive - Me</t>
        </is>
      </c>
    </row>
    <row r="2676">
      <c r="A2676" t="inlineStr">
        <is>
          <t>hltfzy</t>
        </is>
      </c>
      <c r="B2676" t="inlineStr">
        <is>
          <t>A time log of events</t>
        </is>
      </c>
      <c r="C2676" t="inlineStr">
        <is>
          <t>Began running fever yesterday at 12:00 after having been exposed to 2 positive co-workers.  Figured someone may find it interesting from the perspective of a type 1 diabetic.
Covid-19 Notes
Below are a series of notes, thoughts, and observations during my time with Covid-19.  I hope it can be of some use to, well, anyone.  
12:00- 99.8
1:30- 100.3
2:30- 100.7
4:30- 101.0
5:00-100.7
7:00- 100.8 Ibuprofen x 3
8:00- 99.6
8:45- 99.2
9:45- 98.8
12:30 - 100.7.  EXTREME shivering  to the point of being out of breathe - vomiting x 2 - diarrhea x 2, attempted ibuprofen x 8
1:50-103.2 but feel better
2:13- 102.7 - got out of bed, no more sleep tonight.
2:25 - 101.7 previous high temp likely due to Melissa helping me stay warm with her body heat, being wrapped in pajama bottoms, a hoodie, and 3 sheets.
2:37- diarrhea.  Smells different from “normal” diarrhea.  Somehow hot and angry as all hell.
3:00- 101.7
3:15- 101 - diarrhea.  Starting to feel cold.  Observed hands swelling, removed wedding ring. Ibuprofen x 4
4:15: 101.8 - slept an hour and woke up sweating.  Serious concerns over dehydration.
4:31- 101.3
5:01 -  100.3  lseem to be sleeping in 30 minute intervals. Still sweating.
5:45 - 99.5.  Stomach cramps been constant.
6:00 - ibuprofen x 4, Imodium x 2
7:00 - woke up to vomit and poop.  Imodium number 3.
8:00 - 102.3 woke up covered in sweat. Feel better atm.
8:40 - diarrhea and Imodium no 4
9:20 - 100.3 1000mg Tylenol
10:40 - 99.8
10:55 - 99.4
11:50 - 99.2
12:40 - 98.3. Feel better.  
1:00 - 99.3
2:45 - 99.4 1000mg Tylenol.  Feel like shit.  Chill starting to come back.  Drinking water causes stomach cramps.  Diarrhea won’t stop despite 6 Imodium.
2:55 - 99.9
3:30-100
4:00- 100.3. I’ve read nicotine helps combat the virus.  Using tobacco for first time today.  Not unpleasant, not enjoyable.  Drank approximately 1.5 gallons of water by this point, still pissing vinegar.</t>
        </is>
      </c>
      <c r="D2676" t="n">
        <v>2</v>
      </c>
      <c r="E2676" t="n">
        <v>8</v>
      </c>
      <c r="F2676">
        <f>HYPERLINK("https://www.reddit.com/r/COVID19positive/comments/hltfzy/a_time_log_of_events/")</f>
        <v/>
      </c>
      <c r="G2676" t="inlineStr">
        <is>
          <t>2020-07-05 13:20:13</t>
        </is>
      </c>
      <c r="H2676" t="inlineStr">
        <is>
          <t>Presumed Positive - From Doctor</t>
        </is>
      </c>
    </row>
    <row r="2677">
      <c r="A2677" t="inlineStr">
        <is>
          <t>hltmzt</t>
        </is>
      </c>
      <c r="B2677" t="inlineStr">
        <is>
          <t>I'm currently donating my plasma</t>
        </is>
      </c>
      <c r="C2677" t="inlineStr">
        <is>
          <t>As I'm writing this I'm sitting here donating my plasma.  I have a phobia of needles and seeing my own blood, which gave me some anxiety this morning, but to be honest this isn't bad at all.
To anyone that wants to donate in Arizona I'm at Vitalant in Phoenix and the process to make an appointment and to donate is quite easy.  I tried through the Red Cross, but found it difficult.
Being everything is going well I'll be back to donate as soon as I can, I just have to ask how long I need to wait between donations.</t>
        </is>
      </c>
      <c r="D2677" t="n">
        <v>9</v>
      </c>
      <c r="E2677" t="n">
        <v>5</v>
      </c>
      <c r="F2677">
        <f>HYPERLINK("https://www.reddit.com/r/COVID19positive/comments/hltmzt/im_currently_donating_my_plasma/")</f>
        <v/>
      </c>
      <c r="G2677" t="inlineStr">
        <is>
          <t>2020-07-05 13:31:28</t>
        </is>
      </c>
      <c r="H2677" t="inlineStr">
        <is>
          <t>Tested Positive - Me</t>
        </is>
      </c>
    </row>
    <row r="2678">
      <c r="A2678" t="inlineStr">
        <is>
          <t>hltqbk</t>
        </is>
      </c>
      <c r="B2678" t="inlineStr">
        <is>
          <t>On immunosuppressants and positive for COVID-19. Girlfriend and 2 month old most likely positive as well.</t>
        </is>
      </c>
      <c r="C2678" t="inlineStr">
        <is>
          <t>Before February 2020 I’ve always been healthy until I was diagnosed with CNS VASCULITIS. To manage the condition I’ve been on 2 immunosuppressants since then. Currently tapering down on prednisone taking 12.5mg daily. Was on 1000mg of cellcept a day but was told to stop taking that till the covid passes. I am 23 years old. We were exposed on the 20th by 2 people who were positive. I’ve been really paranoid about getting it since I’m on these medications and figured if I did get it it would be really bad. I didn’t get any symptoms till the June 26th. Today is July 5th and surprisingly all I’ve experienced so far is loss of taste and smell. My girlfriend didn’t start any symptoms till yesterday she came down with a sore throat and a fever. Our 2 month old isn’t showing any signs yet. She gets tested tomorrow. I’ve read that babies tend to do well I’m still worried though I don’t want her to go through anything bad.. has anybody had any experiences with covid and young babies?</t>
        </is>
      </c>
      <c r="D2678" t="n">
        <v>4</v>
      </c>
      <c r="E2678" t="n">
        <v>5</v>
      </c>
      <c r="F2678">
        <f>HYPERLINK("https://www.reddit.com/r/COVID19positive/comments/hltqbk/on_immunosuppressants_and_positive_for_covid19/")</f>
        <v/>
      </c>
      <c r="G2678" t="inlineStr">
        <is>
          <t>2020-07-05 13:36:59</t>
        </is>
      </c>
      <c r="H2678" t="inlineStr">
        <is>
          <t>Tested Positive</t>
        </is>
      </c>
    </row>
    <row r="2679">
      <c r="A2679" t="inlineStr">
        <is>
          <t>hlts53</t>
        </is>
      </c>
      <c r="B2679" t="inlineStr">
        <is>
          <t>Loss of taste and smell.</t>
        </is>
      </c>
      <c r="C2679" t="inlineStr">
        <is>
          <t>Hello all, my wife and I tested positive for covid about 2 weeks ago. We have had a long recovery, but thankfully we have recovered. She's 7 months pregnant and so that gave us a scare, but my question is, is that she still can't taste or smell anything yet and it's almost been 3 weeks. How long did it go away for yall? I got my taste and smell back after 4 days. Does anybody still not have theirs back?</t>
        </is>
      </c>
      <c r="D2679" t="n">
        <v>0</v>
      </c>
      <c r="E2679" t="n">
        <v>4</v>
      </c>
      <c r="F2679">
        <f>HYPERLINK("https://www.reddit.com/r/COVID19positive/comments/hlts53/loss_of_taste_and_smell/")</f>
        <v/>
      </c>
      <c r="G2679" t="inlineStr">
        <is>
          <t>2020-07-05 13:39:49</t>
        </is>
      </c>
      <c r="H2679" t="inlineStr">
        <is>
          <t>Tested Positive - Family</t>
        </is>
      </c>
    </row>
    <row r="2680">
      <c r="A2680" t="inlineStr">
        <is>
          <t>hlu19z</t>
        </is>
      </c>
      <c r="B2680" t="inlineStr">
        <is>
          <t>What was day 9-12 like for everyone?</t>
        </is>
      </c>
      <c r="C2680" t="inlineStr">
        <is>
          <t>I’m on day 9 today, and the last 4 days I’ve honestly felt pretty great, but today I’ve started getting shortness of breath and a bit of a tickle in my chest. I’ve had shortness of breath countless times before all of this due to my anxiety, so I can’t really differentiate between what’s causing it and wanted to see what everyone else’s experience was like</t>
        </is>
      </c>
      <c r="D2680" t="n">
        <v>2</v>
      </c>
      <c r="E2680" t="n">
        <v>10</v>
      </c>
      <c r="F2680">
        <f>HYPERLINK("https://www.reddit.com/r/COVID19positive/comments/hlu19z/what_was_day_912_like_for_everyone/")</f>
        <v/>
      </c>
      <c r="G2680" t="inlineStr">
        <is>
          <t>2020-07-05 13:54:43</t>
        </is>
      </c>
      <c r="H2680" t="inlineStr">
        <is>
          <t>Tested Positive - Me</t>
        </is>
      </c>
    </row>
    <row r="2681">
      <c r="A2681" t="inlineStr">
        <is>
          <t>hlu5if</t>
        </is>
      </c>
      <c r="B2681" t="inlineStr">
        <is>
          <t>Neurological symptoms</t>
        </is>
      </c>
      <c r="C2681" t="inlineStr">
        <is>
          <t>Awaiting test results but the doc says he is 99% sure I’ve got c19.
I’m wondering if anyone else is experiencing a cascade of neurological symptoms? My first being a near constant headache that I originally mistook for a migraine, being a long-time migraine with aura sufferer. I’ve had some mild upper respiratory/cough  and very low-grade fever, but by and large the worst has been the headache and now a very distinct nerve tingling in both legs.
For context, I have previous nerve damage from a horseback riding fall and subsequent surgery as well as a history of hemiplegic migraine and preeclampsia with both pregnancies, so I’m already at risk for neurological/vascular symptoms. I generally have nerve pain under control with gabapentin and high CBD/low THC vape oil, but this is now BOTH legs, and it’s more like a low buzzing feeling and painless twitching vs the actual pain I have experienced in the past.
Has anyone else had this? I feel like this virus is attacking every cell in my body and I HATE it so much.</t>
        </is>
      </c>
      <c r="D2681" t="n">
        <v>6</v>
      </c>
      <c r="E2681" t="n">
        <v>8</v>
      </c>
      <c r="F2681">
        <f>HYPERLINK("https://www.reddit.com/r/COVID19positive/comments/hlu5if/neurological_symptoms/")</f>
        <v/>
      </c>
      <c r="G2681" t="inlineStr">
        <is>
          <t>2020-07-05 14:01:42</t>
        </is>
      </c>
      <c r="H2681" t="inlineStr">
        <is>
          <t>Presumed Positive - From Doctor</t>
        </is>
      </c>
    </row>
    <row r="2682">
      <c r="A2682" t="inlineStr">
        <is>
          <t>hlu9cr</t>
        </is>
      </c>
      <c r="B2682" t="inlineStr">
        <is>
          <t>21 Year Old Covid Patient</t>
        </is>
      </c>
      <c r="C2682" t="inlineStr">
        <is>
          <t>Hello guys, Im new to this thread. 
I found out today (7/5/20) that I tested positive for COVID-19. I am sure I contracted it from work as cases were popping up and we still (somehow) managed to stay open even though our team members were contracting the disease. On Monday (6/29/20), I started to develop a slight cough as well as diarrhea. I went to go get tested Wednesday (7/1/20) and in fact it came back positive. So far my cough is very slight, no fever, no headache, no more diarrhea. The only thing I'm dealing with is my loss of sense of smell and taste. I don't know what will go on from here. Will it get worse or is my body actually getting over it? Any information helps for peace of mind. I'm too young to die :(</t>
        </is>
      </c>
      <c r="D2682" t="n">
        <v>1</v>
      </c>
      <c r="E2682" t="n">
        <v>3</v>
      </c>
      <c r="F2682">
        <f>HYPERLINK("https://www.reddit.com/r/COVID19positive/comments/hlu9cr/21_year_old_covid_patient/")</f>
        <v/>
      </c>
      <c r="G2682" t="inlineStr">
        <is>
          <t>2020-07-05 14:08:02</t>
        </is>
      </c>
      <c r="H2682" t="inlineStr">
        <is>
          <t>Tested Positive</t>
        </is>
      </c>
    </row>
    <row r="2683">
      <c r="A2683" t="inlineStr">
        <is>
          <t>hlug2l</t>
        </is>
      </c>
      <c r="B2683" t="inlineStr">
        <is>
          <t>Help returning to the world</t>
        </is>
      </c>
      <c r="C2683" t="inlineStr">
        <is>
          <t>Hi survivors. Like most of us I’m a long hauler who’s been battling for quite a while. Luckily I’ve been having a lot more good days then bad days and am being cautiously optimistic on returning to a somewhat normal life. However my time in isolation and battling this disease has made me very nervous about interactions or getting close to people. How can I mentally prepare myself to return to see my family, be with my girlfriend, or go out into the world with out being afraid of everyone. I feel like I’m mentally destroyed from this and have no trust in anybody, even the people I love and am closest too. It’s runing my relationships and has made me a shell of the person I once was. Has anyone found a way to cope with similar feelings and managed to incorporate themselves into the world again?</t>
        </is>
      </c>
      <c r="D2683" t="n">
        <v>2</v>
      </c>
      <c r="E2683" t="n">
        <v>2</v>
      </c>
      <c r="F2683">
        <f>HYPERLINK("https://www.reddit.com/r/COVID19positive/comments/hlug2l/help_returning_to_the_world/")</f>
        <v/>
      </c>
      <c r="G2683" t="inlineStr">
        <is>
          <t>2020-07-05 14:19:14</t>
        </is>
      </c>
      <c r="H2683" t="inlineStr">
        <is>
          <t>Presumed Positive - From Doctor</t>
        </is>
      </c>
    </row>
    <row r="2684">
      <c r="A2684" t="inlineStr">
        <is>
          <t>hlujzm</t>
        </is>
      </c>
      <c r="B2684" t="inlineStr">
        <is>
          <t>Should I test again? Isolate?</t>
        </is>
      </c>
      <c r="C2684" t="inlineStr">
        <is>
          <t>32F I tested positive June 1st and had a mild illness for about 10 days. No lung symptoms,  just fever, loss of smell and taste, little GI issues, and muscle aches.  Been fine since with the exception of fatigue, but I have a thyroid condition so that’s somewhat normal for me anyways.  
So the past few days I have been more fatigued than usual, sleeping around 9 hours a night and still feeling like napping midday. This morning I woke up with a red and sore throat and dry mouth, probably from snoring and mouth breathing all night. As the day went on, I started feeling really hot and irritable. I took my temp 99.8.... same low grade range of when I had covid. 
I have an at home strep test kit, tested negative for strep... I know it could be many things, even just allergies and post nasal drip, but the low fever has me worried. Do you think I would should out and get tested for Covid again? Assuming this is a re-emergence of my original infection 4 weeks later, I wouldn’t be contagious right? I mean, are long haulers isolating for months?</t>
        </is>
      </c>
      <c r="D2684" t="n">
        <v>2</v>
      </c>
      <c r="E2684" t="n">
        <v>3</v>
      </c>
      <c r="F2684">
        <f>HYPERLINK("https://www.reddit.com/r/COVID19positive/comments/hlujzm/should_i_test_again_isolate/")</f>
        <v/>
      </c>
      <c r="G2684" t="inlineStr">
        <is>
          <t>2020-07-05 14:25:35</t>
        </is>
      </c>
      <c r="H2684" t="inlineStr">
        <is>
          <t>Tested Positive - Me</t>
        </is>
      </c>
    </row>
    <row r="2685">
      <c r="A2685" t="inlineStr">
        <is>
          <t>hluru8</t>
        </is>
      </c>
      <c r="B2685" t="inlineStr">
        <is>
          <t>False negative</t>
        </is>
      </c>
      <c r="C2685" t="inlineStr">
        <is>
          <t>My mother (55) and I (19) were tested on the same day last Monday, and my test came back negative and hers came back positive. I lost complete taste, 100 degree fever, small cough, diarrhea, and excruciating headaches. My mom is way worse than I am with a high fever, cough, diarrhea, fatigue, and congestion. Has anyone had a false negative? Should I get tested again?</t>
        </is>
      </c>
      <c r="D2685" t="n">
        <v>8</v>
      </c>
      <c r="E2685" t="n">
        <v>10</v>
      </c>
      <c r="F2685">
        <f>HYPERLINK("https://www.reddit.com/r/COVID19positive/comments/hluru8/false_negative/")</f>
        <v/>
      </c>
      <c r="G2685" t="inlineStr">
        <is>
          <t>2020-07-05 14:38:34</t>
        </is>
      </c>
      <c r="H2685" t="inlineStr">
        <is>
          <t>Tested Positive - Family</t>
        </is>
      </c>
    </row>
    <row r="2686">
      <c r="A2686" t="inlineStr">
        <is>
          <t>hlut3f</t>
        </is>
      </c>
      <c r="B2686" t="inlineStr">
        <is>
          <t>Any1 feel a watery, wet feeling?</t>
        </is>
      </c>
      <c r="C2686" t="inlineStr">
        <is>
          <t>When i rub my arms they feel wet, but they are dry on the outside. I feel like theres water running down my legs even tho they aren't wet and theres no liquid
I feel the same feeling in my chest too.</t>
        </is>
      </c>
      <c r="D2686" t="n">
        <v>1</v>
      </c>
      <c r="E2686" t="n">
        <v>6</v>
      </c>
      <c r="F2686">
        <f>HYPERLINK("https://www.reddit.com/r/COVID19positive/comments/hlut3f/any1_feel_a_watery_wet_feeling/")</f>
        <v/>
      </c>
      <c r="G2686" t="inlineStr">
        <is>
          <t>2020-07-05 14:40:38</t>
        </is>
      </c>
      <c r="H2686" t="inlineStr">
        <is>
          <t>Presumed Positive - From Doctor</t>
        </is>
      </c>
    </row>
    <row r="2687">
      <c r="A2687" t="inlineStr">
        <is>
          <t>hlv5jh</t>
        </is>
      </c>
      <c r="B2687" t="inlineStr">
        <is>
          <t>Guess who got it.</t>
        </is>
      </c>
      <c r="C2687" t="inlineStr">
        <is>
          <t>4th of July was great until the 5th came and 90+ people are positive.</t>
        </is>
      </c>
      <c r="D2687" t="n">
        <v>8</v>
      </c>
      <c r="E2687" t="n">
        <v>9</v>
      </c>
      <c r="F2687">
        <f>HYPERLINK("https://www.reddit.com/r/COVID19positive/comments/hlv5jh/guess_who_got_it/")</f>
        <v/>
      </c>
      <c r="G2687" t="inlineStr">
        <is>
          <t>2020-07-05 15:00:58</t>
        </is>
      </c>
      <c r="H2687" t="inlineStr">
        <is>
          <t>Tested Positive</t>
        </is>
      </c>
    </row>
    <row r="2688">
      <c r="A2688" t="inlineStr">
        <is>
          <t>hlv6jk</t>
        </is>
      </c>
      <c r="B2688" t="inlineStr">
        <is>
          <t>Loss of taste &amp;amp; smell</t>
        </is>
      </c>
      <c r="C2688" t="inlineStr">
        <is>
          <t>Hi everyone, I’m asymptomatic and I was wondering for those who lost their senses of taste and smell, how did it take until you regained those senses back? I lost my sense of taste around June 21st and short then after my sense of smell.</t>
        </is>
      </c>
      <c r="D2688" t="n">
        <v>4</v>
      </c>
      <c r="E2688" t="n">
        <v>12</v>
      </c>
      <c r="F2688">
        <f>HYPERLINK("https://www.reddit.com/r/COVID19positive/comments/hlv6jk/loss_of_taste_smell/")</f>
        <v/>
      </c>
      <c r="G2688" t="inlineStr">
        <is>
          <t>2020-07-05 15:02:30</t>
        </is>
      </c>
      <c r="H2688" t="inlineStr">
        <is>
          <t>Tested Positive - Me</t>
        </is>
      </c>
    </row>
    <row r="2689">
      <c r="A2689" t="inlineStr">
        <is>
          <t>hlvsjt</t>
        </is>
      </c>
      <c r="B2689" t="inlineStr">
        <is>
          <t>Recovery seems to be going backwards</t>
        </is>
      </c>
      <c r="C2689" t="inlineStr">
        <is>
          <t>I was off work for about 4 weeks with presumed covid
The doctors, 111, etc all stated they're certain I had covid
After 4 weeks or so off work, I started on reduced hours working from home. 2 hours, 4 hours, 6 hours and am meant to be on 8 hours now but haven't been able to as i am just too exhausted
On Friday I had to go off work sick again as I couldn't stay awake. I wasn't making any sense, couldn't sit upright really and was utterly exhausted
This has continued over the weekend again and I have got a tight chest again, my temp is higher than normal and I am all jumbled again. And I've got random bruising which has no explanation AGAIN. 
Has anyone found they're feeling like they are going backwards again? Or started showing symptoms again when they thought they were getting better?</t>
        </is>
      </c>
      <c r="D2689" t="n">
        <v>1</v>
      </c>
      <c r="E2689" t="n">
        <v>3</v>
      </c>
      <c r="F2689">
        <f>HYPERLINK("https://www.reddit.com/r/COVID19positive/comments/hlvsjt/recovery_seems_to_be_going_backwards/")</f>
        <v/>
      </c>
      <c r="G2689" t="inlineStr">
        <is>
          <t>2020-07-05 15:37:46</t>
        </is>
      </c>
      <c r="H2689" t="inlineStr">
        <is>
          <t>Presumed Positive - From Doctor</t>
        </is>
      </c>
    </row>
    <row r="2690">
      <c r="A2690" t="inlineStr">
        <is>
          <t>hlvtkq</t>
        </is>
      </c>
      <c r="B2690" t="inlineStr">
        <is>
          <t>Did anyone get canker sores on tonsils?</t>
        </is>
      </c>
      <c r="C2690" t="inlineStr">
        <is>
          <t>I’m about a month in. I tested negative and then tested positive right after so I’m still not quite in the clear. However towards the end of my recovery I have developed a canker sore on one of my tonsils and it has become swollen as well on one side. Did anyone else get any on their tonsils and what did you do to treat it?</t>
        </is>
      </c>
      <c r="D2690" t="n">
        <v>1</v>
      </c>
      <c r="E2690" t="n">
        <v>8</v>
      </c>
      <c r="F2690">
        <f>HYPERLINK("https://www.reddit.com/r/COVID19positive/comments/hlvtkq/did_anyone_get_canker_sores_on_tonsils/")</f>
        <v/>
      </c>
      <c r="G2690" t="inlineStr">
        <is>
          <t>2020-07-05 15:39:31</t>
        </is>
      </c>
      <c r="H2690" t="inlineStr">
        <is>
          <t>Tested Positive - Me</t>
        </is>
      </c>
    </row>
    <row r="2691">
      <c r="A2691" t="inlineStr">
        <is>
          <t>hlw9p4</t>
        </is>
      </c>
      <c r="B2691" t="inlineStr">
        <is>
          <t>Results came back negative, here's why that's bad...</t>
        </is>
      </c>
      <c r="C2691" t="inlineStr">
        <is>
          <t>So as the title says, my results for a lab taken June 30th (Tuesday) came back negative. Rejoice right? 
I find myself in a predicament now. The problem is that the full body rash that followed my fever, tachycardia, chest pain, shortness of breath, searing headache and continuous body aches / fatigue are unexplainable. 
That, and the 14 days work forced me to take off for being sick will go uncompensated and I am short on bills.
The money will be sorted, thankfully we have a small emergency fund to pull from, but my real concern is this: I find myself with a full body rash and other ailments that I attributed to Covid and am now being told it is unrelated.
Do you guys think I should get retested? My partner's results have yet to return but she is asymptomatic which I'm thankful for. Should we wait for her results? Am I forcing a square peg into a round hole? I feel like I'm losing my mind and could use some guidance now more than ever. Thank you, stay healthy everyone</t>
        </is>
      </c>
      <c r="D2691" t="n">
        <v>29</v>
      </c>
      <c r="E2691" t="n">
        <v>76</v>
      </c>
      <c r="F2691">
        <f>HYPERLINK("https://www.reddit.com/r/COVID19positive/comments/hlw9p4/results_came_back_negative_heres_why_thats_bad/")</f>
        <v/>
      </c>
      <c r="G2691" t="inlineStr">
        <is>
          <t>2020-07-05 16:06:03</t>
        </is>
      </c>
      <c r="H2691" t="inlineStr">
        <is>
          <t>Presumed Positive - From Doctor</t>
        </is>
      </c>
    </row>
    <row r="2692">
      <c r="A2692" t="inlineStr">
        <is>
          <t>hlwacz</t>
        </is>
      </c>
      <c r="B2692" t="inlineStr">
        <is>
          <t>Loss of taste and everything suddenly smells horrible</t>
        </is>
      </c>
      <c r="C2692" t="inlineStr">
        <is>
          <t>I recently had a NDE where I suffered some nerve damage in my leg. I was unconscious for several minutes and stopped breathing. 
A few days later I lost my sense of taste and now everything smells the same. It's a VERY unpleasant scent. This is my only symptom.
Toothpaste, listerine, my favorite candle, soap, laundry detergent, hand sanitizer, they all have this underlying odd smell. It's driving me absolutely crazy. I don't know if this is covid or related to my NDE but I just got tested and will have the results in by the end of this coming week. 
This is horrific.</t>
        </is>
      </c>
      <c r="D2692" t="n">
        <v>3</v>
      </c>
      <c r="E2692" t="n">
        <v>5</v>
      </c>
      <c r="F2692">
        <f>HYPERLINK("https://www.reddit.com/r/COVID19positive/comments/hlwacz/loss_of_taste_and_everything_suddenly_smells/")</f>
        <v/>
      </c>
      <c r="G2692" t="inlineStr">
        <is>
          <t>2020-07-05 16:07:11</t>
        </is>
      </c>
      <c r="H2692" t="inlineStr">
        <is>
          <t>Presumed Positive - From Doctor</t>
        </is>
      </c>
    </row>
    <row r="2693">
      <c r="A2693" t="inlineStr">
        <is>
          <t>hlwhvp</t>
        </is>
      </c>
      <c r="B2693" t="inlineStr">
        <is>
          <t>If you are diseased, does corona make it worse?</t>
        </is>
      </c>
      <c r="C2693" t="inlineStr">
        <is>
          <t>My uncle has a brain tumor and recently got infected. Will his brain tumor get worse or will his brain tumor make his corona infection worse?</t>
        </is>
      </c>
      <c r="D2693" t="n">
        <v>2</v>
      </c>
      <c r="E2693" t="n">
        <v>2</v>
      </c>
      <c r="F2693">
        <f>HYPERLINK("https://www.reddit.com/r/COVID19positive/comments/hlwhvp/if_you_are_diseased_does_corona_make_it_worse/")</f>
        <v/>
      </c>
      <c r="G2693" t="inlineStr">
        <is>
          <t>2020-07-05 16:20:19</t>
        </is>
      </c>
      <c r="H2693" t="inlineStr">
        <is>
          <t>Tested Positive - Family</t>
        </is>
      </c>
    </row>
    <row r="2694">
      <c r="A2694" t="inlineStr">
        <is>
          <t>hlwtyp</t>
        </is>
      </c>
      <c r="B2694" t="inlineStr">
        <is>
          <t>Day (10 or 11) - things that helped me</t>
        </is>
      </c>
      <c r="C2694" t="inlineStr">
        <is>
          <t>26M no underlying conditions - I’ve had symptoms for about 10 or 11 days now. Gone through chest pains, congestion, loss of smell/taste, shortness of breath, fatigue, slight cough, dizziness, and intense brain fog. 
Some of the things that I found really helpful were:
- Teas (oregano and onion) sounds really gross but I couldn’t really taste it lol but it definitely helped me 
- inhaling steam from boiling eucalyptus leaves sometimes drops of eucalyptus to help with the breathing 
- I took ibuprofen (still taking it) 
- reading things about others progression (it’s easy to let anxiety take over. Just remember most of us will be fine and it’ll pass) 
- doing things to calm me down (for me it was praying) 
- resting, but it’s good to get up and get a bit of sun if you can even if only for a little 
- DayQuil for some of the other symptoms 
- stay hydrated and eat if even just a little 
-buy an oximeter (helps calm me down to know my oxygen levels were ok) 
Just wanted to let everyone know it sucks sometimes but you’ll pull through!</t>
        </is>
      </c>
      <c r="D2694" t="n">
        <v>70</v>
      </c>
      <c r="E2694" t="n">
        <v>62</v>
      </c>
      <c r="F2694">
        <f>HYPERLINK("https://www.reddit.com/r/COVID19positive/comments/hlwtyp/day_10_or_11_things_that_helped_me/")</f>
        <v/>
      </c>
      <c r="G2694" t="inlineStr">
        <is>
          <t>2020-07-05 16:41:21</t>
        </is>
      </c>
      <c r="H2694" t="inlineStr">
        <is>
          <t>Presumed Positive - From Test</t>
        </is>
      </c>
    </row>
    <row r="2695">
      <c r="A2695" t="inlineStr">
        <is>
          <t>hlxfcs</t>
        </is>
      </c>
      <c r="B2695" t="inlineStr">
        <is>
          <t>Feeling a bit hopeless and would love to talk to some fellow post-covid/covid positive people</t>
        </is>
      </c>
      <c r="C2695" t="inlineStr">
        <is>
          <t>I hate to bring more negativity or unease into this group but I'm so scared you guys, and I feel like the only way to feel better may be talking to some people who can really relate. I'm a 19 year old female who was relatively healthy before all this, but definitely was no stranger to getting colds. When corona got me it hit me like a truck, I was knocked on my ass for at least 2 1/2 weeks with the worst symptoms being difficulty breathing, congestion, migraines, fever and fatigue. I got it at the end of may and probably have been in the "recovery stage" for just under a month now but I still feel incredibly off. I can't help but feel slightly unoptimistic about the whole situation. I still get migraines often which is weirdly something I generally had never gotten before, I am still having severe straining in my breath and just feeling like half my air way is clogged at nearly all times. I have been feeling very fatigued as well and nearly every time I get up I see dots and am lightheaded. 
I know it has not been too long for me but I just feel like theres no way I don't have permanent lung damage, especially because at times I feel like my lungs are on fire which is also completely new because before this I had never even felt my lungs. I would just love if I could talk to some people about how they stayed hopeful, maybe some home remedies that could help me feel better, and if maybe I should contact my doctor and talk to them about all this. 
I'm just so scared about all this being a young person whose been affected by this makes me even more scared because I feel like I may have lung damage for the rest of my life. I am just so saddened by the state of this world right now it's incredibly hard to feel like anyone really understands how I'm feeling or genuinely even cares. I get the average oh don't worry about it they have no proof that you won't recover from all this. But they don't want to talk about how they also have no proof that I will fully recover. And it definitely doesn't help that when I went back to my job no one even asked me how my covid experience was even though I'm almost 100% positive I got it from working there in unsafe conditions. 
Sorry this is a long post but it was very therapeutic to write this all out. Again, I would love love to talk to anyone who can relate to this post as it feels like I can't relate to anyone in my current surroundings. Thanks again to the people who created this sub &amp;lt;3 my heart goes out to you guys and your recovery.</t>
        </is>
      </c>
      <c r="D2695" t="n">
        <v>25</v>
      </c>
      <c r="E2695" t="n">
        <v>33</v>
      </c>
      <c r="F2695">
        <f>HYPERLINK("https://www.reddit.com/r/COVID19positive/comments/hlxfcs/feeling_a_bit_hopeless_and_would_love_to_talk_to/")</f>
        <v/>
      </c>
      <c r="G2695" t="inlineStr">
        <is>
          <t>2020-07-05 17:20:11</t>
        </is>
      </c>
      <c r="H2695" t="inlineStr">
        <is>
          <t>Tested Positive - Me</t>
        </is>
      </c>
    </row>
    <row r="2696">
      <c r="A2696" t="inlineStr">
        <is>
          <t>hlxfly</t>
        </is>
      </c>
      <c r="B2696" t="inlineStr">
        <is>
          <t>What should I do about living with someone who possibly has COVID-19?</t>
        </is>
      </c>
      <c r="C2696" t="inlineStr">
        <is>
          <t>My older brother(16) was experiencing diarrhea and vomiting last night and now today he says he has a headache,chest pains,nausea,and difficulty breathing. He is going to get tested tomorrow to see whether or not he has it,if he does have COVID what should I do about living with him to avoid contracting it myself?</t>
        </is>
      </c>
      <c r="D2696" t="n">
        <v>3</v>
      </c>
      <c r="E2696" t="n">
        <v>5</v>
      </c>
      <c r="F2696">
        <f>HYPERLINK("https://www.reddit.com/r/COVID19positive/comments/hlxfly/what_should_i_do_about_living_with_someone_who/")</f>
        <v/>
      </c>
      <c r="G2696" t="inlineStr">
        <is>
          <t>2020-07-05 17:20:44</t>
        </is>
      </c>
      <c r="H2696" t="inlineStr">
        <is>
          <t>Presumed Positive - From Test</t>
        </is>
      </c>
    </row>
    <row r="2697">
      <c r="A2697" t="inlineStr">
        <is>
          <t>hlxtk6</t>
        </is>
      </c>
      <c r="B2697" t="inlineStr">
        <is>
          <t>Serious question: how could I give my convalescent plasma to my parents?</t>
        </is>
      </c>
      <c r="C2697" t="inlineStr">
        <is>
          <t>Had a mild case in March, and have donated my convalescent plasma once already to the Red Cross. I want to give it to my parents to protect them. Is there a world in which this is possible? Would it work? Would any medical professional perform such a transfusion?</t>
        </is>
      </c>
      <c r="D2697" t="n">
        <v>1</v>
      </c>
      <c r="E2697" t="n">
        <v>6</v>
      </c>
      <c r="F2697">
        <f>HYPERLINK("https://www.reddit.com/r/COVID19positive/comments/hlxtk6/serious_question_how_could_i_give_my_convalescent/")</f>
        <v/>
      </c>
      <c r="G2697" t="inlineStr">
        <is>
          <t>2020-07-05 17:46:41</t>
        </is>
      </c>
      <c r="H2697" t="inlineStr">
        <is>
          <t>Tested Positive - Me</t>
        </is>
      </c>
    </row>
    <row r="2698">
      <c r="A2698" t="inlineStr">
        <is>
          <t>hlyg94</t>
        </is>
      </c>
      <c r="B2698" t="inlineStr">
        <is>
          <t>After 9 days of waiting got my test result back. Positive.</t>
        </is>
      </c>
      <c r="C2698" t="inlineStr">
        <is>
          <t>The only reason I got tested was I lost my sense of smell and taste. 
Timeline below, I kept notes daily just incase I did test potive.
June 21st, fever (101) sweats and fatigue. 
June 22nd, fever (101.5) sweats and fatigue.
June 23rd, fever broke, extreme fatigue. 
June 24th, extreme fatigue.
June 25th, sudden loss of smell and taste, still fatigued.
June 26th, fatigued but feel better.
June 27th, went and got tested. 
June 28th - 30th feel fine.
July 1st, started to regain taste, sense of smell still gone.
July 4th, some sense of smell. 
July 5th, tested positive.
I self isolated and started it from June 21st. I possibly only exposed 1 other person who is showing no symptoms thankfully our exposure was not long.</t>
        </is>
      </c>
      <c r="D2698" t="n">
        <v>10</v>
      </c>
      <c r="E2698" t="n">
        <v>29</v>
      </c>
      <c r="F2698">
        <f>HYPERLINK("https://www.reddit.com/r/COVID19positive/comments/hlyg94/after_9_days_of_waiting_got_my_test_result_back/")</f>
        <v/>
      </c>
      <c r="G2698" t="inlineStr">
        <is>
          <t>2020-07-05 18:30:11</t>
        </is>
      </c>
      <c r="H2698" t="inlineStr">
        <is>
          <t>Tested Positive - Me</t>
        </is>
      </c>
    </row>
    <row r="2699">
      <c r="A2699" t="inlineStr">
        <is>
          <t>hlyi8r</t>
        </is>
      </c>
      <c r="B2699" t="inlineStr">
        <is>
          <t>COVID in Infants?</t>
        </is>
      </c>
      <c r="C2699" t="inlineStr">
        <is>
          <t>My husband caught COVID at work around 6/22-6/24. Got tested 6/25 and he began isolating that day. On 6/29, I scheduled a test and began feeling a sore throat, went away the next day. By 7/3, I lost taste/smell. I’m breast feeding our 3 1/2 month old son. I’ve been monitoring our temp and baby and I have been fine. Today, we got my husbands results back-positive. I still have no taste, I know I have it for sure. Everything I’ve been reading says not to stop breast feeding baby and to wear a mask and wash hands, all that. I have been doing it all since husband got tested. I have noticed my son refusing to eat and he does have a bit of a cough. I haven’t found much information on infants and COVID. Any one have any information? I’m going to call my sons pediatrician tomorrow morning and see about getting him tested or some kind of treatment. I’m very scared, not for myself or my husband, but my little one.  I’ve been crying since I found out my husband even got exposed to it. 
Thank you in advance for any help.</t>
        </is>
      </c>
      <c r="D2699" t="n">
        <v>0</v>
      </c>
      <c r="E2699" t="n">
        <v>12</v>
      </c>
      <c r="F2699">
        <f>HYPERLINK("https://www.reddit.com/r/COVID19positive/comments/hlyi8r/covid_in_infants/")</f>
        <v/>
      </c>
      <c r="G2699" t="inlineStr">
        <is>
          <t>2020-07-05 18:33:59</t>
        </is>
      </c>
      <c r="H2699" t="inlineStr">
        <is>
          <t>Tested Positive - Family</t>
        </is>
      </c>
    </row>
    <row r="2700">
      <c r="A2700" t="inlineStr">
        <is>
          <t>hlyj4w</t>
        </is>
      </c>
      <c r="B2700" t="inlineStr">
        <is>
          <t>23, M, California, Diagnosed on July 2, AMA</t>
        </is>
      </c>
      <c r="C2700" t="inlineStr">
        <is>
          <t>I know this is not the AMA subreddit, but I cannot post this topic on there. Here to share my experience, symptoms, and current recovery status.</t>
        </is>
      </c>
      <c r="D2700" t="n">
        <v>0</v>
      </c>
      <c r="E2700" t="n">
        <v>11</v>
      </c>
      <c r="F2700">
        <f>HYPERLINK("https://www.reddit.com/r/COVID19positive/comments/hlyj4w/23_m_california_diagnosed_on_july_2_ama/")</f>
        <v/>
      </c>
      <c r="G2700" t="inlineStr">
        <is>
          <t>2020-07-05 18:35:33</t>
        </is>
      </c>
      <c r="H2700" t="inlineStr">
        <is>
          <t>Tested Positive - Me</t>
        </is>
      </c>
    </row>
    <row r="2701">
      <c r="A2701" t="inlineStr">
        <is>
          <t>hlytsc</t>
        </is>
      </c>
      <c r="B2701" t="inlineStr">
        <is>
          <t>Dating post covid:</t>
        </is>
      </c>
      <c r="C2701" t="inlineStr">
        <is>
          <t>I tested positive for covid 54 days ago. I tested negative twice since then, but also had pneumonia two weeks ago, and am still feeling lousy most of the time. But when I’m feeling good, I’m thinking about dating.
I met someone promising online and we’ve been corresponding for a month. We started talking on the phone this week. He doesn’t want to meet until he’s sure that I’m not at risk of infecting him. Assuming I feel well enough to meet, when might that be? 
According to the ER doc, not until we have a successful and universally deployed vaccine. 
What are you doing about dating?
I’m not interested in your judgment, just honest experience if you feel comfortable sharing.</t>
        </is>
      </c>
      <c r="D2701" t="n">
        <v>6</v>
      </c>
      <c r="E2701" t="n">
        <v>12</v>
      </c>
      <c r="F2701">
        <f>HYPERLINK("https://www.reddit.com/r/COVID19positive/comments/hlytsc/dating_post_covid/")</f>
        <v/>
      </c>
      <c r="G2701" t="inlineStr">
        <is>
          <t>2020-07-05 18:56:10</t>
        </is>
      </c>
      <c r="H2701" t="inlineStr">
        <is>
          <t>Tested Positive - Me</t>
        </is>
      </c>
    </row>
    <row r="2702">
      <c r="A2702" t="inlineStr">
        <is>
          <t>hlzgmg</t>
        </is>
      </c>
      <c r="B2702" t="inlineStr">
        <is>
          <t>you can 100% catch covid again, forget what the experts say, i got reinfected and am struggling to breath again, exactly like the first time</t>
        </is>
      </c>
      <c r="C2702" t="inlineStr">
        <is>
          <t>after 8 weeks of long haul symptoms ive caught it again, there is no doubt in my mind, accept the incubation period is so quick this time, my whole face and eyes were stinging hours later then my nose went numb and smells played up, now 2 days later i am literally gasping for air again like the first time, do not go anywhere stay at home, if you dont have antibodys you hve zero immunity</t>
        </is>
      </c>
      <c r="D2702" t="n">
        <v>9</v>
      </c>
      <c r="E2702" t="n">
        <v>68</v>
      </c>
      <c r="F2702">
        <f>HYPERLINK("https://www.reddit.com/r/COVID19positive/comments/hlzgmg/you_can_100_catch_covid_again_forget_what_the/")</f>
        <v/>
      </c>
      <c r="G2702" t="inlineStr">
        <is>
          <t>2020-07-05 19:39:37</t>
        </is>
      </c>
      <c r="H2702" t="inlineStr">
        <is>
          <t>Tested Positive</t>
        </is>
      </c>
    </row>
    <row r="2703">
      <c r="A2703" t="inlineStr">
        <is>
          <t>hlznkw</t>
        </is>
      </c>
      <c r="B2703" t="inlineStr">
        <is>
          <t>False positive?</t>
        </is>
      </c>
      <c r="C2703" t="inlineStr">
        <is>
          <t>I've recently tested positive on tuesday for covid19. I currently do not think I am experiencing any symptoms? I got my results back yesterday and have since been freaking out since I do have high blood pressure. The only thing I can think I am experiencing is acid reflux (which I typically experience) and I had a tickle in my throat earlier this week that has since gone away. Also maybe a tightening in my chest which could be from anxiety. Could it be a false positive? On the waiver and again on my results it warned of false positive. I am waiting for my at-home test in the mail but I am wondering if anyone else has had a false positive result from a throat swab.</t>
        </is>
      </c>
      <c r="D2703" t="n">
        <v>1</v>
      </c>
      <c r="E2703" t="n">
        <v>8</v>
      </c>
      <c r="F2703">
        <f>HYPERLINK("https://www.reddit.com/r/COVID19positive/comments/hlznkw/false_positive/")</f>
        <v/>
      </c>
      <c r="G2703" t="inlineStr">
        <is>
          <t>2020-07-05 19:53:27</t>
        </is>
      </c>
      <c r="H2703" t="inlineStr">
        <is>
          <t>Tested Positive - Me</t>
        </is>
      </c>
    </row>
    <row r="2704">
      <c r="A2704" t="inlineStr">
        <is>
          <t>hlzu4a</t>
        </is>
      </c>
      <c r="B2704" t="inlineStr">
        <is>
          <t>Shortness of breath triggered by eating? (26/F)</t>
        </is>
      </c>
      <c r="C2704" t="inlineStr">
        <is>
          <t>Hi everyone. 
I’m on day 9 of dealing with this, though I haven’t been tested. 
So I’ve been trying out different things to see how they impact my body in regards to this virus i.e. eating antiviral and Anti-Inflammatory foods, drinking ginger lemon tea, drinking some elderberry syrup, etc. 
Well today, all I really ate was a bowl of watermelon and cantaloupe because I read that they have tons of benefits and because they’re fruits. Then I drank a good amount of water. Shortly after, my shortness of breath issues were triggered and I had difficulties for about 2 hours. I’m really not sure what to eat if I can’t even eat fruit and drink water without having trouble breathing. I’m scared to eat, drink or take anything else, but I have to eat. Has anyone else experienced this?</t>
        </is>
      </c>
      <c r="D2704" t="n">
        <v>6</v>
      </c>
      <c r="E2704" t="n">
        <v>27</v>
      </c>
      <c r="F2704">
        <f>HYPERLINK("https://www.reddit.com/r/COVID19positive/comments/hlzu4a/shortness_of_breath_triggered_by_eating_26f/")</f>
        <v/>
      </c>
      <c r="G2704" t="inlineStr">
        <is>
          <t>2020-07-05 20:06:06</t>
        </is>
      </c>
      <c r="H2704" t="inlineStr">
        <is>
          <t>Tested Positive - Me</t>
        </is>
      </c>
    </row>
    <row r="2705">
      <c r="A2705" t="inlineStr">
        <is>
          <t>hm01bl</t>
        </is>
      </c>
      <c r="B2705" t="inlineStr">
        <is>
          <t>Anyone have similar experience?</t>
        </is>
      </c>
      <c r="C2705" t="inlineStr">
        <is>
          <t>I’ve had a dry cough starting two weeks ago. Assumed it was seasonal allergies but then I got a runny nose, next dull taste buds, body aches and on/off low grade fever, extreme fatigue (couldn’t get up out of bed) and passing a lot of gas since Thursday evening. I had no appetite and night sweats on Friday along with all the same symptoms. Saturday morning I woke up with back pain which was new. Later that day my appetite was back and taste buds were back to normal. 
I wasn’t improving with the other symptoms and wanted to get checked out. I went to an urgent care which had testing on site available. I told the DR all my symptoms and she said I most likely have Covid-19. I got swabbed and will be notified of my results in the next 2 days. I hate to say this but I’m hoping it’s positive cause it would mean I’m not crazy. 
Anyone have something similar?</t>
        </is>
      </c>
      <c r="D2705" t="n">
        <v>2</v>
      </c>
      <c r="E2705" t="n">
        <v>6</v>
      </c>
      <c r="F2705">
        <f>HYPERLINK("https://www.reddit.com/r/COVID19positive/comments/hm01bl/anyone_have_similar_experience/")</f>
        <v/>
      </c>
      <c r="G2705" t="inlineStr">
        <is>
          <t>2020-07-05 20:20:33</t>
        </is>
      </c>
      <c r="H2705" t="inlineStr">
        <is>
          <t>Presumed Positive - From Doctor</t>
        </is>
      </c>
    </row>
    <row r="2706">
      <c r="A2706" t="inlineStr">
        <is>
          <t>hm2lsq</t>
        </is>
      </c>
      <c r="B2706" t="inlineStr">
        <is>
          <t>People who do not take this virus serious, make my blood boil. I went in for a Spinal Surgery, stayed 2 weeks for a side of COVID19.</t>
        </is>
      </c>
      <c r="C2706" t="inlineStr">
        <is>
          <t>The phrase "kick's your ass", doesn't even qualify as a correct assessment of what this virus can do to you. For those that end up getting this virus, it truly is a matter of life or death. Please follow guidelines and wear a mask to reduce giving this awful thing to someone you know, or a stranger. I wouldn't wish this on anyone. Ever.</t>
        </is>
      </c>
      <c r="D2706" t="n">
        <v>1</v>
      </c>
      <c r="E2706" t="n">
        <v>126</v>
      </c>
      <c r="F2706">
        <f>HYPERLINK("https://www.reddit.com/r/COVID19positive/comments/hm2lsq/people_who_do_not_take_this_virus_serious_make_my/")</f>
        <v/>
      </c>
      <c r="G2706" t="inlineStr">
        <is>
          <t>2020-07-05 23:41:31</t>
        </is>
      </c>
      <c r="H2706" t="inlineStr">
        <is>
          <t>Tested Positive - Me</t>
        </is>
      </c>
    </row>
    <row r="2707">
      <c r="A2707" t="inlineStr">
        <is>
          <t>hm2q7v</t>
        </is>
      </c>
      <c r="B2707" t="inlineStr">
        <is>
          <t>My wrists are burning like all hell even though my skin is completely alright from the outside and not red at all, have y'all had a similar experience?</t>
        </is>
      </c>
      <c r="C2707" t="inlineStr">
        <is>
          <t>My wrists hurt like i grazed them against a rough surface but they r relatively normal from the outside
They burn when i wash my hands too...</t>
        </is>
      </c>
      <c r="D2707" t="n">
        <v>1</v>
      </c>
      <c r="E2707" t="n">
        <v>4</v>
      </c>
      <c r="F2707">
        <f>HYPERLINK("https://www.reddit.com/r/COVID19positive/comments/hm2q7v/my_wrists_are_burning_like_all_hell_even_though/")</f>
        <v/>
      </c>
      <c r="G2707" t="inlineStr">
        <is>
          <t>2020-07-05 23:52:04</t>
        </is>
      </c>
      <c r="H2707" t="inlineStr">
        <is>
          <t>Presumed Positive - From Doctor</t>
        </is>
      </c>
    </row>
    <row r="2708">
      <c r="A2708" t="inlineStr">
        <is>
          <t>hm2s5z</t>
        </is>
      </c>
      <c r="B2708" t="inlineStr">
        <is>
          <t>Is that it for me?</t>
        </is>
      </c>
      <c r="C2708" t="inlineStr">
        <is>
          <t>I took a test Jun-26 after my dad’s positive test result came back. That day I started feeling off, I had been feeling a bit of shortness of breath that week but assumed it was just a bit of anxiety. The weekend following the test I had a low-grade fever and lots of body aches and chills. After about a week of brain fog, loss of appetite and sense of smell, I feel mostly back to normal minus some fatigue here and there and a lingering cough which comes and goes. My question is, am I done? Is there a way it can get worse or if I get a relapse, will it just be the same thing? 
I’ve been taking great care to rest, eat and take vitamins in this time and plan to continue doing so, but I really just wanted to see if anyone else has had a similar experience? Was there a relapse? Was it bad? I never got my test result back which is annoying but based on the symptoms, it’s hard not to assume I did end up having COVID this whole time.</t>
        </is>
      </c>
      <c r="D2708" t="n">
        <v>1</v>
      </c>
      <c r="E2708" t="n">
        <v>4</v>
      </c>
      <c r="F2708">
        <f>HYPERLINK("https://www.reddit.com/r/COVID19positive/comments/hm2s5z/is_that_it_for_me/")</f>
        <v/>
      </c>
      <c r="G2708" t="inlineStr">
        <is>
          <t>2020-07-05 23:56:53</t>
        </is>
      </c>
      <c r="H2708" t="inlineStr">
        <is>
          <t>Presumed Positive - From Test</t>
        </is>
      </c>
    </row>
    <row r="2709">
      <c r="A2709" t="inlineStr">
        <is>
          <t>hm2whv</t>
        </is>
      </c>
      <c r="B2709" t="inlineStr">
        <is>
          <t>My covid-19 treatment protocol</t>
        </is>
      </c>
      <c r="C2709" t="inlineStr">
        <is>
          <t>Copying my reply to another post here. This is not official medical advice. My parents developed symptoms 2 days ago (I had the virus in March) and this is the exact regime I have them on, after many hours of exhaustive research. Feel free to ask questions. 
Breakfast: 1g Vitamin C (ideally liposomal formulation), 25mg zinc picolinate, 500mg quercetin, 40 mg famotidine, WITH FOOD
Lunch: 1g vitamin C, 25mg zinc, 5000 IU Vitamin D, 40mg famotidine WITH FOOD
Dinner: 1g vitamin C, 25mg zinc, 1 tab thiamine/vit B1 (same thing, has 2 names) WITH FOOD
Right before bed: 500mg vitamin C, 500mg quercetin, 40mg famotidine, 81mg aspirin, 5mg melatonin with small snack
Only take the zinc with food, and I split it into smaller doses because bigger doses can cause stomach upset.
This regime was based upon protocols being used in several ICUs- but minus the steroids bc you should never take those without doctor supervision. Higher dose famotidine due to the paper linked at the bottom. But if you’ve got bad kidneys stick to one 20mg dose per day. 
https://covid19criticalcare.com/wp-content/uploads/2020/04/MATHTreatmentProtocol.pdf
https://www.evms.edu/media/evms_public/departments/internal_medicine/EVMS_Critical_Care_COVID-19_Protocol.pdf
https://www.medpagetoday.com/infectiousdisease/covid19/86893</t>
        </is>
      </c>
      <c r="D2709" t="n">
        <v>1</v>
      </c>
      <c r="E2709" t="n">
        <v>11</v>
      </c>
      <c r="F2709">
        <f>HYPERLINK("https://www.reddit.com/r/COVID19positive/comments/hm2whv/my_covid19_treatment_protocol/")</f>
        <v/>
      </c>
      <c r="G2709" t="inlineStr">
        <is>
          <t>2020-07-06 00:06:54</t>
        </is>
      </c>
      <c r="H2709" t="inlineStr">
        <is>
          <t>Tested Positive - Me</t>
        </is>
      </c>
    </row>
    <row r="2710">
      <c r="A2710" t="inlineStr">
        <is>
          <t>hm36qw</t>
        </is>
      </c>
      <c r="B2710" t="inlineStr">
        <is>
          <t>**Reinfected** im pretty certain you can can catch covid again, especially if you do not have antibodys, im sure i got reinfected and am struggling to breath again, exactly like the first time, just want to warn other long haulers.</t>
        </is>
      </c>
      <c r="C2710" t="inlineStr">
        <is>
          <t xml:space="preserve">
after 8 weeks of long haul symptoms im certain ive caught it again, there is no doubt in my mind, accept the incubation period is so quick this time, my whole face and eyes were stinging hours later then my nose went numb and smells played up, now 2 days later i am literally gasping for air again like the first time, do not go anywhere stay at home, if you dont have antibodys you most likely have zero immunity</t>
        </is>
      </c>
      <c r="D2710" t="n">
        <v>1</v>
      </c>
      <c r="E2710" t="n">
        <v>38</v>
      </c>
      <c r="F2710">
        <f>HYPERLINK("https://www.reddit.com/r/COVID19positive/comments/hm36qw/reinfected_im_pretty_certain_you_can_can_catch/")</f>
        <v/>
      </c>
      <c r="G2710" t="inlineStr">
        <is>
          <t>2020-07-06 00:31:55</t>
        </is>
      </c>
      <c r="H2710" t="inlineStr">
        <is>
          <t>Tested Positive</t>
        </is>
      </c>
    </row>
    <row r="2711">
      <c r="A2711" t="inlineStr">
        <is>
          <t>hm7aii</t>
        </is>
      </c>
      <c r="B2711" t="inlineStr">
        <is>
          <t>Just some lonely self pity</t>
        </is>
      </c>
      <c r="C2711" t="inlineStr">
        <is>
          <t>I tested positive on june 23rd and started showing symptoms that day. I came home immediately from work and hide my self in the bedroom with a bathroom attached since that time. 
On my way home, my husband moved my gaming system into the room. During my illness/quarantine I have been well entertained. I’ve also been in near constant verbal contact with him through game chat and cell phone calls. (Like 14 hours a day).
I am trapped in paradise.... and I am lonely. I miss cuddling him or touching him whenever I like. I miss my dogs. I miss my family.  I miss being well. My symptoms have not been severe but they have been constant over the past 13 days and I have had enough. 
I know I have more blessings than most and I really have no room to complain. But I am depressed this morning.  I am tired of this separation. And I am afraid its never gonna end.</t>
        </is>
      </c>
      <c r="D2711" t="n">
        <v>1</v>
      </c>
      <c r="E2711" t="n">
        <v>11</v>
      </c>
      <c r="F2711">
        <f>HYPERLINK("https://www.reddit.com/r/COVID19positive/comments/hm7aii/just_some_lonely_self_pity/")</f>
        <v/>
      </c>
      <c r="G2711" t="inlineStr">
        <is>
          <t>2020-07-06 06:06:14</t>
        </is>
      </c>
      <c r="H2711" t="inlineStr">
        <is>
          <t>Tested Positive - Me</t>
        </is>
      </c>
    </row>
    <row r="2712">
      <c r="A2712" t="inlineStr">
        <is>
          <t>hm7b2z</t>
        </is>
      </c>
      <c r="B2712" t="inlineStr">
        <is>
          <t>Vitamin D causing fevers?</t>
        </is>
      </c>
      <c r="C2712" t="inlineStr">
        <is>
          <t>I’m curious if I’m the only one experiencing this but every time I’m taking extra vitamin D, my immune system goes haywire and I get night fevers.
Years ago when I got a blood test from my primary care, my blood concentration of vitamin D was 26 (range should be 30-50) but I rarely took my multivitamin and it’s not deficient but on the low side.
Since my symptoms, I’ve had fever on and off but now I take my multivitamin religiously. Centrum, contains 1000 micro grams. I took an extra D supplement 1 pull at 2000 micro grams and I swear that my fever was hitting 101 and I had bad chills but when I don’t take it the next day, I feel okay. Is it a sign I’m taking too much vitamin D? Anyone else have this problem?</t>
        </is>
      </c>
      <c r="D2712" t="n">
        <v>1</v>
      </c>
      <c r="E2712" t="n">
        <v>16</v>
      </c>
      <c r="F2712">
        <f>HYPERLINK("https://www.reddit.com/r/COVID19positive/comments/hm7b2z/vitamin_d_causing_fevers/")</f>
        <v/>
      </c>
      <c r="G2712" t="inlineStr">
        <is>
          <t>2020-07-06 06:07:12</t>
        </is>
      </c>
      <c r="H2712" t="inlineStr">
        <is>
          <t>Presumed Positive - From Doctor</t>
        </is>
      </c>
    </row>
    <row r="2713">
      <c r="A2713" t="inlineStr">
        <is>
          <t>hm83ob</t>
        </is>
      </c>
      <c r="B2713" t="inlineStr">
        <is>
          <t>Friend still fighting this virus 4 months later...</t>
        </is>
      </c>
      <c r="C2713" t="inlineStr">
        <is>
          <t>I have made previous posts before mainly when he was in hospital, since my last post he did go back for another two times. He got the virus in mid march, we suspect from when he came back from a temporary job in France. He is mildly asthamatic, his main struggle has been with breathing and back pains (he had back problems beforehand, but since he got the virus its been much worse) 
Is anyone else in the same boat? How much longer until he is "recovered," I have read up a lot on CFS/ME and wondering if this might be the result as I haven't heard anyone with long term cases that has gotten fully back to normal yet which is terrifying
Not looking for advice, I am just frustrated with the constant roller-coaster this virus has caused my friend</t>
        </is>
      </c>
      <c r="D2713" t="n">
        <v>1</v>
      </c>
      <c r="E2713" t="n">
        <v>7</v>
      </c>
      <c r="F2713">
        <f>HYPERLINK("https://www.reddit.com/r/COVID19positive/comments/hm83ob/friend_still_fighting_this_virus_4_months_later/")</f>
        <v/>
      </c>
      <c r="G2713" t="inlineStr">
        <is>
          <t>2020-07-06 06:57:09</t>
        </is>
      </c>
      <c r="H2713" t="inlineStr">
        <is>
          <t>Tested Positive - Friends</t>
        </is>
      </c>
    </row>
    <row r="2714">
      <c r="A2714" t="inlineStr">
        <is>
          <t>hm911x</t>
        </is>
      </c>
      <c r="B2714" t="inlineStr">
        <is>
          <t>Positive PCR , normal CT , what it means ??</t>
        </is>
      </c>
      <c r="C2714" t="inlineStr">
        <is>
          <t>Hi, 
My PCR is positive but my CT is completely normal . What it means ? Anyone else has normal CT but positive test ? What it means in terms of symptoms and development of the illness ? 
Any similar experience?</t>
        </is>
      </c>
      <c r="D2714" t="n">
        <v>1</v>
      </c>
      <c r="E2714" t="n">
        <v>5</v>
      </c>
      <c r="F2714">
        <f>HYPERLINK("https://www.reddit.com/r/COVID19positive/comments/hm911x/positive_pcr_normal_ct_what_it_means/")</f>
        <v/>
      </c>
      <c r="G2714" t="inlineStr">
        <is>
          <t>2020-07-06 07:50:49</t>
        </is>
      </c>
      <c r="H2714" t="inlineStr">
        <is>
          <t>Tested Positive - Me</t>
        </is>
      </c>
    </row>
    <row r="2715">
      <c r="A2715" t="inlineStr">
        <is>
          <t>hma5nz</t>
        </is>
      </c>
      <c r="B2715" t="inlineStr">
        <is>
          <t>Positive this morning</t>
        </is>
      </c>
      <c r="C2715" t="inlineStr">
        <is>
          <t>I tested positive this morning. My family is freaking out on me. Just weeks ago me and my fiance were trying for a baby and that was the only morning test result I thought I would ever see. Now beyond my own health I'm worried I might lose the woman I love and my best friend. We haven't gotten her results yet but shes a little on the heavier side and has been having shortness of breath. Out of the 2 of us I had it really bad at the start. 102 fever for days, chills, throwing up, headaches, still have a cough. Can't keep my mind off of her getting worse.</t>
        </is>
      </c>
      <c r="D2715" t="n">
        <v>1</v>
      </c>
      <c r="E2715" t="n">
        <v>5</v>
      </c>
      <c r="F2715">
        <f>HYPERLINK("https://www.reddit.com/r/COVID19positive/comments/hma5nz/positive_this_morning/")</f>
        <v/>
      </c>
      <c r="G2715" t="inlineStr">
        <is>
          <t>2020-07-06 08:52:53</t>
        </is>
      </c>
      <c r="H2715" t="inlineStr">
        <is>
          <t>Tested Positive - Me</t>
        </is>
      </c>
    </row>
    <row r="2716">
      <c r="A2716" t="inlineStr">
        <is>
          <t>hmakok</t>
        </is>
      </c>
      <c r="B2716" t="inlineStr">
        <is>
          <t>Question about test results for family</t>
        </is>
      </c>
      <c r="C2716" t="inlineStr">
        <is>
          <t>Hello. 
I was wondering about Covid-19 testing results. My family was diagnosed Positive in early June. After we quarantined ourselves for 2 weeks, we decided to get tested again to get cleared to work once again. We live in Maryland. 
The results of the after quarantine test by LabCorp were that my mother and I were negative, while my father was still positive even though he hasn't stepped outside of the house in little over a month. No external contact with the outside during our quarantine. Yet he is positive. Our family doctor is telling my father to quarantine again for another 14 days, while a Patient First medical clinic's doctor said that my father's result may be a False Positive. 
What should I do? Any advice and help would be appreciated.</t>
        </is>
      </c>
      <c r="D2716" t="n">
        <v>2</v>
      </c>
      <c r="E2716" t="n">
        <v>2</v>
      </c>
      <c r="F2716">
        <f>HYPERLINK("https://www.reddit.com/r/COVID19positive/comments/hmakok/question_about_test_results_for_family/")</f>
        <v/>
      </c>
      <c r="G2716" t="inlineStr">
        <is>
          <t>2020-07-06 09:15:12</t>
        </is>
      </c>
      <c r="H2716" t="inlineStr">
        <is>
          <t>Tested Positive - Family</t>
        </is>
      </c>
    </row>
    <row r="2717">
      <c r="A2717" t="inlineStr">
        <is>
          <t>hmazmm</t>
        </is>
      </c>
      <c r="B2717" t="inlineStr">
        <is>
          <t>Does symptom-free mean you can visit family without giving them COVID?</t>
        </is>
      </c>
      <c r="C2717" t="inlineStr">
        <is>
          <t>I miss my mom so bad. Once I'm through this (and I am close) and have antibodies, can I be in contact with family members and not give it to them? I really want to hug my mom y'all, but she's late 60s so I obviously don't want to get her sick.</t>
        </is>
      </c>
      <c r="D2717" t="n">
        <v>1</v>
      </c>
      <c r="E2717" t="n">
        <v>3</v>
      </c>
      <c r="F2717">
        <f>HYPERLINK("https://www.reddit.com/r/COVID19positive/comments/hmazmm/does_symptomfree_mean_you_can_visit_family/")</f>
        <v/>
      </c>
      <c r="G2717" t="inlineStr">
        <is>
          <t>2020-07-06 09:36:41</t>
        </is>
      </c>
      <c r="H2717" t="inlineStr">
        <is>
          <t>Tested Positive - Family</t>
        </is>
      </c>
    </row>
    <row r="2718">
      <c r="A2718" t="inlineStr">
        <is>
          <t>hmbvdl</t>
        </is>
      </c>
      <c r="B2718" t="inlineStr">
        <is>
          <t>Negative antibody test 3.5 months after likely infection. Can antibodies fade that quickly?</t>
        </is>
      </c>
      <c r="C2718" t="inlineStr">
        <is>
          <t>28F. I live in NYC and I was sick with mild covid symptoms during the last week of February and first week of March. I was unable to be tested at the time because I hadn't traveled to China or Iran and I waited until June 30th to go in for an antibody test for fear of exposing myself in the event that I hadn't actually had it already. The test came back with a non-zero antibody count but far lower than the threshold to be considered positive. It's totally possible I never actually had covid but given where I live and the fact that I was taking the subway twice daily until mid-March and had just traveled through JFK I really thought the odds were good. Some of the symptoms I had were very unusual compared to anything I'd experienced with a cold or flu before. Is it possible that I waited too long to get an antibody test? Has anybody had a similar experience? Or did I most likely just have a regular old cold?
My experience with the illness was as follows: I flew internationally through JFK (not to China or Iran) in mid February and got sick 8 days after returning home. I had body aches, the worst headache of my life, and a sore throat which felt more like swelling in the base of my neck than a typical sore throat.  I felt feverish for about a week though my temperature stayed under 100. This was followed by a dry cough that developed a week later and lasted over a month. My cough felt like a tickling/buzzing feeling deep in my chest that would set off a painful coughing fit a few times a day. I also experienced a sort of cold-but-burning pain upon breathing in and severe chest and neck tightness when I tried to exercise a week after getting sick. I did not have any nasal congestion which stood out to me as unusual for an illness that felt like a cold. Obviously nobody was really testing at this time without a travel history so I wasn't able to get tested but I had a virtual doctor's appointment with Mt. Sinai a few weeks later and they told me it was likely I was infected.</t>
        </is>
      </c>
      <c r="D2718" t="n">
        <v>5</v>
      </c>
      <c r="E2718" t="n">
        <v>31</v>
      </c>
      <c r="F2718">
        <f>HYPERLINK("https://www.reddit.com/r/COVID19positive/comments/hmbvdl/negative_antibody_test_35_months_after_likely/")</f>
        <v/>
      </c>
      <c r="G2718" t="inlineStr">
        <is>
          <t>2020-07-06 10:22:22</t>
        </is>
      </c>
      <c r="H2718" t="inlineStr">
        <is>
          <t>Presumed Positive - From Doctor</t>
        </is>
      </c>
    </row>
    <row r="2719">
      <c r="A2719" t="inlineStr">
        <is>
          <t>hmbzzt</t>
        </is>
      </c>
      <c r="B2719" t="inlineStr">
        <is>
          <t>Mount Sinai Post Covid Care Center, NYC</t>
        </is>
      </c>
      <c r="C2719" t="inlineStr">
        <is>
          <t>Has anyone here been to the Mount Sinai Covid clinic?  I'm a long-hauler and have an appointment in a few hours and I was wondering what to expect.  Thanks.</t>
        </is>
      </c>
      <c r="D2719" t="n">
        <v>1</v>
      </c>
      <c r="E2719" t="n">
        <v>18</v>
      </c>
      <c r="F2719">
        <f>HYPERLINK("https://www.reddit.com/r/COVID19positive/comments/hmbzzt/mount_sinai_post_covid_care_center_nyc/")</f>
        <v/>
      </c>
      <c r="G2719" t="inlineStr">
        <is>
          <t>2020-07-06 10:28:51</t>
        </is>
      </c>
      <c r="H2719" t="inlineStr">
        <is>
          <t>Tested Positive - Me</t>
        </is>
      </c>
    </row>
    <row r="2720">
      <c r="A2720" t="inlineStr">
        <is>
          <t>hmcbf7</t>
        </is>
      </c>
      <c r="B2720" t="inlineStr">
        <is>
          <t>Day 14</t>
        </is>
      </c>
      <c r="C2720" t="inlineStr">
        <is>
          <t>Only symptoms left are stuffy nose that’s on &amp;amp; off, SOB at certain times after exertion &amp;amp; GI issues
Seem to have gotten past all the major symptoms after day 5ish &amp;amp; have had major fatigue since then</t>
        </is>
      </c>
      <c r="D2720" t="n">
        <v>1</v>
      </c>
      <c r="E2720" t="n">
        <v>1</v>
      </c>
      <c r="F2720">
        <f>HYPERLINK("https://www.reddit.com/r/COVID19positive/comments/hmcbf7/day_14/")</f>
        <v/>
      </c>
      <c r="G2720" t="inlineStr">
        <is>
          <t>2020-07-06 10:44:46</t>
        </is>
      </c>
      <c r="H2720" t="inlineStr">
        <is>
          <t>Presumed Positive - From Test</t>
        </is>
      </c>
    </row>
    <row r="2721">
      <c r="A2721" t="inlineStr">
        <is>
          <t>hmcyvs</t>
        </is>
      </c>
      <c r="B2721" t="inlineStr">
        <is>
          <t>Feeling Overwhelmed - Anyone with Kids Tested Positive?</t>
        </is>
      </c>
      <c r="C2721" t="inlineStr">
        <is>
          <t>We just found out this morning that one of the children (age 1) who attends a licensed at-home daycare tested positive. The child attends two days a week and my child attends daily. My wife and I are essential workers whose work did not stop during the pandemic. 
We are in the process of requesting tests. Has anyone with kids had similar experiences?</t>
        </is>
      </c>
      <c r="D2721" t="n">
        <v>1</v>
      </c>
      <c r="E2721" t="n">
        <v>3</v>
      </c>
      <c r="F2721">
        <f>HYPERLINK("https://www.reddit.com/r/COVID19positive/comments/hmcyvs/feeling_overwhelmed_anyone_with_kids_tested/")</f>
        <v/>
      </c>
      <c r="G2721" t="inlineStr">
        <is>
          <t>2020-07-06 11:17:11</t>
        </is>
      </c>
      <c r="H2721" t="inlineStr">
        <is>
          <t>Tested Positive - Friends</t>
        </is>
      </c>
    </row>
    <row r="2722">
      <c r="A2722" t="inlineStr">
        <is>
          <t>hmd1iv</t>
        </is>
      </c>
      <c r="B2722" t="inlineStr">
        <is>
          <t>15 week update + eye exam</t>
        </is>
      </c>
      <c r="C2722" t="inlineStr">
        <is>
          <t>Well I think I may be finally starting to recover. Not feeling as tired these days and definitely less brain fog. Less chest congestion in the mornings too. I'm actually feeling pretty good these days despite high HR sometimes. Last Sat spent most of the day in 90F heat outside and even walked up my driveway with no sob. No relapse, no extreme fatigue.  Today I went for an eye exam since my glasses broke and are hanging on by a thread. If I didn't have the virus before I definitely have it now. Big sign that said FEVER CHECK at the entrance but they skipped that and handed me a form and welcomed me aboard. Had to put my face and eyes on everything in the place. Doc was sneezing and coughing but thankfully masks were mandatory. I was the only one wearing gloves. 
TL;DR: I'm feeling good. Don't get an eye exam.</t>
        </is>
      </c>
      <c r="D2722" t="n">
        <v>1</v>
      </c>
      <c r="E2722" t="n">
        <v>16</v>
      </c>
      <c r="F2722">
        <f>HYPERLINK("https://www.reddit.com/r/COVID19positive/comments/hmd1iv/15_week_update_eye_exam/")</f>
        <v/>
      </c>
      <c r="G2722" t="inlineStr">
        <is>
          <t>2020-07-06 11:22:01</t>
        </is>
      </c>
      <c r="H2722" t="inlineStr">
        <is>
          <t>Presumed Positive - From Doctor</t>
        </is>
      </c>
    </row>
    <row r="2723">
      <c r="A2723" t="inlineStr">
        <is>
          <t>hmeeo1</t>
        </is>
      </c>
      <c r="B2723" t="inlineStr">
        <is>
          <t>What’s my risk?</t>
        </is>
      </c>
      <c r="C2723" t="inlineStr">
        <is>
          <t>Recently at work I found out a coworker had just tested positive. We tried to maintain our distance when we could but due to the job we often had to be within a couple feet of each other. We also used the same pen and touched the same objects. He tested positive three days ago and I still have to go into work, although I’m basically 10ft or more away from everyone now 90% of the time. I’m feeling fine but I was with the guy touching things the day he got sick. We wear masks so I think I’m mostly okay?? Thoughts??? Do I get tested even with no symptoms?</t>
        </is>
      </c>
      <c r="D2723" t="n">
        <v>0</v>
      </c>
      <c r="E2723" t="n">
        <v>3</v>
      </c>
      <c r="F2723">
        <f>HYPERLINK("https://www.reddit.com/r/COVID19positive/comments/hmeeo1/whats_my_risk/")</f>
        <v/>
      </c>
      <c r="G2723" t="inlineStr">
        <is>
          <t>2020-07-06 12:17:49</t>
        </is>
      </c>
      <c r="H2723" t="inlineStr">
        <is>
          <t>Tested Positive - Friends</t>
        </is>
      </c>
    </row>
    <row r="2724">
      <c r="A2724" t="inlineStr">
        <is>
          <t>hmelwy</t>
        </is>
      </c>
      <c r="B2724" t="inlineStr">
        <is>
          <t>Any tips for getting active post-symptoms?</t>
        </is>
      </c>
      <c r="C2724" t="inlineStr">
        <is>
          <t>So I stopped having symptoms in early April, was sick for about a month or so. I’ve been trying to get back to working out ever since then, but I’ve been having a really hard time. I do have EIB so I use an inhaler before working out, but it’s not helping a lot. After about 5 minutes I’ll get chest tightness/pain and have trouble keeping up. I’ve been taking breaks whenever this happens, but even then I can’t go for longer than 15 minutes without feeling faint, nauseous, and extremely tired (as in almost falling asleep). I actually almost passed out today and apparently my breathing sounded bad enough for people to check to see if I was okay. I’ve just had such horrible experiences when I do try and work out that I’ve been avoiding it altogether.
Is this something that will get better the more active I get? I’m not sure if I should just kinda push through this and keep working out every day or take it easy. I’m used to having breathing problems while working out so it’s hard for me to tell when I should stop. Is there a way for me to monitor this so I can tell when I should stop so I don’t have a bad time? Thanks!</t>
        </is>
      </c>
      <c r="D2724" t="n">
        <v>1</v>
      </c>
      <c r="E2724" t="n">
        <v>3</v>
      </c>
      <c r="F2724">
        <f>HYPERLINK("https://www.reddit.com/r/COVID19positive/comments/hmelwy/any_tips_for_getting_active_postsymptoms/")</f>
        <v/>
      </c>
      <c r="G2724" t="inlineStr">
        <is>
          <t>2020-07-06 12:26:57</t>
        </is>
      </c>
      <c r="H2724" t="inlineStr">
        <is>
          <t>Presumed Positive - From Doctor</t>
        </is>
      </c>
    </row>
    <row r="2725">
      <c r="A2725" t="inlineStr">
        <is>
          <t>hmep5j</t>
        </is>
      </c>
      <c r="B2725" t="inlineStr">
        <is>
          <t>Tested positive May 18, need to test negative on July 14th for surgery - FREAKING OUT!</t>
        </is>
      </c>
      <c r="C2725" t="inlineStr">
        <is>
          <t>I tested positive for COVID-19 on May 18th. I was released from quarantine on May 28th and have completely recovered. I had mild symptoms of body aches and headaches, but nothing terrible. I never even had a fever. 
I have surgery scheduled for July 17th. I need a COVID-19 test 72 hours before surgery. That means I will need to be tested on July 14th. 
It is known that some patients still test positive 8 weeks after their initial test, even if they're fully recovered with no symptoms. My doctor said testing positive in that 8 week period won't count as a real positive test before surgery. However, 8 weeks after May 18th (original positive test) is July 13th. I need my test on July 14th. That means I can still test positive because it will have only been 8 weeks and 1 day, but my doctor said he will have to count it as a "re-infection" since it's technically over 8 weeks, which means my surgery will be rescheduled until I can test negative twice. 
THIS IS SO FRUSTRATING AND IM FREAKING OUT! 
I know I can test negative so there may not be anything to worry about. But I know I can test positive, too, and it'll mean my surgery will be rescheduled for no real reason because we know it's just a residual positive after 8 weeks and 1 day! Ughhhhh</t>
        </is>
      </c>
      <c r="D2725" t="n">
        <v>1</v>
      </c>
      <c r="E2725" t="n">
        <v>5</v>
      </c>
      <c r="F2725">
        <f>HYPERLINK("https://www.reddit.com/r/COVID19positive/comments/hmep5j/tested_positive_may_18_need_to_test_negative_on/")</f>
        <v/>
      </c>
      <c r="G2725" t="inlineStr">
        <is>
          <t>2020-07-06 12:31:26</t>
        </is>
      </c>
      <c r="H2725" t="inlineStr">
        <is>
          <t>Tested Positive - Me</t>
        </is>
      </c>
    </row>
    <row r="2726">
      <c r="A2726" t="inlineStr">
        <is>
          <t>hmest4</t>
        </is>
      </c>
      <c r="B2726" t="inlineStr">
        <is>
          <t>Been exposed and no where available to test</t>
        </is>
      </c>
      <c r="C2726" t="inlineStr">
        <is>
          <t>A relative of mine tested positive. Work doesn’t allow anyone back unless they are in the clear once exposed. How can anyone test if there are no available places/appointments to test? We need to be back at work</t>
        </is>
      </c>
      <c r="D2726" t="n">
        <v>1</v>
      </c>
      <c r="E2726" t="n">
        <v>5</v>
      </c>
      <c r="F2726">
        <f>HYPERLINK("https://www.reddit.com/r/COVID19positive/comments/hmest4/been_exposed_and_no_where_available_to_test/")</f>
        <v/>
      </c>
      <c r="G2726" t="inlineStr">
        <is>
          <t>2020-07-06 12:36:40</t>
        </is>
      </c>
      <c r="H2726" t="inlineStr">
        <is>
          <t>Tested Positive - Family</t>
        </is>
      </c>
    </row>
    <row r="2727">
      <c r="A2727" t="inlineStr">
        <is>
          <t>hmexxq</t>
        </is>
      </c>
      <c r="B2727" t="inlineStr">
        <is>
          <t>Two antibody tests, one negative and one positive (27F)</t>
        </is>
      </c>
      <c r="C2727" t="inlineStr">
        <is>
          <t xml:space="preserve">
So I find my own story quite interesting and thought I would share it here! 
Back in March I came back to the UK from France and 6 days later I lost my sense of taste and smell completely, which lasted 2 weeks. No other symptoms except a bit of fatigue. This hasn’t happened to me at all in my adult life so once I heard these symptoms were associated with Covid-19, I was certain I had had it. Especially as the timing of developing symptoms coincided perfectly with returning from my trip. 
Fast forward 3 months later to mid June and I got sent an antibody finger prick test. The result was a very faint but still distinct IgG positive line. The instructions for the kit stated that even a faint line counts, so I then had no doubt that I had Covid-19 back in March. 
Now I was lucky enough to be IgG antibody tested at work to support them with developing testing methods and this happened the day before I did my homework test kit. I just got the results through and produced a result of 0.17 (arbitrary units), which is well below the positive range (0.8 to 1.5 is considered borderline and anything above is positive). So this test result was non-zero but considered a negative, and it was a serum sample rather than just a finger prick so different extraction methods and thresholds apply, but I expected this one to be the positive out of the two!
Also, I live with my family and two of them have been tested and were completely negative. I feel like I may have had a low viral load to have produced weak/negative results and not passed it on to my family! Or I was just very cautious and my T cells did the work, or the antibodies just have not stuck around.</t>
        </is>
      </c>
      <c r="D2727" t="n">
        <v>1</v>
      </c>
      <c r="E2727" t="n">
        <v>5</v>
      </c>
      <c r="F2727">
        <f>HYPERLINK("https://www.reddit.com/r/COVID19positive/comments/hmexxq/two_antibody_tests_one_negative_and_one_positive/")</f>
        <v/>
      </c>
      <c r="G2727" t="inlineStr">
        <is>
          <t>2020-07-06 12:43:39</t>
        </is>
      </c>
      <c r="H2727" t="inlineStr">
        <is>
          <t>Tested Positive - Me</t>
        </is>
      </c>
    </row>
    <row r="2728">
      <c r="A2728" t="inlineStr">
        <is>
          <t>hmf8w7</t>
        </is>
      </c>
      <c r="B2728" t="inlineStr">
        <is>
          <t>I’ve had subtle symptoms for 8 days now</t>
        </is>
      </c>
      <c r="C2728" t="inlineStr">
        <is>
          <t xml:space="preserve">    It all started last Sunday (6/28) I woke up feeling nauseous and vomited. Throughout the day I experienced chills, hot flashes, and fatigue on top of the nausea. Fast forward a couple days, the nausea is gone but the chills and hot flashes remained. Since then all the way up until today the chills have disappeared but I still get minor hot flashes and fatigue (also yesterday I developed a low grade fever) and just a general weird feeling I can’t describe that only happens at random times during the day. I also need to add that for the majority of each day, I would feel completely normal but at random times throughout each day I would experience these symptoms listed above.
    Most of my symptoms have been improving though. Now, I got tested last Tuesday and it was negative, but my doctor told me to self isolate until I follow up with her and discuss a possible retest. Still feeling minor symptoms now so I got a retest today, waiting on the results for that. 
     I know it’s impossible to tell over the internet but does this sound like COVID? I’ve never experienced anything like this before, even with a bad stomach flu it usually only lasts like a day for me.
EDIT: I’m a 21 year old male with no pre existing conditions. I am 6’0 and 140 pounds if any of that is relevant.</t>
        </is>
      </c>
      <c r="D2728" t="n">
        <v>0</v>
      </c>
      <c r="E2728" t="n">
        <v>1</v>
      </c>
      <c r="F2728">
        <f>HYPERLINK("https://www.reddit.com/r/COVID19positive/comments/hmf8w7/ive_had_subtle_symptoms_for_8_days_now/")</f>
        <v/>
      </c>
      <c r="G2728" t="inlineStr">
        <is>
          <t>2020-07-06 12:59:09</t>
        </is>
      </c>
      <c r="H2728" t="inlineStr">
        <is>
          <t>Presumed Positive - From Doctor</t>
        </is>
      </c>
    </row>
    <row r="2729">
      <c r="A2729" t="inlineStr">
        <is>
          <t>hmfkhn</t>
        </is>
      </c>
      <c r="B2729" t="inlineStr">
        <is>
          <t>Anyone else make this mistake?</t>
        </is>
      </c>
      <c r="C2729" t="inlineStr">
        <is>
          <t>So after over a week or so of finally feeling like a million bucks, after my symptoms began on June 13th, I decided to drink alcohol on the 4th of July. It hit me harder than usual but I just assumed it was because I hadn’t had any alcohol in a very long time, but after a bad hangover it seems that a good bit of my symptoms have relapsed. I have a bit of a cough as well as extreme fatigue and possible shortness of breath, although this could be my anxiety (I have no idea how to tell the difference but I keep yawning just to get more air in.)
I wanted to know if anyone has had relapsed symptoms after drinking alcohol or even just after a few weeks of feeling better. I need words of comfort, I was idiotic for drinking at all but I had been feeling normal for a while. I’m 22F and seemed to fight the virus fairly easily the first time around. EVERYONE STAY AWAY FROM ALCOHOL, TAKE IT FROM ME!</t>
        </is>
      </c>
      <c r="D2729" t="n">
        <v>3</v>
      </c>
      <c r="E2729" t="n">
        <v>31</v>
      </c>
      <c r="F2729">
        <f>HYPERLINK("https://www.reddit.com/r/COVID19positive/comments/hmfkhn/anyone_else_make_this_mistake/")</f>
        <v/>
      </c>
      <c r="G2729" t="inlineStr">
        <is>
          <t>2020-07-06 13:15:40</t>
        </is>
      </c>
      <c r="H2729" t="inlineStr">
        <is>
          <t>Tested Positive - Me</t>
        </is>
      </c>
    </row>
    <row r="2730">
      <c r="A2730" t="inlineStr">
        <is>
          <t>hmfqn7</t>
        </is>
      </c>
      <c r="B2730" t="inlineStr">
        <is>
          <t>If someone had Covid and recovered, are they less likely to spread the virus?</t>
        </is>
      </c>
      <c r="C2730" t="inlineStr">
        <is>
          <t>I have a friend who suffered COVID and associated respiratory problems several months ago and was fully recovered after a few weeks.  Does that person now have immunity and therefore I can safely be In contact with her? I know she wouldn’t be contagious from her earlier COVID ... but what I’m wondering is could she catch it again and get me sick? She is not social distancing as much as me so she is probably more exposed. I’m trying to decide whether I’ll get together with her or not.  I figured someone who already went through COVID is probably one of the safer people to be around.  Could anyone point me to any articles or papers on this question?  Thanks.</t>
        </is>
      </c>
      <c r="D2730" t="n">
        <v>1</v>
      </c>
      <c r="E2730" t="n">
        <v>3</v>
      </c>
      <c r="F2730">
        <f>HYPERLINK("https://www.reddit.com/r/COVID19positive/comments/hmfqn7/if_someone_had_covid_and_recovered_are_they_less/")</f>
        <v/>
      </c>
      <c r="G2730" t="inlineStr">
        <is>
          <t>2020-07-06 13:24:53</t>
        </is>
      </c>
      <c r="H2730" t="inlineStr">
        <is>
          <t>Tested Positive - Friends</t>
        </is>
      </c>
    </row>
    <row r="2731">
      <c r="A2731" t="inlineStr">
        <is>
          <t>hmg45k</t>
        </is>
      </c>
      <c r="B2731" t="inlineStr">
        <is>
          <t>Day 15, Still Struggling to Breathe</t>
        </is>
      </c>
      <c r="C2731" t="inlineStr">
        <is>
          <t>Today is Day 15 of having COVID. Most of my symptoms have disappeared and the Health Department cleared me from quarantine, but I’m still having the lingering sense of shortness of breath. On some days it doesn’t feel as bad but then it comes back. Has anyone else experienced this? How long did it take for you to stop feeling short of breath? It’s making it difficult to do normal activities like even showering or walking around. Thank you in advance!</t>
        </is>
      </c>
      <c r="D2731" t="n">
        <v>1</v>
      </c>
      <c r="E2731" t="n">
        <v>5</v>
      </c>
      <c r="F2731">
        <f>HYPERLINK("https://www.reddit.com/r/COVID19positive/comments/hmg45k/day_15_still_struggling_to_breathe/")</f>
        <v/>
      </c>
      <c r="G2731" t="inlineStr">
        <is>
          <t>2020-07-06 13:44:28</t>
        </is>
      </c>
      <c r="H2731" t="inlineStr">
        <is>
          <t>Tested Positive - Me</t>
        </is>
      </c>
    </row>
    <row r="2732">
      <c r="A2732" t="inlineStr">
        <is>
          <t>hmg9xf</t>
        </is>
      </c>
      <c r="B2732" t="inlineStr">
        <is>
          <t>My parents have covid-19 and am just sick of it(23M)</t>
        </is>
      </c>
      <c r="C2732" t="inlineStr">
        <is>
          <t>So today I found out my mom tested positive today and my dad tested positive last week, and has been on quarantine ever since. My sister tested negative, that's good but tomorrow I'll get tested and am struggling right now because both my parents are quarantine in their rooms and depend on me to serve them food and take care of my younger sister. My aunts and uncles they'd help out a bit but the growing anxiety is crushing me (FYI am diagnosed with severe anxiety). We're a poor family in Florida and it's just getting worse by the minute. Any advice on how to deal with all of this misfortune?</t>
        </is>
      </c>
      <c r="D2732" t="n">
        <v>2</v>
      </c>
      <c r="E2732" t="n">
        <v>31</v>
      </c>
      <c r="F2732">
        <f>HYPERLINK("https://www.reddit.com/r/COVID19positive/comments/hmg9xf/my_parents_have_covid19_and_am_just_sick_of_it23m/")</f>
        <v/>
      </c>
      <c r="G2732" t="inlineStr">
        <is>
          <t>2020-07-06 13:53:11</t>
        </is>
      </c>
      <c r="H2732" t="inlineStr">
        <is>
          <t>Tested Positive - Family</t>
        </is>
      </c>
    </row>
    <row r="2733">
      <c r="A2733" t="inlineStr">
        <is>
          <t>hmgcm5</t>
        </is>
      </c>
      <c r="B2733" t="inlineStr">
        <is>
          <t>Family member tested positive. I need the no-BS stats. I cant find clean clear data onpine</t>
        </is>
      </c>
      <c r="C2733" t="inlineStr">
        <is>
          <t>Facts:
- 70 years old male
- no chronic illnesses, risk factors, comorbidities as identified by cdc
- optimal BMI and physically fit
Current symptoms: (day 3 since symptoms began)
- mild fever (100F)
- no respiratory symptoms
- aches and pains, chills
Need the %’s on:
- % chance of hospitalization
- % chance of intubation
- % chance of fatality 
Obviously worried. Need facts and expectations. Thanks</t>
        </is>
      </c>
      <c r="D2733" t="n">
        <v>3</v>
      </c>
      <c r="E2733" t="n">
        <v>9</v>
      </c>
      <c r="F2733">
        <f>HYPERLINK("https://www.reddit.com/r/COVID19positive/comments/hmgcm5/family_member_tested_positive_i_need_the_nobs/")</f>
        <v/>
      </c>
      <c r="G2733" t="inlineStr">
        <is>
          <t>2020-07-06 13:57:07</t>
        </is>
      </c>
      <c r="H2733" t="inlineStr">
        <is>
          <t>Tested Positive - Family</t>
        </is>
      </c>
    </row>
    <row r="2734">
      <c r="A2734" t="inlineStr">
        <is>
          <t>hmhbe1</t>
        </is>
      </c>
      <c r="B2734" t="inlineStr">
        <is>
          <t>Needs tips on how to stay sane/move around while in isolation</t>
        </is>
      </c>
      <c r="C2734" t="inlineStr">
        <is>
          <t>I felt symptoms on Thursday, got my positive result on Saturday. My husband has tested negative twice so I’ve been isolating in our guest room and only leaving it to use the bathroom/shower. I’ve gotten to the point where I’m not sure if my headaches and body aches are from covid or from not moving around or leaving this room. I can’t muster up too much energy without being complete out of breath and my body aches when I move too much but have you guys done any exercises (more like simple movements) that help keep you moving? Also, I need to either find really awesome new shows to watch or something other than tv to keep me sane. Please help.</t>
        </is>
      </c>
      <c r="D2734" t="n">
        <v>1</v>
      </c>
      <c r="E2734" t="n">
        <v>5</v>
      </c>
      <c r="F2734">
        <f>HYPERLINK("https://www.reddit.com/r/COVID19positive/comments/hmhbe1/needs_tips_on_how_to_stay_sanemove_around_while/")</f>
        <v/>
      </c>
      <c r="G2734" t="inlineStr">
        <is>
          <t>2020-07-06 14:48:59</t>
        </is>
      </c>
      <c r="H2734" t="inlineStr">
        <is>
          <t>Tested Positive - Me</t>
        </is>
      </c>
    </row>
    <row r="2735">
      <c r="A2735" t="inlineStr">
        <is>
          <t>hmhf59</t>
        </is>
      </c>
      <c r="B2735" t="inlineStr">
        <is>
          <t>Who has sleep issues???</t>
        </is>
      </c>
      <c r="C2735" t="inlineStr">
        <is>
          <t>I am into week 7 now with this virus. My biggest issues I’m facing is lack of appetite, fatigue, and not being able to sleep!! I mean not being able to sleep at all without medicine. I had been using Xanax to get a few hours on and off all night long.... for 6 weeks now..
Other medications didn’t work. Now I’m on a depression med that helps with appetite and hunger and insomnia. I’m able to get some sleep with it now. But during the day I’m unable to nap at all unless I take Xanax, which I’m trying not to take as much now. Anyone else just can’t sleep? That part is making this feel so helpless... Something in me doesn’t want to shut down. Or if I fall into a sleep some weird sensation wakes me up. Anyone else in this boat? 
If I could sleep I think I would be doing a lot better mentally with all this....</t>
        </is>
      </c>
      <c r="D2735" t="n">
        <v>1</v>
      </c>
      <c r="E2735" t="n">
        <v>12</v>
      </c>
      <c r="F2735">
        <f>HYPERLINK("https://www.reddit.com/r/COVID19positive/comments/hmhf59/who_has_sleep_issues/")</f>
        <v/>
      </c>
      <c r="G2735" t="inlineStr">
        <is>
          <t>2020-07-06 14:54:33</t>
        </is>
      </c>
      <c r="H2735" t="inlineStr">
        <is>
          <t>Presumed Positive - From Doctor</t>
        </is>
      </c>
    </row>
    <row r="2736">
      <c r="A2736" t="inlineStr">
        <is>
          <t>hmhib9</t>
        </is>
      </c>
      <c r="B2736" t="inlineStr">
        <is>
          <t>Lack of Sleep is Making Me Go Crazy (25 M)</t>
        </is>
      </c>
      <c r="C2736" t="inlineStr">
        <is>
          <t>This begins back around the week of June 15th where my significant other (27 F) decided to visit her family in Arkansas. Her and I both have stayed home this entire quarantine, including her family, so I didn't really think much of it. The whole reason she went was because her family has stayed home since March and so did she, so it really wasn't anything to worry about. They went out to the store like a few times while she was there, masks and social distancing. Abiding by the rules. 
So fast forward to the 21st, she comes back home (Texas) and I'm elated to see her again. She had no symptoms up until the 23rd/24th (fever, fatigue) so she decided to go get tested on the 26th. Came back positive on the 3rd last Friday. Once the symptoms started showing I decided to start sleeping on a mattress on the other side of the house, just to be sure. 
Was fine up until the 26th. Had a lot of fatigue. Slight fever. Wet cough with a lot of phlegm. Nothing yet too alarming. Decide to sleep it out. 
(Day 2) 6/27: A lot more fatigue. Higher fever (100) Still some coughing with phlegm. Took some Nyquil. Nothing too major. 
(Day 3) 6/28 Woke up super stuffy still with fever (99.8). Took 2 pills of 325 mg acetaminophen and 5mg phenylephrine. Fever went down to around 98 and got a little sniffly Slept decent these past few nights.
(Day 4) 6/29: Woke up with no smell or taste. Really really tired. A slight cough. Not really much of a fever. Started getting slight SOB. Especially in the back. Was taking Dayquil and Nyquil. slept fine again. 
(Day 5) 6/30: Woke up really tired and nauseous. Still a slight SOB. Sore, especially in my back. Progressed a bit better throughout the day then decided to puke up my dinner of spring mix after drinking some ginger green tea with lime then the fatigue and nausea came back. 
(Day 6) July 1st: Woke up with no fever but with the electricity out, so was super warm. Felt okay. SOB still there, especially tightness in the chest and back. Felt super super weak towards the end of the day until I ate some fruit and felt a bit better. 
(Day 7) 7/2: Felt really really fatigued with still shortness of breath. Taste and smell started coming back slowly but just slightly.  Still taking Dayquil and Nyquil during this time. Still sleeping fine.
(Day 8) 7/3: Nothing really other than occasional SOB but really bad fatigue throughout most of the day. Got an oximeter from Walgreens and my oxygen was around 97-99. Felt a lot better after that. Got some Zincum tablets and Emergenc-e immune plus with 1000mg Vit C. Probably ate the most so far this day. Back felt really sore. Stomach was kinda bubbly. Slept fine again.
(Day 9) 7/4: Still slight SOB and fatigue. Taste probably at 90% now. Smell at 80%. felt a lot better after eating some granola and trail mix with some emergen-c afterwards. felt like i was back at like 70%. Still taking Dayquil/Nyquil and some melatonin (5mg). Starting having trouble sleeping. Slept from about 12am to 4am and could not go back to sleep after taking another melatonin. Thought I was excited about the f1 race in the morning lmao.
(Day 10) 7/5: Up for the F1 race and enjoyed it. Didn't feel bad at all other than just tired which was obvious. No cough but if I forced myself to cough, yellowish phlegm would come out, but it was very rare. Took a shower for the 1st time in a while. Was pretty winded afterwards but not too bad. Taste and smell pretty close to 100% now. Still haven't slept since 4am. Still taking emergen-c, dayquil. Drank some chamomile tea and took some nyquil again with 10mg melatonin. Did not sleep one minute. Was scared to death. Mouth so dry. Felt like the my throat was closing up. Decided to lay down with girlfriend bc i didn't know what to do. Still couldn't sleep.
(Day 11) 7/6: Here I am still awake. Tried up until 1pm to sleep but to no avail. Ran to Walgreens to get a few things to help me sleep. Ashwagandha gummies for stress. Natural vitality calm magnesium supplement, and some zzzquil. Gonna try to not take melatonin anymore. Still taking Dayquil as precautionary. If I can't sleep tonight I don't know what to do. Should I go to the hospital or doctor? I have no idea. Oxygen levels still the same (97-99) Very very sore in my back and I can feel my lungs are weak. I think they just need to heal from inflammation. 
Some info about me. I'm obese (5'9, 270) but not really any preexisting conditions. Take zoloft and wellbutrin for depression and anxiety and then standard cetirizine for allergies. I have always been considered somewhat healthy other being told to lose weight. Don't smoke, but I used to use a dry herb vape for weed but I'm not touching that thing for a very very long time, maybe ever. I just really don't know what to do with this sleep thing. It's starting to scare me because I NEVER EVER have had trouble sleeping up until now. Sorry if some of this sounds incoherent. I just don't know what to do anymore.</t>
        </is>
      </c>
      <c r="D2736" t="n">
        <v>1</v>
      </c>
      <c r="E2736" t="n">
        <v>5</v>
      </c>
      <c r="F2736">
        <f>HYPERLINK("https://www.reddit.com/r/COVID19positive/comments/hmhib9/lack_of_sleep_is_making_me_go_crazy_25_m/")</f>
        <v/>
      </c>
      <c r="G2736" t="inlineStr">
        <is>
          <t>2020-07-06 14:59:11</t>
        </is>
      </c>
      <c r="H2736" t="inlineStr">
        <is>
          <t>Presumed Positive - From Test</t>
        </is>
      </c>
    </row>
    <row r="2737">
      <c r="A2737" t="inlineStr">
        <is>
          <t>hmhlvi</t>
        </is>
      </c>
      <c r="B2737" t="inlineStr">
        <is>
          <t>I tested Postive</t>
        </is>
      </c>
      <c r="C2737" t="inlineStr">
        <is>
          <t>Hi guys, so I know how terrifying it is to test postive and what really helped me calm down was seeing how others symptoms progressed so I could monitor mine. Luckily now my husband and I are recovering smoothly so I thought I would share what my experience was like. It was a mild case and we are both so lucky to have pulled through. My husband and I both have asthma so this postive definitely scared me.
Here is a list of things that really helped us:
- An Oximeter..These are not as expensive as you think and really helps if you are experiencing shortness of breath. I struggle with anxiety and it made the shortness of breath worse. Seeing that I was okay and still in a healthy range really eased the anxiety.  Not to mention it will let you know when to go to the hospital.  
-Vitamins D, C, Zinc, electrolytes and nasal spray. These all helped and thankfully we are making a speedy recovery.  
-Tylenol 
- Heat packs for pain
Here is also a list of my symptoms and how they progressed.  I started showing symptoms on Saturday  27th and am now feeling alot better. (Today 6th)
Day 1 (Sat 27th-
Body aches, 
Sore throat, 
Chills, 
Stomach pain, 
Slight Cough,  
Day 2 (Sun 28th)-
Body aches, 
Fatigue, 
Sore throat, 
Fever of 101, 
Stomach pain, 
Chills, 
Cough,  
Day 3 (Mon 29th)-
No fever, 
Stomach pain, 
Fatigue,  
Sore throat, 
Cough, 
Chills, 
Body aches, 
Loss of smell, 
Day 4 (Tues 30th)-
No fever, 
Stomach pain, 
Cough, 
Slight breathing issues,  
No taste or smell, 
Body aches much worse, 
Day 5- Wed 1st
No Fever, 
Cough, 
Shortness of breath, 
Body aches, 
No taste or smell, 
Day 6-Thurs 2nd 
No fever, 
Cough, 
Shortneas of breath,  
Congestion, 
No smell or taste, 
Day 7-Friday 3rd
No fever, 
Cough, 
Congestion, 
No sense of smell or taste, 
Breathing still short, 
Chest sore, 
Day 8- Saturday 4th
No fever, 
Cough, 
Congestion, 
No sense of smell, 
Breathing improving, 
Chest still sore, 
Day 9-Sunday 5th
No fever, 
Slight Cough,  
Congestion, 
No sense of smell or taste,  
Day 10-Monday 6th
No fever, 
Slight Cough,  
Asthma flare ups, 
Slight Congestion, 
No smell or taste, 
Stay safe everyone and please know youre not alone! This is definitely a scary experience and my heart is out there for anyone with a postive test. I wish everyone a speedy recovery.
(Sorry I'm on mobile, had to edit spelling)</t>
        </is>
      </c>
      <c r="D2737" t="n">
        <v>3</v>
      </c>
      <c r="E2737" t="n">
        <v>69</v>
      </c>
      <c r="F2737">
        <f>HYPERLINK("https://www.reddit.com/r/COVID19positive/comments/hmhlvi/i_tested_postive/")</f>
        <v/>
      </c>
      <c r="G2737" t="inlineStr">
        <is>
          <t>2020-07-06 15:04:12</t>
        </is>
      </c>
      <c r="H2737" t="inlineStr">
        <is>
          <t>Tested Positive - Me</t>
        </is>
      </c>
    </row>
    <row r="2738">
      <c r="A2738" t="inlineStr">
        <is>
          <t>hmihpj</t>
        </is>
      </c>
      <c r="B2738" t="inlineStr">
        <is>
          <t>Unusual Symptoms such a hot prickling feeling on skin and pin and needles in hand.</t>
        </is>
      </c>
      <c r="C2738" t="inlineStr">
        <is>
          <t>Hello, my family had covid several months ago. My symptoms were unusual I guess and figured I’d share in the event others experienced same. My first symptom was a headache in the back of my skull, with face pain (similar to a sinus infection). I also had a mild sore throat and dry cough that felt as if something was in my chest, but I couldn’t cough it up. I guess those are the more common symptoms, but I also had this reoccurring hot, prickly feeling on my skin that would come and go in waves. I also had pins and needle waves in my hand. I also had a dry and excess amount of bloody snot in my nose, that also formed a scab. Vertigo lasted for about a week. Never had a fever, or GI issues. All of these symptoms didn’t occur at once, but in stages. With that last of it being the hot prickly feeling on my skin, and pins and needles in my hand. From beginning to end, it lasted about 3 months. I’m 37 years old and O negative blood type.</t>
        </is>
      </c>
      <c r="D2738" t="n">
        <v>1</v>
      </c>
      <c r="E2738" t="n">
        <v>8</v>
      </c>
      <c r="F2738">
        <f>HYPERLINK("https://www.reddit.com/r/COVID19positive/comments/hmihpj/unusual_symptoms_such_a_hot_prickling_feeling_on/")</f>
        <v/>
      </c>
      <c r="G2738" t="inlineStr">
        <is>
          <t>2020-07-06 15:52:02</t>
        </is>
      </c>
      <c r="H2738" t="inlineStr">
        <is>
          <t>Presumed Positive - From Doctor</t>
        </is>
      </c>
    </row>
    <row r="2739">
      <c r="A2739" t="inlineStr">
        <is>
          <t>hmik0s</t>
        </is>
      </c>
      <c r="B2739" t="inlineStr">
        <is>
          <t>Thought I was done with this all but here we are.... Possible re-infection or just another wave?</t>
        </is>
      </c>
      <c r="C2739" t="inlineStr">
        <is>
          <t>Haven't posted too much but have been checking up on everything here pretty frequently. Apologies for the long post my anxiety is at an all time high right now and just need some support.
Back in mid march I got sick. Had all the classic symptoms (fever, chest/lung issues, short of breath, rash, loss of taste/smell, GI issues + many more). While I live in Brooklyn - at the time NYC was only testing high risk people and people exposed to a confirmed positive case and I was not able to get a test anywhere because I did not meet those requirements. My dr told me that I was presumed positive and to stay quarantined in my room away from my sister and pets until the fever and all symptoms went away. I did exactly that. Despite quarantining and taking all precautions my sister caught it a week later and had all the same symptoms minus the loss of taste and smell.
We both had "mild" cases, mine was a little worse than hers, and we both seemed to feel almost 80% back to normal after two weeks. About two weeks after I had "recovered" I started to feel symptoms again. The main issue this time was chest tightness, major shortness of breath and chest pains. About then was when I found this sub and discovered that it was possible to get a second wave of symptoms.  My doctor confirmed this. For about a month and a half or so after this I dealt with symptoms coming and going. The worst was the lingering shortness of breath which got in the way of my every day life. Symptoms would flare up whenever I over exerted myself or my anxiety was high. I slowly got myself almost back to normal. Kept to a strict healthy diet, did breathing exercises obsessively, rested as much as I could and did light yoga when I was feeling up to it. I got myself back to feeling about 95% back to normal.
Fast forward to three weeks ago - my grandfather (who i have not seen since the beginning of march) was admitted into the hospital with 102 fever and all the classic covid symptoms. He is strong and very healthy for his age and thankfully was released from the hospital a week later. He had to be released into my parents care as he was too weak to be on his own. Taking care of him has been tough on my parents so I took the chance and spent the weekend there to help them out. We have all been extremely careful in the house but as we all know with covid it is highly contagious. A few days later I started to feel some symptoms again. Very mild - but exactly the same things I was feeling for almost two and a half months straight back in march-may.
Now for myself I thought this was just another "wave" so I didn't think anything of it. My symptoms pretty much went away after a week and I am feeling ok now. But when my sister started to feel symptoms again a week later that is when I got nervous. What are the chances of us being on the exact same schedule for the "waves"? We have been feeling I would say about 95% back to normal for more than a month now. It just all seemed very strange especially since we have been around our grandfather. My doctor said there is not alot of evidence around re-infection but studies show antibodies can fade quickly and no one really knows.
Anyway, my sister and I got a PCR nasal swab test on Thursday 7/2 and have been quarantining since. They said it can take up to 7 days to get the results back. I do not regret my decision to go help out my parents as they were really struggling. I cannot imagine going through this all again if we do test positive. I am thankful we both recovered and did not have any major issues but it really took a toll on both of us. Hoping for the best and trying to stay calm until then.....
Thanks for reading. Hope everyone is doing well.</t>
        </is>
      </c>
      <c r="D2739" t="n">
        <v>2</v>
      </c>
      <c r="E2739" t="n">
        <v>11</v>
      </c>
      <c r="F2739">
        <f>HYPERLINK("https://www.reddit.com/r/COVID19positive/comments/hmik0s/thought_i_was_done_with_this_all_but_here_we_are/")</f>
        <v/>
      </c>
      <c r="G2739" t="inlineStr">
        <is>
          <t>2020-07-06 15:55:39</t>
        </is>
      </c>
      <c r="H2739" t="inlineStr">
        <is>
          <t>Presumed Positive - From Doctor</t>
        </is>
      </c>
    </row>
    <row r="2740">
      <c r="A2740" t="inlineStr">
        <is>
          <t>hmizt8</t>
        </is>
      </c>
      <c r="B2740" t="inlineStr">
        <is>
          <t>When does fatigue go away?</t>
        </is>
      </c>
      <c r="C2740" t="inlineStr">
        <is>
          <t>Seems like it comes and goes randomly. I haven’t tried exercising yet, but is the chance of having long term fatigue (longer than 3 weeks or so) more likely than not?</t>
        </is>
      </c>
      <c r="D2740" t="n">
        <v>1</v>
      </c>
      <c r="E2740" t="n">
        <v>3</v>
      </c>
      <c r="F2740">
        <f>HYPERLINK("https://www.reddit.com/r/COVID19positive/comments/hmizt8/when_does_fatigue_go_away/")</f>
        <v/>
      </c>
      <c r="G2740" t="inlineStr">
        <is>
          <t>2020-07-06 16:20:57</t>
        </is>
      </c>
      <c r="H2740" t="inlineStr">
        <is>
          <t>Presumed Positive - From Test</t>
        </is>
      </c>
    </row>
    <row r="2741">
      <c r="A2741" t="inlineStr">
        <is>
          <t>hmj0pf</t>
        </is>
      </c>
      <c r="B2741" t="inlineStr">
        <is>
          <t>My COVID Experience</t>
        </is>
      </c>
      <c r="C2741" t="inlineStr">
        <is>
          <t>I just tested positive for COVID today (along with my son and husband), and wanted to share my experience just in case anyone was concerned about their symptoms and needed so clarity. There is so little out there, I feel like this group helped me more than anything.
Symptoms:
I (26F) have had very minimal symptoms which include: loss of taste/smell, stuffy nose, congestion, and headache. No fever, cough, or noticeable shortness of breath. 
06/29: Scratchy throat
06/30: Sore Throat (Minor), Sneezing (Minimal), Headache (Minor.)
07/01: Stuffy nose
07/02: Headache, Stuffy nose, Loss of about 70% taste/smell.
07/03: AM - Stuffy nose. Loss of 100% taste and smell 
07/04: No taste or smell, Stuffy nose, Congestion 
07/05: No taste or smell, Groggy, Lightheaded
07/06: Tested Positive. Headache. No taste or smell
Testing Experience 
I was really nervous about testing. We have all seen the pictures/videos of people getting that huge swan stuck up their nose, and I was definitely not looking forward to it. 
They swabbed each side of my nose, and it was definitely not very pleasant. It wasn’t really painful but just more uncomfortable - kind of like a burning sensation. My eyes watered up but it wasn’t as horrible as I had expected. I think it goes by so quickly you don’t really even have time to think about it too much. I did get a super bad migraine afterwards though, but that could just be me. 
TIP: Take a box of tissues with you. Your nose will be runny afterwards. Also, bring a stress ball to squeeze if you want to be extra prepared haha. 
COVID in Kids
My son tested positive as well and he is 8 years old. His only symptom was a fever that lasted 3 days. His highest temp was 101.4. Even then, his demeanor was completely normal - playing and running around all day. The doctor who tested us said he is likely not going to have any additional symptoms. 
Where did you get it?
We think the virus started with my husband and then spread to myself and our son. He had to travel to Iowa for work (by car), which took about 10 hours. He stayed in a couple of hotels, and during that time was a bit more lax due to being in a smaller town. He went to the barber and a couple of restaurants. One of his coworkers also tested positive who was on that trip. 
How cautious were you?
Normally at home we are very safe. We do grocery pickup at least 75% of the time. Both of us are working from home, so aside from that work trip my husband went on last month we have been home. We wear masks anytime we leave the house, and sanitize our hands often. 
Summary
Luckily we are all fairly young (26F, 29M, and 8M), so our cases are very mild. I think this is just proof that you can have COVID without necessarily having a fever or cough which are the two most common symptoms. Also, it makes me more aware of how easily COVID could spread. I could have easily brushed aside my symptoms as allergies or sinus issues and continued about my business as usual - going to stores, visiting family etc. Luckily I didn’t, but I see how easy it is to write it off as something else. So please just stay cautious. Wear masks, avoid travel when possible, and keep your hands washed. 
Stay safe everyone!</t>
        </is>
      </c>
      <c r="D2741" t="n">
        <v>3</v>
      </c>
      <c r="E2741" t="n">
        <v>18</v>
      </c>
      <c r="F2741">
        <f>HYPERLINK("https://www.reddit.com/r/COVID19positive/comments/hmj0pf/my_covid_experience/")</f>
        <v/>
      </c>
      <c r="G2741" t="inlineStr">
        <is>
          <t>2020-07-06 16:22:18</t>
        </is>
      </c>
      <c r="H2741" t="inlineStr">
        <is>
          <t>Tested Positive</t>
        </is>
      </c>
    </row>
    <row r="2742">
      <c r="A2742" t="inlineStr">
        <is>
          <t>hmj92y</t>
        </is>
      </c>
      <c r="B2742" t="inlineStr">
        <is>
          <t>Day 14</t>
        </is>
      </c>
      <c r="C2742" t="inlineStr">
        <is>
          <t>Just got my results &amp;amp; i was negative for Covid but it’s definitely a false-negative as I felt like crap 14 days ago &amp;amp; started feeling like my usual self on day 12 two days ago.</t>
        </is>
      </c>
      <c r="D2742" t="n">
        <v>1</v>
      </c>
      <c r="E2742" t="n">
        <v>4</v>
      </c>
      <c r="F2742">
        <f>HYPERLINK("https://www.reddit.com/r/COVID19positive/comments/hmj92y/day_14/")</f>
        <v/>
      </c>
      <c r="G2742" t="inlineStr">
        <is>
          <t>2020-07-06 16:35:32</t>
        </is>
      </c>
      <c r="H2742" t="inlineStr">
        <is>
          <t>Presumed Positive - From Test</t>
        </is>
      </c>
    </row>
    <row r="2743">
      <c r="A2743" t="inlineStr">
        <is>
          <t>hmjktj</t>
        </is>
      </c>
      <c r="B2743" t="inlineStr">
        <is>
          <t>Post COVID fatigue? Advice?</t>
        </is>
      </c>
      <c r="C2743" t="inlineStr">
        <is>
          <t>I am entering my 3rd week of being COVID positive, and am struggling bad with the fatigue aspect. I only had about 3/4 days where I felt traditionally sick (mostly sinus infection like symptoms for me and nothing else). 
Once these subsided, I figured I just had a mild case and would be recovering quick. Well all the rest of that week even now I have been battling moderate fatigue. I can do my daily tasks, go to the store, etc. but I tire very easy. I am not nearly at 100% and the fatigue just feels weird. Like heavy behind the eyes, and Achey body type of fatigue. 
I would not consider myself sick anymore at this point I otherwise have no symptoms but this is lingering and driving me insane. Does anyone have any similar experiences? Did anything in particular help you? Supplements, etc?</t>
        </is>
      </c>
      <c r="D2743" t="n">
        <v>1</v>
      </c>
      <c r="E2743" t="n">
        <v>19</v>
      </c>
      <c r="F2743">
        <f>HYPERLINK("https://www.reddit.com/r/COVID19positive/comments/hmjktj/post_covid_fatigue_advice/")</f>
        <v/>
      </c>
      <c r="G2743" t="inlineStr">
        <is>
          <t>2020-07-06 16:55:07</t>
        </is>
      </c>
      <c r="H2743" t="inlineStr">
        <is>
          <t>Tested Positive - Me</t>
        </is>
      </c>
    </row>
    <row r="2744">
      <c r="A2744" t="inlineStr">
        <is>
          <t>hmk3xs</t>
        </is>
      </c>
      <c r="B2744" t="inlineStr">
        <is>
          <t>Sure, I’ll bite. Why not?</t>
        </is>
      </c>
      <c r="C2744" t="inlineStr">
        <is>
          <t>I got tested this morning and was told I’ll have to wait roughly 7 days for the result. Here’s the timeline:
Day 1: Was dry coughing for most of the day. At the time I attributed it to seasonal allergies because it wouldn’t be the first time that’s happened. I also attributed it to visiting a work site I haven’t gone to very often and probably inhaled something weird in the building. Whatever. It happens.
Day 2: Occasional coughing, some of it like I had some crap in my lungs that needed out. Felt more congested than usual. Equilibrium was starting to feel a little iffy. But again, seasonal allergies (wahoo).
Day 3: Occasional coughing, nasal congestion, food was starting to lose flavor but I could still taste and smell a lot of it. But my equilibrium was feeling waaaaay off all day. Which in the past for me was a sign I caught some kind of something.
Day 4: Same as day 3 except I lost a bit more of my sense of taste and my equilibrium was back to normal.
Day 5: Complete loss of taste and smell. Decided to look up symptoms of COVID-19 as I recall hearing about loss of smell/taste as one of the symptoms that I couldn’t easily attribute to seasonal allergies. Couldn’t enjoy wedding anniversary dinner. Sad panda.
Day 6: Still no sense of taste/smell. Became ornery.
Day 7: Today. Still no sense taste/smell. Really miss dessert...
I had no headaches. No sore throat. And I miss enjoying food.</t>
        </is>
      </c>
      <c r="D2744" t="n">
        <v>0</v>
      </c>
      <c r="E2744" t="n">
        <v>8</v>
      </c>
      <c r="F2744">
        <f>HYPERLINK("https://www.reddit.com/r/COVID19positive/comments/hmk3xs/sure_ill_bite_why_not/")</f>
        <v/>
      </c>
      <c r="G2744" t="inlineStr">
        <is>
          <t>2020-07-06 17:27:54</t>
        </is>
      </c>
      <c r="H2744" t="inlineStr">
        <is>
          <t>Presumed Positive - From Doctor</t>
        </is>
      </c>
    </row>
    <row r="2745">
      <c r="A2745" t="inlineStr">
        <is>
          <t>hmk4gs</t>
        </is>
      </c>
      <c r="B2745" t="inlineStr">
        <is>
          <t>I haven’t gotten tested yet, but this has been a weird experience</t>
        </is>
      </c>
      <c r="C2745" t="inlineStr">
        <is>
          <t>One second I’m weak, sluggish, and my chest pains are really bad, the next I’m slightly energetic with just a slight discomfort in my chest.
But the weirdest thing has been my appetite, it’s during those feel good stages that I get SUPER hungry, then afterwards I go back to being in pain and feeling super sick. 
It’s day 4 and I started coughing now, too. Not too much, it’s just when my throat get filled with mucus. 
I’m kinda hopeful I’ll push through this. It sucks that I can’t get tested because it costs $80. I feel like in the middle of a pandemic testing should be free, but maybe it’s just to lower the case numbers...</t>
        </is>
      </c>
      <c r="D2745" t="n">
        <v>1</v>
      </c>
      <c r="E2745" t="n">
        <v>21</v>
      </c>
      <c r="F2745">
        <f>HYPERLINK("https://www.reddit.com/r/COVID19positive/comments/hmk4gs/i_havent_gotten_tested_yet_but_this_has_been_a/")</f>
        <v/>
      </c>
      <c r="G2745" t="inlineStr">
        <is>
          <t>2020-07-06 17:28:52</t>
        </is>
      </c>
      <c r="H2745" t="inlineStr">
        <is>
          <t>Presumed Positive - From Test</t>
        </is>
      </c>
    </row>
    <row r="2746">
      <c r="A2746" t="inlineStr">
        <is>
          <t>hml2dx</t>
        </is>
      </c>
      <c r="B2746" t="inlineStr">
        <is>
          <t>COVID Positive in Prison</t>
        </is>
      </c>
      <c r="C2746" t="inlineStr">
        <is>
          <t>I just spoke with my prison penpal, and he's recovering from COVID. He told me that they're just letting the virus spread through the prison. He said that the virus came in with the kitchen supply deliveries, and spread through the kitchen staff. It's absolutely inhumane to neglect basic health protection and food hygiene like this. While he was sick he was sent to a quarantine ward. Every day they were checking vitals and giving ibuprofen. It really broke my heart to hear his experience. I can't imagine having to deal with this sickness with so few resources and so little communication with other people and the outside world. I don't know what I would do without all of you on this subreddit. He was so happy to speak to another COVID survivor about the experience. Even though he's only been better for about 3 weeks, he seems to have all the problems that us long haulers have. I told him what I know, what the doctor told me, what I've read here, what I've tried, in the hopes that it might help him. Unfortunately the available medical care is limited to aspirin, and not much else. My heart goes out to him and to all the people suffering from this illness while trapped in this system that doesn't care if they live or die.</t>
        </is>
      </c>
      <c r="D2746" t="n">
        <v>3</v>
      </c>
      <c r="E2746" t="n">
        <v>58</v>
      </c>
      <c r="F2746">
        <f>HYPERLINK("https://www.reddit.com/r/COVID19positive/comments/hml2dx/covid_positive_in_prison/")</f>
        <v/>
      </c>
      <c r="G2746" t="inlineStr">
        <is>
          <t>2020-07-06 18:28:25</t>
        </is>
      </c>
      <c r="H2746" t="inlineStr">
        <is>
          <t>Presumed Positive - From Test</t>
        </is>
      </c>
    </row>
    <row r="2747">
      <c r="A2747" t="inlineStr">
        <is>
          <t>hml3hv</t>
        </is>
      </c>
      <c r="B2747" t="inlineStr">
        <is>
          <t>The early/mid-March mystery cases</t>
        </is>
      </c>
      <c r="C2747" t="inlineStr">
        <is>
          <t>I’ve heard of so many people that became severely ill in early to mid March but were denied testing, and finally when antibody testing is made available for many it’s been months since they were sick so the antibody testing is inconclusive. (I am one of these March cases as well). Who else out there has a similar story?
I became extremely ill in mid March. I was sick for three weeks and the fourth week I’m chalking up to anxiety/insomnia due to my being so sick during a pandemic. I am a healthy 39yo female. 
My symptoms were:
• Shivering uncontrollably while feeling overheated
• Inability to regulate body temp (would be freezing cold then sweating/hot)
• waking up drenched in sweat
• sore throat, sinuses/throat/lungs felt like they were on fire or like someone covered them in icy hot 
• body aches and fatigue that had me bedridden
• facial flushing, hot flashes, burning sensation on my skin that felt like icy hot
• diarrhea, nausea, loss of appetite - eating was torture I had to force myself to eat. I lost 20 lbs
• very sore/aching back of neck and shoulders
• exhaustion/weakness - walking downstairs and back left me out of breath, heart racing and fatigued
• Headache that radiated begins my eyes and straight through my brain between my temples.
• I could breathe okay, but I felt like there was a tight band wound around my rib cage. Breathing was sometimes hard but I chalked that up to my anxiety. 
• Very vivid, surreal odd dreams.
I had my husband stay downstairs away from me and isolated myself upstairs during this time because I was assuming COVID. I remember thinking I wasn’t gonna make it at one point. What I went through changed me forever. I didn’t sleep in our bedroom for weeks afterwards because of the association with this illness. My husband remodeled our bedroom so that I wouldn’t be reminded of this nightmare experience.
This virus played some sick mind games with me. I had so many intermittent moments where I felt better (which gave me such hope) and where I thought I was on the upswing (finally!) only to get knocked back down again HARD. It made me lose hope in ever feeling better again. Now that it’s been almost 4 months I’m finally feeling pretty normal but I did seem to develop GERD after this whole ordeal.
I couldn’t get tested in mid March because I didn’t meet the criteria (didn’t have known contact with someone who tested positive and I didn’t have a cough). When I was finally approved for antibody testing it was 3 months later and my levels were .25 (you need 1.0 to be considered positive) so that was a negative. 
I wish there was a way to KNOW if I had it. 
Will those of us who were sick early on and denied testing ever be able to know? The not knowing has driven me insane!</t>
        </is>
      </c>
      <c r="D2747" t="n">
        <v>2</v>
      </c>
      <c r="E2747" t="n">
        <v>40</v>
      </c>
      <c r="F2747">
        <f>HYPERLINK("https://www.reddit.com/r/COVID19positive/comments/hml3hv/the_earlymidmarch_mystery_cases/")</f>
        <v/>
      </c>
      <c r="G2747" t="inlineStr">
        <is>
          <t>2020-07-06 18:30:34</t>
        </is>
      </c>
      <c r="H2747" t="inlineStr">
        <is>
          <t>Presumed Positive - From Doctor</t>
        </is>
      </c>
    </row>
    <row r="2748">
      <c r="A2748" t="inlineStr">
        <is>
          <t>hmmeor</t>
        </is>
      </c>
      <c r="B2748" t="inlineStr">
        <is>
          <t>Worried that I potentially exposed my family. What should we be expecting?</t>
        </is>
      </c>
      <c r="C2748" t="inlineStr">
        <is>
          <t>I was exposed through a client at work that I noticed was showing symptoms and while we were waiting for her results to get back mine came in as positive. The exposure was between 6/18 to 6/24 but I thought the client had gotten tested and was negative before intake. This evidently was not the case. The weekend in between was Father's Day weekend and I felt fine and thought it would be okay to celebrate with family. Now I'm finding out that I could've exposed them on 6/21. This was the only day I was around them. My positive results are from 6/27 and my only symptom was shortness of breath that I thought was allergy related on 6/19. I struggle with this regularly so I didn't think anything of it.
I'm sick to my stomach with worry about my family. Knowing this timeline and the fact that none of my family members have shown any symptoms how likely is it that they are in the clear from the exposure on 6/21? Would I have definitely had it at that point if I tested positive 6/27?</t>
        </is>
      </c>
      <c r="D2748" t="n">
        <v>1</v>
      </c>
      <c r="E2748" t="n">
        <v>4</v>
      </c>
      <c r="F2748">
        <f>HYPERLINK("https://www.reddit.com/r/COVID19positive/comments/hmmeor/worried_that_i_potentially_exposed_my_family_what/")</f>
        <v/>
      </c>
      <c r="G2748" t="inlineStr">
        <is>
          <t>2020-07-06 19:57:47</t>
        </is>
      </c>
      <c r="H2748" t="inlineStr">
        <is>
          <t>Tested Positive - Me</t>
        </is>
      </c>
    </row>
    <row r="2749">
      <c r="A2749" t="inlineStr">
        <is>
          <t>hmmkw3</t>
        </is>
      </c>
      <c r="B2749" t="inlineStr">
        <is>
          <t>My friends girlfriend just tested positive</t>
        </is>
      </c>
      <c r="C2749" t="inlineStr">
        <is>
          <t>So i’ve been staying at my buddy’s house for the past little while relaxing, corona free. now tonight she called him telling him that she tested positive and my buddy was with her last night so i just FEEL like i got it. i’m showing no symptoms but i’m scared for my health now. 
I smoke on and off and i had really mild seasonal asthma. Will I be okay if i contract this???
another note is that i’m going back to my parents house tomorrow and there’s no way i’m getting any of them or my sisters sick. My plan is to isolate myself in my basement and only come upstairs when it’s dark and everyone is asleep. What other precautions can i do to limit my risk of infection to them?</t>
        </is>
      </c>
      <c r="D2749" t="n">
        <v>1</v>
      </c>
      <c r="E2749" t="n">
        <v>5</v>
      </c>
      <c r="F2749">
        <f>HYPERLINK("https://www.reddit.com/r/COVID19positive/comments/hmmkw3/my_friends_girlfriend_just_tested_positive/")</f>
        <v/>
      </c>
      <c r="G2749" t="inlineStr">
        <is>
          <t>2020-07-06 20:09:15</t>
        </is>
      </c>
      <c r="H2749" t="inlineStr">
        <is>
          <t>Tested Positive - Friends</t>
        </is>
      </c>
    </row>
    <row r="2750">
      <c r="A2750" t="inlineStr">
        <is>
          <t>hmnnjg</t>
        </is>
      </c>
      <c r="B2750" t="inlineStr">
        <is>
          <t>This virus is no joke</t>
        </is>
      </c>
      <c r="C2750" t="inlineStr">
        <is>
          <t>Just got my results back, and I’m positive. I’m on Day 6 currently. I’m 24 years old with asthma. 
Let me tell you, I’ve never been this sick before in my life. This virus is absolutely kicking my ass. I didn’t have any progression of symptoms - I just woke up one day in the middle of a god awful flu. 
My symptoms so far are extremely bad muscle aches, vertigo, brain fog, extremely stiff neck and back (along with sharp pains), a fever, terrible headaches, shortness of breath (honestly not sure if this one is from my anxiety or not), diarrhea, and nausea. 
I’d break it down day by day, but it’s been the same since day 1, and it feels like each symptom has gotten slightly worse with each passing day. 
What’s helped me so far is just popping Tylenol like candy. If I’m constantly taking it throughout the day, the symptoms are bearable. As soon as it wears off though, I’m thrown back into hell. 
Really hoping I start to get better soon. This is a fucking nightmare.</t>
        </is>
      </c>
      <c r="D2750" t="n">
        <v>2</v>
      </c>
      <c r="E2750" t="n">
        <v>98</v>
      </c>
      <c r="F2750">
        <f>HYPERLINK("https://www.reddit.com/r/COVID19positive/comments/hmnnjg/this_virus_is_no_joke/")</f>
        <v/>
      </c>
      <c r="G2750" t="inlineStr">
        <is>
          <t>2020-07-06 21:24:27</t>
        </is>
      </c>
      <c r="H2750" t="inlineStr">
        <is>
          <t>Tested Positive - Me</t>
        </is>
      </c>
    </row>
    <row r="2751">
      <c r="A2751" t="inlineStr">
        <is>
          <t>hmns1w</t>
        </is>
      </c>
      <c r="B2751" t="inlineStr">
        <is>
          <t>It has been 111 days since I first had symptoms and I still do not have a proper smell or taste</t>
        </is>
      </c>
      <c r="C2751" t="inlineStr">
        <is>
          <t>My smell and taste are still not functioning normally.
I started showing symptoms for the virus on March 18th and they didn’t really go away until mid April. However the loss of smell and taste is still here.
The only thing I can smell or taste is this really unpleasant aroma that is like rotting food. Any time I eat citrus or carbs, that awful taste/smell is back. Hand sanitizer smells absolutely terrible.
Other than that, I still cannot taste or smell properly. I am really concerned as it has been almost 4 months since I first showed symptoms.
Any ideas or is anyone else experiencing this?
Will my smell or taste ever come back?</t>
        </is>
      </c>
      <c r="D2751" t="n">
        <v>1</v>
      </c>
      <c r="E2751" t="n">
        <v>39</v>
      </c>
      <c r="F2751">
        <f>HYPERLINK("https://www.reddit.com/r/COVID19positive/comments/hmns1w/it_has_been_111_days_since_i_first_had_symptoms/")</f>
        <v/>
      </c>
      <c r="G2751" t="inlineStr">
        <is>
          <t>2020-07-06 21:33:54</t>
        </is>
      </c>
      <c r="H2751" t="inlineStr">
        <is>
          <t>Tested Positive - Me</t>
        </is>
      </c>
    </row>
    <row r="2752">
      <c r="A2752" t="inlineStr">
        <is>
          <t>hmnxk0</t>
        </is>
      </c>
      <c r="B2752" t="inlineStr">
        <is>
          <t>My Experience Thus Far: Mental, Physical and Everything Between</t>
        </is>
      </c>
      <c r="C2752" t="inlineStr">
        <is>
          <t>I discovered this subreddit today and it has been a calming presence after testing positive for COVID-19 just 3 days ago. Its hard to determine how long I’ve had COVID-19 or at which stage of the virus I’m currently residing, but after putting the puzzle pieces of symptoms together, this is a rough outline of my experience so far. 
My earliest sign of possible symptoms began on June 22nd. I woke up with what I thought was a crick in my neck and pain in my back from sleeping in my classic “kinda on my stomach, kinda on my side” sleeping position.  A few days pass, and the pain was relentless. Still, I assumed it was from a combination of sleeping wrong and overdoing it during my at-home workouts.  I’m turning 30 this year, so maybe this is just what a rough night of sleep and star crunches feels like now. 
June 24th: I notice a tickle in my throat and occasional cough, and chalk it up to allergies. It’s summer, cottonwood and pollen is visibly blowing past my window. An itchy throat and sniffle is nothing I haven’t been through before.  My neck and back are still sore, and workouts are becoming more difficult to get through. 
June 27-29th:  the tickle in my throat has become irritating, and the coughing more regular. I’m having a hard time falling asleep, and blame it on a new brand of melatonin + anxiety about what my future looks like after 3 months of being unemployed.  My neck and my back still hurt. 
June 30th-July 1st: I’m hot, I’m tired, and my energy is low.  My temperature is slightly higher than usual, but not alarming, and it’s bordering 100 degrees Fahrenheit outside. Saharan dust has blown in and I’m pretty sure I have a sinus infection.  I have an intense pressure behind my eyes and in my forehead. 
July 2nd: I open a tub of Vick’s to help ease my presumed sinus infection symptoms. I can’t smell it. I try a bottle of eucalyptus oil, peppermint oil, I even waft bleach towards my face. Nothing.  Food has no taste, just texture. This is the final straw that causes me to book an appointment to be tested for COVID-19. 
July 3rd:   I test positive for COVID-19 and almost 11 days of separate symptoms that I’ve excused as being everything from allergies to anxiety begin to make sense. I’m exhausted, my head is throbbing, and my chest hurts. 
July 4th-6th:  I’m frustrated, I feel ostracized and guilt-tripped by anyone I’ve had even passing contact with in the past month. I feel foolish for making excuses for so many symptoms. Posts on social media say that contracting COVID-19 is natural selection for the irresponsible. I’ve worn a mask when getting groceries, and have only hung out with a small gathering of friends twice since April, all of whom have tested negative and have no symptoms.  I didn’t expect the toll COVID-19 would have on my mental health. 
My symptoms come and go. I wake up feeling fine and go to bed with a pounding headache and sore muscles, only to find myself unable to sleep for hours.  I thought I was feeling better, but found myself completely exhausted after an hour of cleaning my apartment, and then the headache returned.
I know this is a long post, but I needed an outlet to express how grueling the last 2 weeks has been (physically and emotionally). If you’ve read this, thank you. I am processing this day by day and know that I will make it to the other side, hopefully sooner rather than later. 
If you’ve tested positive, I hope my story helps you feel less alone. Keep your head up and allow yourself the time to rest and recover.  We’re in this together.</t>
        </is>
      </c>
      <c r="D2752" t="n">
        <v>1</v>
      </c>
      <c r="E2752" t="n">
        <v>9</v>
      </c>
      <c r="F2752">
        <f>HYPERLINK("https://www.reddit.com/r/COVID19positive/comments/hmnxk0/my_experience_thus_far_mental_physical_and/")</f>
        <v/>
      </c>
      <c r="G2752" t="inlineStr">
        <is>
          <t>2020-07-06 21:44:57</t>
        </is>
      </c>
      <c r="H2752" t="inlineStr">
        <is>
          <t>Tested Positive</t>
        </is>
      </c>
    </row>
    <row r="2753">
      <c r="A2753" t="inlineStr">
        <is>
          <t>hmnyxg</t>
        </is>
      </c>
      <c r="B2753" t="inlineStr">
        <is>
          <t>Moms symptoms and timeline</t>
        </is>
      </c>
      <c r="C2753" t="inlineStr">
        <is>
          <t>Hello everyone,
Looking for some sort of encouragement/remedies/tips anything really for my mom. She's on her 10th day of symptoms and like most of us, has been on a rollercoaster of ups and downs with this virus. I'm getting really nervous because her fever can't seem to break. She's had it on and off but it won't go away. I've been giving her Tylenol which has been helping tame it though. I'm terrified of taking her to the ER and my family is doing all we can to take care of her. So far she has been taking vitamin C, quercetin, garlic, zinc, tea filled with ginger, garlic, onion, oregano and a little bit of honey. She's also taking pedialyte (is that okay since it has sugar?). She's feeling very weak and has somewhat of a cough but her oxygen level has been steady from 96-98. It's really the fever I'm terrified about and just hoping she won't feel worse. please let me know if you or a loved one have felt better after these bad days. I feel hopeless right now.</t>
        </is>
      </c>
      <c r="D2753" t="n">
        <v>1</v>
      </c>
      <c r="E2753" t="n">
        <v>8</v>
      </c>
      <c r="F2753">
        <f>HYPERLINK("https://www.reddit.com/r/COVID19positive/comments/hmnyxg/moms_symptoms_and_timeline/")</f>
        <v/>
      </c>
      <c r="G2753" t="inlineStr">
        <is>
          <t>2020-07-06 21:47:33</t>
        </is>
      </c>
      <c r="H2753" t="inlineStr">
        <is>
          <t>Tested Positive</t>
        </is>
      </c>
    </row>
    <row r="2754">
      <c r="A2754" t="inlineStr">
        <is>
          <t>hmodio</t>
        </is>
      </c>
      <c r="B2754" t="inlineStr">
        <is>
          <t>Nurse for oncology/geriatrics covid+</t>
        </is>
      </c>
      <c r="C2754" t="inlineStr">
        <is>
          <t>So I began with symptoms June 19- dry and itchy throat. The following day I developed a low grade temp , the highest, 99.3. I got a runny nose, phlegm, diarrhea, and body aches. I called my job and they scheduled me for a covid test 6/21 and put me on mandatory leave. Most of the symptoms went away by Monday the 6/22. But then I lost sense of smell and taste. I got my positive COVID results on Wednesday 6/24. I isolated in my room as I live with my dad and my brother. They’re fine thank goodness. My job scheduled a follow up virtual dr. Appointment on 6/31. And I got covid re tested on 7/1. It still came back positive. I haven’t had any symptoms and my taste is back, my smell is back about 40%. I continue to isolate. It’s now 7/8 day 18. I had virtual appointment with dr. today And they have cleared me to go back to work this Wednesday 7/9 even though my test was positive on the 1st. They said it is okay to go back because I could have inactive fragments of the virus and not actually be contagious. Also I have restrictions that I can’t take care of the cancer patients until I get re tested and test negative. So I can only work with the geriatric patients, which I thought were also immuno compromised . I am scared to still be contagious as I don’t want to hurt anyone. But I also feel ready to go back. Any advice ? Do y’all still think I’m contagious ?</t>
        </is>
      </c>
      <c r="D2754" t="n">
        <v>1</v>
      </c>
      <c r="E2754" t="n">
        <v>2</v>
      </c>
      <c r="F2754">
        <f>HYPERLINK("https://www.reddit.com/r/COVID19positive/comments/hmodio/nurse_for_oncologygeriatrics_covid/")</f>
        <v/>
      </c>
      <c r="G2754" t="inlineStr">
        <is>
          <t>2020-07-06 22:17:12</t>
        </is>
      </c>
      <c r="H2754" t="inlineStr">
        <is>
          <t>Tested Positive</t>
        </is>
      </c>
    </row>
    <row r="2755">
      <c r="A2755" t="inlineStr">
        <is>
          <t>hmoi9m</t>
        </is>
      </c>
      <c r="B2755" t="inlineStr">
        <is>
          <t>Accidentally drank from my roommate’s cup. He tested positive 1 month ago. Odds I contract Covid?</t>
        </is>
      </c>
      <c r="C2755" t="inlineStr">
        <is>
          <t>Roommate tested positive 1 month ago. I left the apartment for 3 weeks. Came back about a week ago.
Anyways, I accidentally drank his beer that was sitting next to mine. I should be ok... right? 😅</t>
        </is>
      </c>
      <c r="D2755" t="n">
        <v>1</v>
      </c>
      <c r="E2755" t="n">
        <v>3</v>
      </c>
      <c r="F2755">
        <f>HYPERLINK("https://www.reddit.com/r/COVID19positive/comments/hmoi9m/accidentally_drank_from_my_roommates_cup_he/")</f>
        <v/>
      </c>
      <c r="G2755" t="inlineStr">
        <is>
          <t>2020-07-06 22:27:07</t>
        </is>
      </c>
      <c r="H2755" t="inlineStr">
        <is>
          <t>Tested Positive - Friends</t>
        </is>
      </c>
    </row>
    <row r="2756">
      <c r="A2756" t="inlineStr">
        <is>
          <t>hmojym</t>
        </is>
      </c>
      <c r="B2756" t="inlineStr">
        <is>
          <t>Recovered from COVID but recently exposed. Next steps?</t>
        </is>
      </c>
      <c r="C2756" t="inlineStr">
        <is>
          <t>I tested positive for COVID in mid-March and was fully recovered by the end of March. Over the 4th, I spent time with some immediate family members. At the end of the night, one of the family members suddenly felt sick with COVID-like symptoms. She got a test today so it may be a few days before the results come in. 
I know the standard protocol is that if you have close contact with someone that has COVIDmay have COVID, you should quarantine for 14 days. For people that tested positive and recovered, should we follow the same guidelines? I haven’t seen a lot of information on how things may differ for those that have gotten the virus already.</t>
        </is>
      </c>
      <c r="D2756" t="n">
        <v>1</v>
      </c>
      <c r="E2756" t="n">
        <v>14</v>
      </c>
      <c r="F2756">
        <f>HYPERLINK("https://www.reddit.com/r/COVID19positive/comments/hmojym/recovered_from_covid_but_recently_exposed_next/")</f>
        <v/>
      </c>
      <c r="G2756" t="inlineStr">
        <is>
          <t>2020-07-06 22:30:53</t>
        </is>
      </c>
      <c r="H2756" t="inlineStr">
        <is>
          <t>Tested Positive - Me</t>
        </is>
      </c>
    </row>
    <row r="2757">
      <c r="A2757" t="inlineStr">
        <is>
          <t>hmowbi</t>
        </is>
      </c>
      <c r="B2757" t="inlineStr">
        <is>
          <t>Post Covid-19 Anxiety</t>
        </is>
      </c>
      <c r="C2757" t="inlineStr">
        <is>
          <t>Anyone else experiencing this? I've recovered, my boyfriend is getting better but...I just feel so lost without answers and my mental health is suffering from it. As I see my friends and family start to get together more and more, I feel like I'm the only one still stuck in quarantine mode and I don't know if I'm being paranoid or smart in staying home. I frequently hear "whatever you're comfortable with is fine" but that's the thing...I don't know what I'm comfortable with as far as getting together with friends and family because I feel like they're not taking it as seriously as I am and it's really frustrating and isolating. Anyone have any advice? I have a therapy session next week, thank God, but I just feel like I'm going insane here.</t>
        </is>
      </c>
      <c r="D2757" t="n">
        <v>1</v>
      </c>
      <c r="E2757" t="n">
        <v>3</v>
      </c>
      <c r="F2757">
        <f>HYPERLINK("https://www.reddit.com/r/COVID19positive/comments/hmowbi/post_covid19_anxiety/")</f>
        <v/>
      </c>
      <c r="G2757" t="inlineStr">
        <is>
          <t>2020-07-06 22:57:39</t>
        </is>
      </c>
      <c r="H2757" t="inlineStr">
        <is>
          <t>Tested Positive</t>
        </is>
      </c>
    </row>
    <row r="2758">
      <c r="A2758" t="inlineStr">
        <is>
          <t>hmpct8</t>
        </is>
      </c>
      <c r="B2758" t="inlineStr">
        <is>
          <t>I’m worried</t>
        </is>
      </c>
      <c r="C2758" t="inlineStr">
        <is>
          <t>My dad just tested positive for covid, he’s 49, healthy, works out everyday, he has a fever but it went away and now just had shortness of breath and a cough. I am so worried. Help... idk</t>
        </is>
      </c>
      <c r="D2758" t="n">
        <v>1</v>
      </c>
      <c r="E2758" t="n">
        <v>12</v>
      </c>
      <c r="F2758">
        <f>HYPERLINK("https://www.reddit.com/r/COVID19positive/comments/hmpct8/im_worried/")</f>
        <v/>
      </c>
      <c r="G2758" t="inlineStr">
        <is>
          <t>2020-07-06 23:35:12</t>
        </is>
      </c>
      <c r="H2758" t="inlineStr">
        <is>
          <t>Tested Positive - Family</t>
        </is>
      </c>
    </row>
    <row r="2759">
      <c r="A2759" t="inlineStr">
        <is>
          <t>hmprte</t>
        </is>
      </c>
      <c r="B2759" t="inlineStr">
        <is>
          <t>Family keeps giving me the guilt trip for getting them sick</t>
        </is>
      </c>
      <c r="C2759" t="inlineStr">
        <is>
          <t>So I got infected with the virus, and sure I’ve been irresponsible. Things started opening up in LA county and I took advantage of those things. I went out with coworkers and three friends who have been really good with quarantine. I’ve also gone to my boyfriends house who’s family has been really good with quarantine too. The gyms opened up and I hired a personal trainer. I went three times a week. 
On 6/27 I started showing symptoms of having COVID. I took a test 6/29 and while awaiting test results I learned that my coworkers mom (who I had gone on a picnic with two weeks ago) suddenly died. My parents were grilling me to ask my coworker what she died of just to make sure it wasn’t COVID. we later found out she passed of a heart attack. 
When I first got sick my parents shamed me for being irresponsible and going out with people/going to the gym. I understood why they were mad at me and decided to ignore it and focus on making sure everyone was OK instead. 
My parents and my sister ended up getting sick too. My sister and I were feeling better so we were sitting at the dining room table and my dad came in and yelled at me to stay away from her because “this is literally all my fault” so I went back into my room. 
Yesterday I learned that the coworker who’s mom died ended up testing positive for COVID and got hospitalized because she couldn’t breathe and had a bad cough. I told my mom this and my dad would come into my doorway asking “what happened to my coworker?” But not because he cared but because he wanted to shame me. I asked him why he cared and he left. 
He came back into my room again about an hour ago and asked what happened to my coworker again. I told him what happened and he gave me the guilt trip for going out with her and getting everyone at home sick. 
I understand his frustration at the situation but how is it my fault?! Even if we didn’t go out that one day I’m sure I still would’ve caught it from her regardless at work. I’m already torn up with guilt for getting my family sick and potentially spreading it to so many other people. I don’t even know what to say to make anything better. 
My chest feels super tight right now and I’m not sure if it’s from the confrontation from my dad or I’m actually getting worse just needed to vent lol</t>
        </is>
      </c>
      <c r="D2759" t="n">
        <v>1</v>
      </c>
      <c r="E2759" t="n">
        <v>9</v>
      </c>
      <c r="F2759">
        <f>HYPERLINK("https://www.reddit.com/r/COVID19positive/comments/hmprte/family_keeps_giving_me_the_guilt_trip_for_getting/")</f>
        <v/>
      </c>
      <c r="G2759" t="inlineStr">
        <is>
          <t>2020-07-07 00:10:20</t>
        </is>
      </c>
      <c r="H2759" t="inlineStr">
        <is>
          <t>Tested Positive</t>
        </is>
      </c>
    </row>
    <row r="2760">
      <c r="A2760" t="inlineStr">
        <is>
          <t>hmpubu</t>
        </is>
      </c>
      <c r="B2760" t="inlineStr">
        <is>
          <t>Results came back positive yesterday</t>
        </is>
      </c>
      <c r="C2760" t="inlineStr">
        <is>
          <t>- My first day of symptoms was Monday, June 29. I am a 31 y/o male who is healthy, exercises and doesn’t smoke. It all hit me like a bag of rocks. I had a fever, chills, body aches, fatigue, these of breath and slight coughing. I proceeded to layer up and drink a lot of water. I do recommend you having a thermometer. I didn’t have one and I wish I had. I was hallucinating like crazy at night time. 
- Tuesday, June 30 my symptoms were dying down. I had all the symptoms from before, but they weren’t as bad. 
- Wednesday, July 1st all I had was a slight cough and a fever that wouldn’t go away. That was my fault for not reading the instructions on the Tylenol bottle. My dumbass was popping one Tylenol instead of two. So my fever at this point was like at 102. 
- Thursday, July 2nd I felt super better. Still had a manageable fever (101) and my cough was nearly gone. I could take a deep breath and be fine. 
- Friday, July 3rd I go to the doctor because a friend of mine I had resulted positive, so I figured why not get tested. At the doctors office I get X-rays done and the doctor said I’m healthy at that point and that all the crud had cleared out from my chest. 
- Saturday, July 4th I take a horrible turn for the worst. I’m still rocking a fever (102), but still manageable. The killer part was I developed a nasty cough. If I am laying down and barely moving, I won’t cough, but if I get up to go somewhere I break out into a coughing fit. 
- Sunday, July 5th I only have this nasty cough that I can’t shake. I’m drinking teas, plenty of water, taking mucinex and cough drops too. It helps control it at times, but I still feel like I’m on egg shells. 
- Monday, July 6th I realize that if I get the coughing fit over with I can rest better, but I hate having to go through that. I literally cannot take this anymore. I can’t sleep at night. I’m not even tired. It’s 2:13 am here and I only managed to sleep and hour. 
Any recommendations on getting rid of this cough? I’ve read others that coughing was one of those symptoms that was the last to go. Did y’all deal with what I’m going thru? Y’all stay safe out there. This is no joke. I hate thinking that a child or an elderly person has to deal with these symptoms.</t>
        </is>
      </c>
      <c r="D2760" t="n">
        <v>1</v>
      </c>
      <c r="E2760" t="n">
        <v>5</v>
      </c>
      <c r="F2760">
        <f>HYPERLINK("https://www.reddit.com/r/COVID19positive/comments/hmpubu/results_came_back_positive_yesterday/")</f>
        <v/>
      </c>
      <c r="G2760" t="inlineStr">
        <is>
          <t>2020-07-07 00:16:14</t>
        </is>
      </c>
      <c r="H2760" t="inlineStr">
        <is>
          <t>Tested Positive - Me</t>
        </is>
      </c>
    </row>
    <row r="2761">
      <c r="A2761" t="inlineStr">
        <is>
          <t>hmpuxe</t>
        </is>
      </c>
      <c r="B2761" t="inlineStr">
        <is>
          <t>Advice for those with symptoms 90+ days in</t>
        </is>
      </c>
      <c r="C2761" t="inlineStr">
        <is>
          <t>The title should be a question, oops.
Got sick April 1 and stayed deeply ill for 40 days at home alone. I wasn’t able to get tested but had all the usual symptoms (besides loss of taste/smell). I actually started to feel pretty good and can exercise and things now but there are some lingering symptoms, mainly:
- fatigue (debilitating at times)
- shortness of breath/feeling like I’m breathing through a straw — The inhaler the doctor prescribed helps 
- heart palpitations 
What have others in this situation done? Has there been anything your doctors have done to help? I’m all up to date on blood tests and besides some usual anemia (which I’m treating) they’re all good. Blood oxygen levels are good. I’m starting to feel crazy!</t>
        </is>
      </c>
      <c r="D2761" t="n">
        <v>1</v>
      </c>
      <c r="E2761" t="n">
        <v>9</v>
      </c>
      <c r="F2761">
        <f>HYPERLINK("https://www.reddit.com/r/COVID19positive/comments/hmpuxe/advice_for_those_with_symptoms_90_days_in/")</f>
        <v/>
      </c>
      <c r="G2761" t="inlineStr">
        <is>
          <t>2020-07-07 00:17:40</t>
        </is>
      </c>
      <c r="H2761" t="inlineStr">
        <is>
          <t>Presumed Positive - From Doctor</t>
        </is>
      </c>
    </row>
    <row r="2762">
      <c r="A2762" t="inlineStr">
        <is>
          <t>hmpuyo</t>
        </is>
      </c>
      <c r="B2762" t="inlineStr">
        <is>
          <t>Should I test?</t>
        </is>
      </c>
      <c r="C2762" t="inlineStr">
        <is>
          <t>Hi everyone! I began having symptoms June 24th and immediately made a phone appointment with my primary care doctor to get a referral to receive a test. The soonest test available was July 8th...(Kaiser 🙄) However, that will be exactly 2 weeks from when I first started exhibiting symptoms (I have been isolating); and now I’m feeling fine and have no symptoms. Should I still get tested?</t>
        </is>
      </c>
      <c r="D2762" t="n">
        <v>1</v>
      </c>
      <c r="E2762" t="n">
        <v>8</v>
      </c>
      <c r="F2762">
        <f>HYPERLINK("https://www.reddit.com/r/COVID19positive/comments/hmpuyo/should_i_test/")</f>
        <v/>
      </c>
      <c r="G2762" t="inlineStr">
        <is>
          <t>2020-07-07 00:17:45</t>
        </is>
      </c>
      <c r="H2762" t="inlineStr">
        <is>
          <t>Presumed Positive - From Doctor</t>
        </is>
      </c>
    </row>
    <row r="2763">
      <c r="A2763" t="inlineStr">
        <is>
          <t>hmr6wr</t>
        </is>
      </c>
      <c r="B2763" t="inlineStr">
        <is>
          <t>Released in less than 3 hours</t>
        </is>
      </c>
      <c r="C2763" t="inlineStr">
        <is>
          <t>My dad was tested positive and went to the hospital due to shortness of breath and cough. He was there at 11:00 pm and then called me at 2:00 am telling me the hospital released him with only ibuprofen and Tylenol... this hospital is located in center of LA.... is there a reason for this????</t>
        </is>
      </c>
      <c r="D2763" t="n">
        <v>1</v>
      </c>
      <c r="E2763" t="n">
        <v>6</v>
      </c>
      <c r="F2763">
        <f>HYPERLINK("https://www.reddit.com/r/COVID19positive/comments/hmr6wr/released_in_less_than_3_hours/")</f>
        <v/>
      </c>
      <c r="G2763" t="inlineStr">
        <is>
          <t>2020-07-07 02:13:32</t>
        </is>
      </c>
      <c r="H2763" t="inlineStr">
        <is>
          <t>Tested Positive - Family</t>
        </is>
      </c>
    </row>
    <row r="2764">
      <c r="A2764" t="inlineStr">
        <is>
          <t>hmtbmo</t>
        </is>
      </c>
      <c r="B2764" t="inlineStr">
        <is>
          <t>Such a shitty son. I may given it to my parents.</t>
        </is>
      </c>
      <c r="C2764" t="inlineStr">
        <is>
          <t>32 year old M with no relevant past medical history. Tested positive yesterday with my new employer and now I’m quarantined for 14 days. 
However, my parents are presenting with the same symptoms. They’re both in their late and early 50s &amp;amp; 60s, respectively, with no relevant medical history or comorbid conditions.
Super worried with their course and hope they’ll be okay.</t>
        </is>
      </c>
      <c r="D2764" t="n">
        <v>1</v>
      </c>
      <c r="E2764" t="n">
        <v>6</v>
      </c>
      <c r="F2764">
        <f>HYPERLINK("https://www.reddit.com/r/COVID19positive/comments/hmtbmo/such_a_shitty_son_i_may_given_it_to_my_parents/")</f>
        <v/>
      </c>
      <c r="G2764" t="inlineStr">
        <is>
          <t>2020-07-07 05:07:44</t>
        </is>
      </c>
      <c r="H2764" t="inlineStr">
        <is>
          <t>Tested Positive - Me</t>
        </is>
      </c>
    </row>
    <row r="2765">
      <c r="A2765" t="inlineStr">
        <is>
          <t>hmthpo</t>
        </is>
      </c>
      <c r="B2765" t="inlineStr">
        <is>
          <t>Please tell me something good</t>
        </is>
      </c>
      <c r="C2765" t="inlineStr">
        <is>
          <t>My uncle tested positive and was hospitalized the other night because he couldn’t breathe. He isn’t on a ventilator but he is in the hospital struggling. Please tell me that you know people who have gotten out of the hospital alive 😭</t>
        </is>
      </c>
      <c r="D2765" t="n">
        <v>1</v>
      </c>
      <c r="E2765" t="n">
        <v>9</v>
      </c>
      <c r="F2765">
        <f>HYPERLINK("https://www.reddit.com/r/COVID19positive/comments/hmthpo/please_tell_me_something_good/")</f>
        <v/>
      </c>
      <c r="G2765" t="inlineStr">
        <is>
          <t>2020-07-07 05:19:31</t>
        </is>
      </c>
      <c r="H2765" t="inlineStr">
        <is>
          <t>Tested Positive - Family</t>
        </is>
      </c>
    </row>
    <row r="2766">
      <c r="A2766" t="inlineStr">
        <is>
          <t>hmu1ex</t>
        </is>
      </c>
      <c r="B2766" t="inlineStr">
        <is>
          <t>Don't really know what to do.</t>
        </is>
      </c>
      <c r="C2766" t="inlineStr">
        <is>
          <t>So about 12 days ago my 73 year old grandmother (who is the only person I live with) started getting cold symptoms. I didn't think anything of it since neither of us really went out and when I did for groceries or to pick up food I was super careful. She got better about 4 days ago. Now it's just coughing from her but nothing crazy.
 However 3 days ago I was informed by my mother that her family had it and my grandma had gone over there to pick something up. That freaks me out so I go get both of us tested. Her results came back yesterday and she's positive. I'm hoping she already went through the worst of it but I don't know.
As for me I haven't received my test but since the day that my mother informed me, my throat has felt funny. Then finally today, as I'm writing this, I feel a small amount of discomfort in my chest as well as shortness of breath but not crazy bad, just noticable. I have a temp of 99.4 which isn't a fever yet but it's the highest it's been yet. 
I guess the point of this is I'm scared. I'm 23 years old, 5'11 350lbs and I'm fucking terrified that I'm going to get much worse. I've read about the sudden strokes some people have or the cardiac arrest and hell, I've been due for one for a while so that doesn't help my anxiety. I guess I just needed a place to vent where people understand the thoughts I'm having. I'm scared.
I grew up with massive depression. I've contemplates suicide way more that I should have. And I feel like I was just getting a handle on who I am and what I want to do and who I want to be. And now this. I'm just scared. For the first time in a long ass time I don't want to die.</t>
        </is>
      </c>
      <c r="D2766" t="n">
        <v>1</v>
      </c>
      <c r="E2766" t="n">
        <v>15</v>
      </c>
      <c r="F2766">
        <f>HYPERLINK("https://www.reddit.com/r/COVID19positive/comments/hmu1ex/dont_really_know_what_to_do/")</f>
        <v/>
      </c>
      <c r="G2766" t="inlineStr">
        <is>
          <t>2020-07-07 05:56:45</t>
        </is>
      </c>
      <c r="H2766" t="inlineStr">
        <is>
          <t>Tested Positive - Family</t>
        </is>
      </c>
    </row>
    <row r="2767">
      <c r="A2767" t="inlineStr">
        <is>
          <t>hmu5wy</t>
        </is>
      </c>
      <c r="B2767" t="inlineStr">
        <is>
          <t>This is my story of how I'm losing touch.</t>
        </is>
      </c>
      <c r="C2767" t="inlineStr">
        <is>
          <t>Hello All,
I would like to preface this by saying that this is my first post on Reddit. I had only ever come here to blind myself from the current events leading up to this.
I would also like to say that hope you all are safe and well. This has been a painful process for me the sickness and the fight to recover, and I'm already certain it has been for the rest of you. If you need someone to talk to please don't be afraid to reach out to me.
I've been watching this thread since I began showing symptoms on about June 16th. I never thought it would be me posting in here. I wore the mask. I wore that gloves. I social distanced. I cleaned my mask and disposed of my gloves as I was leaving any place I visited outside of my home. At least I did so from late February to mid April until I ran out and could no longer find any in about mid April.
My state was one the last to see the brunt of the infections. I had been working from home. I had only left the house to get food, supplies, etc. We caved once and awhile and would make a snack run to satisfy our creature comfort needs when the shelter in place orders were put into effect. 
I tried to be cautious out of fear my wife and my now one year old son. I had my reservations about the origins of the virus and the reality of it, but I still do not want to jeopardize their health or my own.
We live with my in-laws who are in their mid 50's early 60's. They work outside the house and are interacting with people daily. They are the perfect image of the well to do, God fearing, republican Americans. They watch Fox News more often than they attend church. I hear the Ingram, Hannity, and friends from sunrise till sunset. 
In the beginning they said "It's just like the common flu. It won't be that bad. We should all just get it and get it over with!". Their tune changed weeks later to "We have these masks that you need to wear when you leave the house. We are at high risk because of our health and old age!". Then about a month later when it began hitting our state and the global and national impact was glaringly obvious, they went quite. As soon as the shelter in place orders were lifted the acted as if it all just disappeared. They no longer wore their masks or gloves. I never watched them wash their hands the entire time leading up to now. But being a guest in my in-laws home it was out of line for me to speak my mind.
The virus had become a hoax to them. They were just regurgitating exactly what they were shown and told to think.
Looking back at it now I wish I would have used the stimulus check we had received to move out of here, instead of stocking up on food, medicine, and supplies that are now dwindling, but they are finishing their guest house for us to rent and we thought it wise to take the cheap rent to weather this out and get on our feet.
On June 15th, I had begun to feel like something wasn't right in my body. I had just moved into a new phase of my job and wrote it off as stress and anxiety. The next day I began to feel nauseous and began having diarrhea and again wrote it off as stress and anxiety. I started checking on here because I wanted to know what to watch out for if it was the virus. I told myself it will get better as the week goes on. On June 17th, I had to leave work early because I had puked on myself while on a call with a customer and subsequently defecated myself. I thought maybe it was food poisoning that caused it and called in the following two days to try and rest because it was not resolving. 
We had friends and family who came into town on June 18th for my sons first birthday. The next day I went to turn in on-boarding documents to start my second job because we were so spread thin on money. While there they had a sign up with the CDC guidelines for what symptoms to monitor for and when to get tested. I didn't think much of it until I got home. I went to eat my leftover ribs from the night before and put some ghost pepper hot sauce on them. I took a bit and realized that I couldn't feel the burn at all except a little tingle at the tip of my tongue. My stomach sank because we had our guests sleeping on air mattresses in our room with us the night before. I ran to the bathroom to grab the thermometer and my temperature was 101.4 F. I pulled my wife aside and told her that I had to get tested. 
As I was driving to the pop-up screening tent outside our local hospital I began trying to recall what all had been going on leading up to that moment. I was having chills at night and soaking my bed with sweat for the last week. The nurse was trying to refuse my test because I was too young and I did not look like I was in distress. She took my temp 103.1 F. She brings the doctor over and he does a quick in out in less than a second with a single swab. I thought that hurt but was faster than I thought it would be. I called my wife to tell here to cancel the birthday party after I got swabbed. I couldn't risk exposing anyone else. Once I got home we had to break the news to our guests who took it surprisingly well and were concerned about my well being. 
As I sat there the guilt began to set in. I could have potentially just exposed everyone I loved and cared for the virus. I just ruined my sons first birthday. My family, our guests, and myself began self quarantining for the remainder of there visit that was cut short. The rest of the week was a blur of isolation and pain. My first fathers day came and went as if I never was one.
I received my results on June 26th after the most agonizing week of fatigue, body aches, fever, runny nose, chest pain, and pretty much every thing else except the the sore throat, dry cough, and shortness of breath. My nasal swab came back... Negative. I thought to myself "Did I really just over react and ruin everything?". I went about the next couple days like nothing happened.  
On July 2nd, I was helping my wife carry in a couple of bags of groceries from the car. I had walked about 60 feet from the car to the door and felt the pain in my chest get worse. I felt like I was having an asthma attack. I began to see stars and stopped just short of the door to try and collect myself. I got inside and threw on my smartwatch, and my heart rate was fluctuating between 120-130bpm. Mind you I am in my mid 20's, I am in good shape, and have no history of any major health issues. I laid down to try and collect myself and my heart rate would not drop below 100bpm no matter how hard I tried to take deep breaths. I went to the urgent care at the local hospital were I was initially tested because the chest pain persisted for the more than ten minutes. 
As I pulled up to the urgent care I had to drive through the pop-up screening tent. The doctor who swabbed me saw me and glared at me. A friendly nurse came up and asked me what was going on. I told her that I am having chest pain, shortness of breath, and I had recently received a negative result.  She checks my temperature and I'm still running a low grade fever. She has me pull up and call a number to register my visit so a doctor can visit me. As I'm sitting in the car with my mask on because they asked me to. I began to feel short on breath worse than before. My nose, lips, fingers, and toes began to tingle as I was waiting. I had my windows down for fresh air, and the AC blowing on me to keep me cool. I started to feel like I was fading out so I took my mask off to try to see if that helped and it didn't. The doctor who administered my test knocks on the roof of my car and asks "What are you doing here? I looked at your chart and you got a negative test.". I turned to him and said "I'm having chest pain below my breast on my left side and I'm short on breath." telling him that I am feeling light headed and feeling a pins and needles like sensation in my extremities. He began to lecture me about anxiety and that I was over reacting and to just go home and rest. He then began to go on a rant about how this whole virus deal is being over hyped and that no a single person under 50 has died in our state and that even if it was the virus that I would most likely live. He said that if I was really concerned about the chest pain that I should schedule and appointment with a primary care provider to see if I have an arrhythmia.
The following morning, July 3rd, I had to drive myself to the next closest urgent care because the chest pain persisted through the remainder of the day before and did not improve over night. I could hardly walk 30 feet at the point I went in without feeling short on breath. The urgent care took an EKG reading to rule out heart issues causing the pain and directed me to go the the ER immediately. Upon arrival at the ER they hooked me up to a 12 lead, performed a x-ray on my chest, and a double nasal swab which took considerably longer than my first test. After about two hours of monitoring my vitals the doctor returns to my room and tells me they have identified the "Ground Glass Structures" forming in my lungs and gave me a clinical diagnosis COVID-19.
July 4th, my second set of test results came back... Negative.
I can't help but shake the thought that maybe it's all in my head. My in-laws told me that I was lying and that it was my excuse to not work. A majority of my friends and family outside of my household don't believe me because they think the virus isn't real or that there is no way that I have it with two negative nasal swabs. 
As I have been sitting here for the last couple days by myself with no human contact except text and the occasional video chat from my wife, I have begun to wonder if this is all in my head. If I'm the virus that is destroying everything. I have been trying to stay active which has helped but as of typing this I have not been able to sleep due to having to run to the restroom about every 45 minutes for about 15 minutes at a time writhing in pain. My joints hurt and my body aches. My headache has come back with a vengeance. I can hardly keep water down and have thrown up what little food left I've had in my stomach from hours ago. I showered for the first time in days because my in laws are now treating me like I have the Bubonic plauge or leprosy. The smell of Lysol that follows me where ever I got cleaning my contamination. They only knock on the door when they bring me food and water. I feel like I am in prison and I am losing the will to try to fight this. They only thing keeping me going is my wife and son. He has crawled to the door and cried because he wants to see me and it destroys my heart and it wrecks my mind. I want to hold my son... I want to kiss my wife. I want to feel the the air blow on my warm summer air blow on my skin. I want to swim.</t>
        </is>
      </c>
      <c r="D2767" t="n">
        <v>1</v>
      </c>
      <c r="E2767" t="n">
        <v>284</v>
      </c>
      <c r="F2767">
        <f>HYPERLINK("https://www.reddit.com/r/COVID19positive/comments/hmu5wy/this_is_my_story_of_how_im_losing_touch/")</f>
        <v/>
      </c>
      <c r="G2767" t="inlineStr">
        <is>
          <t>2020-07-07 06:04:47</t>
        </is>
      </c>
      <c r="H2767" t="inlineStr">
        <is>
          <t>Tested Positive</t>
        </is>
      </c>
    </row>
    <row r="2768">
      <c r="A2768" t="inlineStr">
        <is>
          <t>hmuyjd</t>
        </is>
      </c>
      <c r="B2768" t="inlineStr">
        <is>
          <t>Does anyone have lingering chest pain, especially with exercise? What has helped?</t>
        </is>
      </c>
      <c r="C2768" t="inlineStr">
        <is>
          <t>I was sick in March, positive for antibodies, lingering issues. I had to do a lot of cardio the other day and my chest hurt after and I’ve been having palpitations since. I’ve gotten an EKG and doctor checked my heart and says it’s fine, no issues, have had a huge panel of bloodwork, but my chest hurts whenever I exert myself. Has anyone had this or know anything that could help?</t>
        </is>
      </c>
      <c r="D2768" t="n">
        <v>1</v>
      </c>
      <c r="E2768" t="n">
        <v>12</v>
      </c>
      <c r="F2768">
        <f>HYPERLINK("https://www.reddit.com/r/COVID19positive/comments/hmuyjd/does_anyone_have_lingering_chest_pain_especially/")</f>
        <v/>
      </c>
      <c r="G2768" t="inlineStr">
        <is>
          <t>2020-07-07 06:54:51</t>
        </is>
      </c>
      <c r="H2768" t="inlineStr">
        <is>
          <t>Tested Positive - Me</t>
        </is>
      </c>
    </row>
    <row r="2769">
      <c r="A2769" t="inlineStr">
        <is>
          <t>hmv8k4</t>
        </is>
      </c>
      <c r="B2769" t="inlineStr">
        <is>
          <t>COVID + Care Package</t>
        </is>
      </c>
      <c r="C2769" t="inlineStr">
        <is>
          <t>A dear friend of mine a few states away was diagnosed with COVID last week.  So far her husband has been ok, and just 1 of her 4 kids had had a fever.  I’ve been checking in with her daily, giving her any advice I know as a nurse and as a lurker on this sub.  I was thinking I would send her some stuff from Amazon or a local grocery.  Any ideas?  I was thinking electrolytes, maybe sometime simple to break the boredom, snacks (she says eating is so hard with the lack of taste and smell even tho she knows she needs to), Tylenol, etc... Thanks!</t>
        </is>
      </c>
      <c r="D2769" t="n">
        <v>1</v>
      </c>
      <c r="E2769" t="n">
        <v>9</v>
      </c>
      <c r="F2769">
        <f>HYPERLINK("https://www.reddit.com/r/COVID19positive/comments/hmv8k4/covid_care_package/")</f>
        <v/>
      </c>
      <c r="G2769" t="inlineStr">
        <is>
          <t>2020-07-07 07:10:59</t>
        </is>
      </c>
      <c r="H2769" t="inlineStr">
        <is>
          <t>Tested Positive - Friends</t>
        </is>
      </c>
    </row>
    <row r="2770">
      <c r="A2770" t="inlineStr">
        <is>
          <t>hmw4ym</t>
        </is>
      </c>
      <c r="B2770" t="inlineStr">
        <is>
          <t>Vitamin questions</t>
        </is>
      </c>
      <c r="C2770" t="inlineStr">
        <is>
          <t>What do you recommend? What will help? 
My husband has been exposed at work. He’s going to get tested. We have an 8 month old baby. He’s a smoker. Need a list of anything that has helped you.</t>
        </is>
      </c>
      <c r="D2770" t="n">
        <v>1</v>
      </c>
      <c r="E2770" t="n">
        <v>20</v>
      </c>
      <c r="F2770">
        <f>HYPERLINK("https://www.reddit.com/r/COVID19positive/comments/hmw4ym/vitamin_questions/")</f>
        <v/>
      </c>
      <c r="G2770" t="inlineStr">
        <is>
          <t>2020-07-07 08:01:13</t>
        </is>
      </c>
      <c r="H2770" t="inlineStr">
        <is>
          <t>Presumed Positive - From Test</t>
        </is>
      </c>
    </row>
    <row r="2771">
      <c r="A2771" t="inlineStr">
        <is>
          <t>hmwxr2</t>
        </is>
      </c>
      <c r="B2771" t="inlineStr">
        <is>
          <t>Shingles post infection?</t>
        </is>
      </c>
      <c r="C2771" t="inlineStr">
        <is>
          <t>I know it's a completely separate virus in itself, but just wondering if anyone has developed shingles after Covid? I recovered after about a month of being positive, about 3 months ago and just developed shingles. Wondering if it's a result of still being immunocompromised because I was not in contact with anyone who has had it!</t>
        </is>
      </c>
      <c r="D2771" t="n">
        <v>1</v>
      </c>
      <c r="E2771" t="n">
        <v>20</v>
      </c>
      <c r="F2771">
        <f>HYPERLINK("https://www.reddit.com/r/COVID19positive/comments/hmwxr2/shingles_post_infection/")</f>
        <v/>
      </c>
      <c r="G2771" t="inlineStr">
        <is>
          <t>2020-07-07 08:43:24</t>
        </is>
      </c>
      <c r="H2771" t="inlineStr">
        <is>
          <t>Tested Positive - Me</t>
        </is>
      </c>
    </row>
    <row r="2772">
      <c r="A2772" t="inlineStr">
        <is>
          <t>hmx7il</t>
        </is>
      </c>
      <c r="B2772" t="inlineStr">
        <is>
          <t>I’m negative but my partner is positive</t>
        </is>
      </c>
      <c r="C2772" t="inlineStr">
        <is>
          <t>I live with my boyfriend and he tested positive after we both had dinner with a COVID positive person (unknown at the time). We both got tested a week after exposure due to him losing his smell. 
How could I also not get it? And should I be worried about spreading this to others?</t>
        </is>
      </c>
      <c r="D2772" t="n">
        <v>1</v>
      </c>
      <c r="E2772" t="n">
        <v>10</v>
      </c>
      <c r="F2772">
        <f>HYPERLINK("https://www.reddit.com/r/COVID19positive/comments/hmx7il/im_negative_but_my_partner_is_positive/")</f>
        <v/>
      </c>
      <c r="G2772" t="inlineStr">
        <is>
          <t>2020-07-07 08:57:17</t>
        </is>
      </c>
      <c r="H2772" t="inlineStr">
        <is>
          <t>Tested Positive - Family</t>
        </is>
      </c>
    </row>
    <row r="2773">
      <c r="A2773" t="inlineStr">
        <is>
          <t>hmxobl</t>
        </is>
      </c>
      <c r="B2773" t="inlineStr">
        <is>
          <t>Science, Please Study Me</t>
        </is>
      </c>
      <c r="C2773" t="inlineStr">
        <is>
          <t>28 y/o Male - Atlanta, GA
Date of presumed exposure - 2020/06/23
Date of positive test - 2020/07/02
My Symptoms (Ordered by onset, starting 2020/07/01):
1. Fatigue
2. Sore throat
3. Loss of taste/smell
4. Cognitive fog
5. Chills, w/ rather intense shaking
Other than the loss of taste/smell, all symptoms seemed to have dissipated as of 2020/07/06. I may have had a fever at some point, but my lovely thermometer wouldn’t supply a reading &amp;gt; 97 F lol. 
The way I chose to combat the virus was through my standard lifestyle (albeit, in quarantine)...
* Highly nutrient dense diet
* Vitamin/Supplements
* Ample amount of time in sunlight (isolated on my property)
* Yoga/breathing exercise
* Light weight lifting
* Hydration
No cough or chest pressure, to date. 
We need to know what this virus does to people over the long term. Since I’m (hopefully) on the final stretch of this infection, I’d love to become a long term subject of study. I’d also like to become a plasma donor, if my blood can help someone else. 
I live close to Emory in ATL. If somebody knows somebody that knows somebody, hmu! :)</t>
        </is>
      </c>
      <c r="D2773" t="n">
        <v>1</v>
      </c>
      <c r="E2773" t="n">
        <v>4</v>
      </c>
      <c r="F2773">
        <f>HYPERLINK("https://www.reddit.com/r/COVID19positive/comments/hmxobl/science_please_study_me/")</f>
        <v/>
      </c>
      <c r="G2773" t="inlineStr">
        <is>
          <t>2020-07-07 09:22:01</t>
        </is>
      </c>
      <c r="H2773" t="inlineStr">
        <is>
          <t>Tested Positive</t>
        </is>
      </c>
    </row>
    <row r="2774">
      <c r="A2774" t="inlineStr">
        <is>
          <t>hmxqfy</t>
        </is>
      </c>
      <c r="B2774" t="inlineStr">
        <is>
          <t>Heat therapy - long haulers; helpful, harmless, or hurtful?</t>
        </is>
      </c>
      <c r="C2774" t="inlineStr">
        <is>
          <t>So when I first got sick (4/8, tested positive 4/28), I did what I always do when I get sick, and packed the heat on. I never spiked a fever, so I felt safe with it. Extra blankets in bed, full PJs, and hot showers. My case has been relatively mild but I'm still having symptom flare-ups every other week or so (it's my 100th day! hooray??)
So when the cough creeps back, or my face/toes get red again, or I have some nasal congestion, I've been doing the same thing. But I had a thought last night while changing my soaked shirt for the third time - is the heat only good for killing the virus? Now that it's presumably gone from my system (tested negative twice in late June), and the long haul is just residual inflammation, am I exacerbating that with heat? 
It \*feels\* good to get hot, and cold air from the AC does seem to make my cough worse. But I'm questioning the benefit, or wondering if I'm prolonging my inflammation with all this cozy warmth. Curious if anybody's got thoughts or has tried the opposite to reduce their symptoms during long haul recovery.</t>
        </is>
      </c>
      <c r="D2774" t="n">
        <v>1</v>
      </c>
      <c r="E2774" t="n">
        <v>3</v>
      </c>
      <c r="F2774">
        <f>HYPERLINK("https://www.reddit.com/r/COVID19positive/comments/hmxqfy/heat_therapy_long_haulers_helpful_harmless_or/")</f>
        <v/>
      </c>
      <c r="G2774" t="inlineStr">
        <is>
          <t>2020-07-07 09:25:04</t>
        </is>
      </c>
      <c r="H2774" t="inlineStr">
        <is>
          <t>Tested Positive - Me</t>
        </is>
      </c>
    </row>
    <row r="2775">
      <c r="A2775" t="inlineStr">
        <is>
          <t>hmybg9</t>
        </is>
      </c>
      <c r="B2775" t="inlineStr">
        <is>
          <t>Help interpret antibody test results</t>
        </is>
      </c>
      <c r="C2775" t="inlineStr">
        <is>
          <t>So I am 25F and started having mild symptoms about 2 weeks ago and brushed it off as allergies until I lost all sense of taste and smell. I ultimately tested positive 10 days ago. I was told to isolate for 10 days since I started having symptoms (as long as no fever) but decided best to just isolate for 10 days since I tested positive to be safe. 
So that brings us to today. I decided to get my 7yr old son an antibody test to see if he may have been an asymptomatic carrier (I truly assumed he had/has it because I am a single parent + we only have 1 toilet/bathroom so its nearly impossible to not expose him even despite my best efforts). His test results came back negative. 
However, I also did an antibody test for myself and my results are confusing for me because i honestly dont fully understand these things. Both IgM and IgG are positive. I was told my body is building immunities and also fighting off an active infection that likely began more than 2 weeks ago. I was told I am still contagious and need to isolate for several more weeks. 
I’m not experiencing any symptoms other than still not being able to taste or smell. In general, my symptoms were very mild compared to what I’ve read on here. Am I really still contagious?
TLDR: both IgM and IgG positive. Was told I am contagious and advised to continue isolating for several weeks. Why??</t>
        </is>
      </c>
      <c r="D2775" t="n">
        <v>1</v>
      </c>
      <c r="E2775" t="n">
        <v>3</v>
      </c>
      <c r="F2775">
        <f>HYPERLINK("https://www.reddit.com/r/COVID19positive/comments/hmybg9/help_interpret_antibody_test_results/")</f>
        <v/>
      </c>
      <c r="G2775" t="inlineStr">
        <is>
          <t>2020-07-07 09:55:33</t>
        </is>
      </c>
      <c r="H2775" t="inlineStr">
        <is>
          <t>Tested Positive - Me</t>
        </is>
      </c>
    </row>
    <row r="2776">
      <c r="A2776" t="inlineStr">
        <is>
          <t>hmycjl</t>
        </is>
      </c>
      <c r="B2776" t="inlineStr">
        <is>
          <t>Flu symptoms gone - but chest symptoms appeared?</t>
        </is>
      </c>
      <c r="C2776" t="inlineStr">
        <is>
          <t>Hey, so I've had the coronavirus for about a week by now, and it was pretty much just a normal type of flu for me the entire time, with my symptoms getting gradually better everyday until the last few days where I've felt pretty much healthy (fever, headache etc gone).  BTW, I'm 25M
However, just as I'm feeling great and thinking I'm pretty much past it, I've felt some odd feelings in my chest, particularly on my left side (around where my heart is, I think).  it's been like that for a few days now, but no difficulty breathing or anything.  Has anyone else experienced this?  Is this a major cause for concern?  I'm thinking about going to the doctor again but half of me thinks they'll just write it off as nothing</t>
        </is>
      </c>
      <c r="D2776" t="n">
        <v>1</v>
      </c>
      <c r="E2776" t="n">
        <v>15</v>
      </c>
      <c r="F2776">
        <f>HYPERLINK("https://www.reddit.com/r/COVID19positive/comments/hmycjl/flu_symptoms_gone_but_chest_symptoms_appeared/")</f>
        <v/>
      </c>
      <c r="G2776" t="inlineStr">
        <is>
          <t>2020-07-07 09:57:10</t>
        </is>
      </c>
      <c r="H2776" t="inlineStr">
        <is>
          <t>Tested Positive - Me</t>
        </is>
      </c>
    </row>
    <row r="2777">
      <c r="A2777" t="inlineStr">
        <is>
          <t>hmyg0u</t>
        </is>
      </c>
      <c r="B2777" t="inlineStr">
        <is>
          <t>One sister tested positive, I tested negative and my other sisters are still waiting for their results</t>
        </is>
      </c>
      <c r="C2777" t="inlineStr">
        <is>
          <t>My oldest sister (A) was an asymptomatic case. She tested positive (they tested her for work) a week ago. Since she tested positive, she had told my other sisters (B &amp;amp; C) and I to get tested as well. My sisters (B &amp;amp; C) spend several hours in a car with sister A a week before she tested positive. All of us , except sister A, have been coughing and have a very mild sinusitis like illness. Sisters B &amp;amp; C and I got tested at the same time (at the same place) over a week ago. I got my results back a couple of days ago (not detected) but my other sisters still haven’t heard back. Has anyone experienced anything like this?</t>
        </is>
      </c>
      <c r="D2777" t="n">
        <v>1</v>
      </c>
      <c r="E2777" t="n">
        <v>3</v>
      </c>
      <c r="F2777">
        <f>HYPERLINK("https://www.reddit.com/r/COVID19positive/comments/hmyg0u/one_sister_tested_positive_i_tested_negative_and/")</f>
        <v/>
      </c>
      <c r="G2777" t="inlineStr">
        <is>
          <t>2020-07-07 10:02:15</t>
        </is>
      </c>
      <c r="H2777" t="inlineStr">
        <is>
          <t>Tested Positive - Family</t>
        </is>
      </c>
    </row>
    <row r="2778">
      <c r="A2778" t="inlineStr">
        <is>
          <t>hmz8e5</t>
        </is>
      </c>
      <c r="B2778" t="inlineStr">
        <is>
          <t>So my (visiting) girlfriends brother tested positive, I am now positive but girlfriend is negative</t>
        </is>
      </c>
      <c r="C2778" t="inlineStr">
        <is>
          <t>So girlfriend and I are in atlanta. We are soon to move to New Orleans for grad school (moving on the 15th). Her brother came up and we were going to go on a camping trip (I know, mistake). He got up saturday before last (June 27th) and we headed out camping on monday (june 29th).
On tuesday he seemed sluggish and tired, and while making dinner complained that he couldnt taste. So the next morning (wednesday) we drove home and got tested first thing in the morning on thursday. We got the results back Friday afternoon and he of course was positive, but my girlfriend and I were both negative. So between saturday and thursday, we were together the whole time, he was positive and we were still negative. We (stupidly) assumed we would all test positive, and did not quarantine him until our negative test results came in.
So, since Friday afternoon the brother has been confined to the guest bedroom. Unfortunately we only have one bathroom, we sanitized it after everyone used it, etc. We go to get tested again yesterday (monday) and just got our results back. I am now positive, but girlfriend is still negative. So as of yesterday morning, girlfriend is still negative. 
The new tenants are supposed to be moving into our house on the 17th. Their lease at their current place doesnt end until the end of the month. We could move to new orleans now, and then hunker down there, which is what we are considering doing. Girlfriend can procure the u-haul, and pay for the gas, and I'll pee in a gator aid bottle and not get out of the truck. 
As an aside, we went to mardi gras and girlfriend was VERY sick after, for 2 weeks: shortness of breath, wet cough, fever. Is it possible she already had it and now has antibodies? If she did have it so bad, why didnt I get it/develop antibodies? 
Last point, girlfriend has exercise induced asthma. If she didnt, I would be ready to treat this like like chicken pox and cough in her mouth and get it over with. 
Any advice or stories would be greatly appreciated, thanks yall</t>
        </is>
      </c>
      <c r="D2778" t="n">
        <v>1</v>
      </c>
      <c r="E2778" t="n">
        <v>2</v>
      </c>
      <c r="F2778">
        <f>HYPERLINK("https://www.reddit.com/r/COVID19positive/comments/hmz8e5/so_my_visiting_girlfriends_brother_tested/")</f>
        <v/>
      </c>
      <c r="G2778" t="inlineStr">
        <is>
          <t>2020-07-07 10:42:52</t>
        </is>
      </c>
      <c r="H2778" t="inlineStr">
        <is>
          <t>Tested Positive - Me</t>
        </is>
      </c>
    </row>
    <row r="2779">
      <c r="A2779" t="inlineStr">
        <is>
          <t>hmzpvb</t>
        </is>
      </c>
      <c r="B2779" t="inlineStr">
        <is>
          <t>3 days after positive test , 8 days after exposure but no antibodies</t>
        </is>
      </c>
      <c r="C2779" t="inlineStr">
        <is>
          <t>I’m almost asymptotic. I was tested positive on Friday . My exposure was 27/28 june . 
My antibody tests were negative . When ur antibody tests became positive ? How sever was ur illness ? How long after exposure ?</t>
        </is>
      </c>
      <c r="D2779" t="n">
        <v>1</v>
      </c>
      <c r="E2779" t="n">
        <v>5</v>
      </c>
      <c r="F2779">
        <f>HYPERLINK("https://www.reddit.com/r/COVID19positive/comments/hmzpvb/3_days_after_positive_test_8_days_after_exposure/")</f>
        <v/>
      </c>
      <c r="G2779" t="inlineStr">
        <is>
          <t>2020-07-07 11:07:40</t>
        </is>
      </c>
      <c r="H2779" t="inlineStr">
        <is>
          <t>Tested Positive - Me</t>
        </is>
      </c>
    </row>
    <row r="2780">
      <c r="A2780" t="inlineStr">
        <is>
          <t>hn0xk7</t>
        </is>
      </c>
      <c r="B2780" t="inlineStr">
        <is>
          <t>Can I still be contagious?</t>
        </is>
      </c>
      <c r="C2780" t="inlineStr">
        <is>
          <t>So I'm 3 weeks from initial symptoms and 2 weeks from positive test. I don't any crazy symptoms other some SOB here and there...dizziness and the slightest cough like it's so random. My doctor cleared me to be able to come out of my isolation but I still have the fear of being contagious. She said I don't have to worry about it since my symptoms are gradually disappearing and I haven't had a fever for over a week. She obviously told me to be mindful and still take the same precautions I would as if I didn't have it. Which I have been the times I have no choice but to leave my home. I'm so scared to get anyone sick...</t>
        </is>
      </c>
      <c r="D2780" t="n">
        <v>1</v>
      </c>
      <c r="E2780" t="n">
        <v>6</v>
      </c>
      <c r="F2780">
        <f>HYPERLINK("https://www.reddit.com/r/COVID19positive/comments/hn0xk7/can_i_still_be_contagious/")</f>
        <v/>
      </c>
      <c r="G2780" t="inlineStr">
        <is>
          <t>2020-07-07 12:10:05</t>
        </is>
      </c>
      <c r="H2780" t="inlineStr">
        <is>
          <t>Tested Positive - Me</t>
        </is>
      </c>
    </row>
    <row r="2781">
      <c r="A2781" t="inlineStr">
        <is>
          <t>hn1dmp</t>
        </is>
      </c>
      <c r="B2781" t="inlineStr">
        <is>
          <t>How long until you tested negative?</t>
        </is>
      </c>
      <c r="C2781" t="inlineStr">
        <is>
          <t>I received symptoms starting June 21. I had a fever and chills that only lasted that night. Since then, fever has not returned, but fatigue set in. I spent most of the week asleep and by June 26 I lost taste and smell. By July 1, I started feeling normal again (still some mild fatigue). Sunday, July 5 marked two weeks since my fever. I got retested yesterday, July 6, but still came back positive. I’m curious to hear how long it took others to test negative?</t>
        </is>
      </c>
      <c r="D2781" t="n">
        <v>1</v>
      </c>
      <c r="E2781" t="n">
        <v>7</v>
      </c>
      <c r="F2781">
        <f>HYPERLINK("https://www.reddit.com/r/COVID19positive/comments/hn1dmp/how_long_until_you_tested_negative/")</f>
        <v/>
      </c>
      <c r="G2781" t="inlineStr">
        <is>
          <t>2020-07-07 12:33:48</t>
        </is>
      </c>
      <c r="H2781" t="inlineStr">
        <is>
          <t>Tested Positive - Me</t>
        </is>
      </c>
    </row>
    <row r="2782">
      <c r="A2782" t="inlineStr">
        <is>
          <t>hn1wqn</t>
        </is>
      </c>
      <c r="B2782" t="inlineStr">
        <is>
          <t>How long did your fever last?</t>
        </is>
      </c>
      <c r="C2782" t="inlineStr">
        <is>
          <t>To those who also tested positive, how long did your fever last? I was tested before my symptoms started due to exposure to my partner whom I live with. The first day my fever got up to 103.2 before the Tylenol kicked in. Today is my 3rd day of a constant fever. Thankfully day 2 and 3 it has been low grade. Wondering when it will stop.. causing major brain fog.</t>
        </is>
      </c>
      <c r="D2782" t="n">
        <v>1</v>
      </c>
      <c r="E2782" t="n">
        <v>32</v>
      </c>
      <c r="F2782">
        <f>HYPERLINK("https://www.reddit.com/r/COVID19positive/comments/hn1wqn/how_long_did_your_fever_last/")</f>
        <v/>
      </c>
      <c r="G2782" t="inlineStr">
        <is>
          <t>2020-07-07 13:01:55</t>
        </is>
      </c>
      <c r="H2782" t="inlineStr">
        <is>
          <t>Tested Positive - Me</t>
        </is>
      </c>
    </row>
    <row r="2783">
      <c r="A2783" t="inlineStr">
        <is>
          <t>hn2s3q</t>
        </is>
      </c>
      <c r="B2783" t="inlineStr">
        <is>
          <t>Do I have it again?</t>
        </is>
      </c>
      <c r="C2783" t="inlineStr">
        <is>
          <t>I had a 70+ day run of many of the classic symptoms.  Following that, I was essentially better for 6 weeks, though i had some residual fatigue, weakness and memory issues and then a week ago I got the sinus pressure/nasal inflammation, itchy eyes headache, fuzzy headedness/memory issues, fatigue, loss of smell, sleep disruption, and short stint of diarrhea.  Is it possible I have it again?  No lung pain, chest pain, body aches, fever or racing heart rate at this point.</t>
        </is>
      </c>
      <c r="D2783" t="n">
        <v>1</v>
      </c>
      <c r="E2783" t="n">
        <v>12</v>
      </c>
      <c r="F2783">
        <f>HYPERLINK("https://www.reddit.com/r/COVID19positive/comments/hn2s3q/do_i_have_it_again/")</f>
        <v/>
      </c>
      <c r="G2783" t="inlineStr">
        <is>
          <t>2020-07-07 13:48:44</t>
        </is>
      </c>
      <c r="H2783" t="inlineStr">
        <is>
          <t>Presumed Positive - From Doctor</t>
        </is>
      </c>
    </row>
    <row r="2784">
      <c r="A2784" t="inlineStr">
        <is>
          <t>hn2sdl</t>
        </is>
      </c>
      <c r="B2784" t="inlineStr">
        <is>
          <t>If u are asymptotic, how long it takes to get negative PCR ?</t>
        </is>
      </c>
      <c r="C2784" t="inlineStr">
        <is>
          <t>I don’t know if I’m asymptotic or pre symptotic it really gave it mild . But I wonder if any one has been in the same situation and how long it took to be negative ?</t>
        </is>
      </c>
      <c r="D2784" t="n">
        <v>1</v>
      </c>
      <c r="E2784" t="n">
        <v>4</v>
      </c>
      <c r="F2784">
        <f>HYPERLINK("https://www.reddit.com/r/COVID19positive/comments/hn2sdl/if_u_are_asymptotic_how_long_it_takes_to_get/")</f>
        <v/>
      </c>
      <c r="G2784" t="inlineStr">
        <is>
          <t>2020-07-07 13:49:09</t>
        </is>
      </c>
      <c r="H2784" t="inlineStr">
        <is>
          <t>Tested Positive - Me</t>
        </is>
      </c>
    </row>
    <row r="2785">
      <c r="A2785" t="inlineStr">
        <is>
          <t>hn333m</t>
        </is>
      </c>
      <c r="B2785" t="inlineStr">
        <is>
          <t>Has anyone here donated plasma or planning to?</t>
        </is>
      </c>
      <c r="C2785" t="inlineStr">
        <is>
          <t>Hi, I was positive 3 months ago. It was a trip and I was panicked. My mom got it as well, she had lots of underlying symptoms. We are now both recovered, just wanted to say that for anyone who is going through this. Can’t guarantee anything but it’s some hope if anyone needs it.
So, 3 months later I finally get a email from the Red Cross that I’m eligible. I waited so long to apply because I went back to work right away. I’ve only ever donated blood, not plasma. I hear it’s very different and more painful, so just wanted to gather any discussions for someone who has been through it before. I’m ready to give back, just deadly scared of needles. If you have been through this or know anyone who was positive and went through it, then feel free to comment. I was wondering if they would test me for antibodies as well.</t>
        </is>
      </c>
      <c r="D2785" t="n">
        <v>1</v>
      </c>
      <c r="E2785" t="n">
        <v>4</v>
      </c>
      <c r="F2785">
        <f>HYPERLINK("https://www.reddit.com/r/COVID19positive/comments/hn333m/has_anyone_here_donated_plasma_or_planning_to/")</f>
        <v/>
      </c>
      <c r="G2785" t="inlineStr">
        <is>
          <t>2020-07-07 14:05:01</t>
        </is>
      </c>
      <c r="H2785" t="inlineStr">
        <is>
          <t>Tested Positive</t>
        </is>
      </c>
    </row>
    <row r="2786">
      <c r="A2786" t="inlineStr">
        <is>
          <t>hn4e7f</t>
        </is>
      </c>
      <c r="B2786" t="inlineStr">
        <is>
          <t>heading back to work</t>
        </is>
      </c>
      <c r="C2786" t="inlineStr">
        <is>
          <t>25/F
i tested positive june 17th, symptoms seemed to stop july 2nd. first day back to work today (July 7th) and I've had a headache all day, felt nauseous driving home, sore throat and cough are back. has anyone had a similar experience with symptoms coming back? did you take more time off work?</t>
        </is>
      </c>
      <c r="D2786" t="n">
        <v>1</v>
      </c>
      <c r="E2786" t="n">
        <v>16</v>
      </c>
      <c r="F2786">
        <f>HYPERLINK("https://www.reddit.com/r/COVID19positive/comments/hn4e7f/heading_back_to_work/")</f>
        <v/>
      </c>
      <c r="G2786" t="inlineStr">
        <is>
          <t>2020-07-07 15:15:12</t>
        </is>
      </c>
      <c r="H2786" t="inlineStr">
        <is>
          <t>Tested Positive - Me</t>
        </is>
      </c>
    </row>
    <row r="2787">
      <c r="A2787" t="inlineStr">
        <is>
          <t>hn4gly</t>
        </is>
      </c>
      <c r="B2787" t="inlineStr">
        <is>
          <t>Likelihood of a false positive?</t>
        </is>
      </c>
      <c r="C2787" t="inlineStr">
        <is>
          <t>My family and I were able to get a nasal swab test on 6/28. I received my results today and tested positive. However, both of my parents tested negative which I thought was odd. I am thinking that I may likely be an asymptomatic carrier but what are the odds of a false positive?</t>
        </is>
      </c>
      <c r="D2787" t="n">
        <v>1</v>
      </c>
      <c r="E2787" t="n">
        <v>8</v>
      </c>
      <c r="F2787">
        <f>HYPERLINK("https://www.reddit.com/r/COVID19positive/comments/hn4gly/likelihood_of_a_false_positive/")</f>
        <v/>
      </c>
      <c r="G2787" t="inlineStr">
        <is>
          <t>2020-07-07 15:18:59</t>
        </is>
      </c>
      <c r="H2787" t="inlineStr">
        <is>
          <t>Tested Positive</t>
        </is>
      </c>
    </row>
    <row r="2788">
      <c r="A2788" t="inlineStr">
        <is>
          <t>hn57cf</t>
        </is>
      </c>
      <c r="B2788" t="inlineStr">
        <is>
          <t>Just got the call</t>
        </is>
      </c>
      <c r="C2788" t="inlineStr">
        <is>
          <t>I started feeling weird as soon as I got home from work on Friday, June 26. I woke up Saturday with muscle aches and a slight sore throat, however it went away throughout the day. I carried about my weekend without any other symptoms. 
On Monday, I went in to work and had a temperature check - 98.6 degrees. However, throughout the day, I felt a bit dizzy and kind of out of it in general. When I went home for lunch, I noticed my sense of taste was deteriorating. This is when I first thought “oh shit, this could be covid.”
I notified my supervisor and took the rest of the week off of work. I got tested the following day, Tuesday June 30. Since then, I haven’t had any noticeable symptoms other than loss of smell/taste. Around day 9 after the start of symptoms, my sense of smell started to gradually come back. Today, I got the call from my doctor that my test came back positive. 
My sense of smell and taste is slowly returning. I still feel fine, but I don’t think I’ll be able to return to work until next week. I’ve been very careful around my family trying to stay away as much as possible, and thankfully none of them have experienced any symptoms. They are all going to get tested now. 
I just wanted to share my timeline. At no point did I experience a fever or breathing problems. I am a 23M in southern California with no pre-existing conditions.</t>
        </is>
      </c>
      <c r="D2788" t="n">
        <v>1</v>
      </c>
      <c r="E2788" t="n">
        <v>131</v>
      </c>
      <c r="F2788">
        <f>HYPERLINK("https://www.reddit.com/r/COVID19positive/comments/hn57cf/just_got_the_call/")</f>
        <v/>
      </c>
      <c r="G2788" t="inlineStr">
        <is>
          <t>2020-07-07 16:00:21</t>
        </is>
      </c>
      <c r="H2788" t="inlineStr">
        <is>
          <t>Tested Positive - Me</t>
        </is>
      </c>
    </row>
    <row r="2789">
      <c r="A2789" t="inlineStr">
        <is>
          <t>hn73zk</t>
        </is>
      </c>
      <c r="B2789" t="inlineStr">
        <is>
          <t>Mild case with just fever TBD</t>
        </is>
      </c>
      <c r="C2789" t="inlineStr">
        <is>
          <t>Anyone who had the same case? Or if this is helpful for anyone
I’ve been taking zinc, vitamin d leading up to getting infected.
Probably got infected some time on 7/1
7/5 woke up with a mild fever. 37.8
By night time it was 38.4. No other symptoms slight headache slight ache
7/6 woke up with 37.5 and had a mild fever all day. 
7/7 woke up with no fever.   No serious cough or sore throat. Feel fine otherwise, not 100%.  Feeling some slight chest pressure, but could just be anxiety.  Not sure what is to come??  Got a positive test result. 
7/8 tbd
Did anyone have the same experience? And if that was it, how long did you quarantine after?
Just wanted to leave some mild case examples here.. and compare my case to anyone else who made have had a similar experience.</t>
        </is>
      </c>
      <c r="D2789" t="n">
        <v>1</v>
      </c>
      <c r="E2789" t="n">
        <v>7</v>
      </c>
      <c r="F2789">
        <f>HYPERLINK("https://www.reddit.com/r/COVID19positive/comments/hn73zk/mild_case_with_just_fever_tbd/")</f>
        <v/>
      </c>
      <c r="G2789" t="inlineStr">
        <is>
          <t>2020-07-07 17:52:49</t>
        </is>
      </c>
      <c r="H2789" t="inlineStr">
        <is>
          <t>Tested Positive - Me</t>
        </is>
      </c>
    </row>
    <row r="2790">
      <c r="A2790" t="inlineStr">
        <is>
          <t>hn7grz</t>
        </is>
      </c>
      <c r="B2790" t="inlineStr">
        <is>
          <t>Anxious about my brain fog and dizziness</t>
        </is>
      </c>
      <c r="C2790" t="inlineStr">
        <is>
          <t>So I tested positive 2 weeks ago with my symptoms first appearing 3 weeks ago...by now I’m not contagious and my only symptoms left seem to be pretty heavy fatigue, brain fog, and dizziness. My inability to hold thoughts sometimes and the dizziness have really begun to freak me out and make me anxious because I’m overthinking it (constantly wondering if I’m having a stroke, etc.). Does anyone have tips on calming yourself down? I misspelled “world” the other day and almost went into a panic attack lol.</t>
        </is>
      </c>
      <c r="D2790" t="n">
        <v>1</v>
      </c>
      <c r="E2790" t="n">
        <v>9</v>
      </c>
      <c r="F2790">
        <f>HYPERLINK("https://www.reddit.com/r/COVID19positive/comments/hn7grz/anxious_about_my_brain_fog_and_dizziness/")</f>
        <v/>
      </c>
      <c r="G2790" t="inlineStr">
        <is>
          <t>2020-07-07 18:15:08</t>
        </is>
      </c>
      <c r="H2790" t="inlineStr">
        <is>
          <t>Tested Positive - Me</t>
        </is>
      </c>
    </row>
    <row r="2791">
      <c r="A2791" t="inlineStr">
        <is>
          <t>hn7jmq</t>
        </is>
      </c>
      <c r="B2791" t="inlineStr">
        <is>
          <t>Cough on day 4-5</t>
        </is>
      </c>
      <c r="C2791" t="inlineStr">
        <is>
          <t>Have u suddenly started to cough on dat 4-5 ? How it developed over time ?</t>
        </is>
      </c>
      <c r="D2791" t="n">
        <v>1</v>
      </c>
      <c r="E2791" t="n">
        <v>2</v>
      </c>
      <c r="F2791">
        <f>HYPERLINK("https://www.reddit.com/r/COVID19positive/comments/hn7jmq/cough_on_day_45/")</f>
        <v/>
      </c>
      <c r="G2791" t="inlineStr">
        <is>
          <t>2020-07-07 18:20:07</t>
        </is>
      </c>
      <c r="H2791" t="inlineStr">
        <is>
          <t>Tested Positive - Me</t>
        </is>
      </c>
    </row>
    <row r="2792">
      <c r="A2792" t="inlineStr">
        <is>
          <t>hn7jz6</t>
        </is>
      </c>
      <c r="B2792" t="inlineStr">
        <is>
          <t>Cough on day 4-5</t>
        </is>
      </c>
      <c r="C2792" t="inlineStr">
        <is>
          <t>Have u suddenly started to cough on dat 4-5 ? How it developed over time ?</t>
        </is>
      </c>
      <c r="D2792" t="n">
        <v>1</v>
      </c>
      <c r="E2792" t="n">
        <v>4</v>
      </c>
      <c r="F2792">
        <f>HYPERLINK("https://www.reddit.com/r/COVID19positive/comments/hn7jz6/cough_on_day_45/")</f>
        <v/>
      </c>
      <c r="G2792" t="inlineStr">
        <is>
          <t>2020-07-07 18:20:46</t>
        </is>
      </c>
      <c r="H2792" t="inlineStr">
        <is>
          <t>Tested Positive - Me</t>
        </is>
      </c>
    </row>
    <row r="2793">
      <c r="A2793" t="inlineStr">
        <is>
          <t>hn7l5p</t>
        </is>
      </c>
      <c r="B2793" t="inlineStr">
        <is>
          <t>do i need to worry</t>
        </is>
      </c>
      <c r="C2793" t="inlineStr">
        <is>
          <t>(18M) i have a previous post on this sub where i talked about me having shortness of breathe. It started around 6 or 7 days ago and only happened at night and in the morning in the beginning. Then around day 3 of having it, it stuck around all day. I never had a temp over 99.3 (right after i got out of a hot shower) and i’ve felt a little tired but that usually happens when i lay around all day like i have been. I have a pulse oximeter and my levels have been from 96-100. A couple times they’ve dropped  to about 93 but that’s when i’ve kept it on for a long time and as soon as i take it off and refresh it it’s around 96-100 again. Kaiser told me when i called that they don’t have room to test people who don’t have more severe symptoms for another 10 days so the dr said to just wait it out and he assumed i would get better soon due to my age and me having no underlying conditions. My question is that now that i’m on day 6 or 7 of having symptoms and they haven’t progressed to anything severe do i need to worry about it happening still or am i in the clear of that. I’ve heard if u do get severe symptoms it usually happens fast and around day 6 you’ll know if it’s gonna get worse or not. I have extreme anxiety about having to be hospitalized over it and having the SOB is already very very scary for me. I’m a severe hypochondriac so all of this is definitely worrisome.</t>
        </is>
      </c>
      <c r="D2793" t="n">
        <v>1</v>
      </c>
      <c r="E2793" t="n">
        <v>3</v>
      </c>
      <c r="F2793">
        <f>HYPERLINK("https://www.reddit.com/r/COVID19positive/comments/hn7l5p/do_i_need_to_worry/")</f>
        <v/>
      </c>
      <c r="G2793" t="inlineStr">
        <is>
          <t>2020-07-07 18:22:49</t>
        </is>
      </c>
      <c r="H2793" t="inlineStr">
        <is>
          <t>Presumed Positive - From Doctor</t>
        </is>
      </c>
    </row>
    <row r="2794">
      <c r="A2794" t="inlineStr">
        <is>
          <t>hn7pac</t>
        </is>
      </c>
      <c r="B2794" t="inlineStr">
        <is>
          <t>How long can it take for the virus to leave your system? I’ve been experiencing mild symptoms for over a month now and I’m not sure if it’s the same virus or a new reinfection ?</t>
        </is>
      </c>
      <c r="C2794" t="inlineStr">
        <is>
          <t>(26M)
Started with allergy like symptoms. Sneezing, itchy eyes. Then it progressed into a sore throat and nasal congestion, slightly swollen lymph nodes and pain under my arms and groin area where there are lymph nodes, but they weren’t swollen. Then it progressed into body aches/muscle stiffness and Occasional headaches along with serious fatigue. I could sleep for 12 hours and still wake up fatigued and sleepy. Now after about 6 weeks the fatigue is mostly gone, I’m able to sleep 6 hours and wake up refreshed, and all the other symptoms are fading away slowly, but the only symptoms that seem to not go away are nasal congestion and sore/painful throat. The nasal congestion is very particular though, it’s alot less severe than the kind of nasal congestion I’ve gotten from the flu or even a cold.</t>
        </is>
      </c>
      <c r="D2794" t="n">
        <v>1</v>
      </c>
      <c r="E2794" t="n">
        <v>5</v>
      </c>
      <c r="F2794">
        <f>HYPERLINK("https://www.reddit.com/r/COVID19positive/comments/hn7pac/how_long_can_it_take_for_the_virus_to_leave_your/")</f>
        <v/>
      </c>
      <c r="G2794" t="inlineStr">
        <is>
          <t>2020-07-07 18:30:03</t>
        </is>
      </c>
      <c r="H2794" t="inlineStr">
        <is>
          <t>Tested Positive - Me</t>
        </is>
      </c>
    </row>
    <row r="2795">
      <c r="A2795" t="inlineStr">
        <is>
          <t>hn7yma</t>
        </is>
      </c>
      <c r="B2795" t="inlineStr">
        <is>
          <t>My room mate is COVID-19 positive and idk what to do , what can he do and the doctor said zinc, vitamin d do nothing</t>
        </is>
      </c>
      <c r="C2795" t="inlineStr">
        <is>
          <t>He had really bad cough, and within 4  days his condition went to shit. He went to the urgent care today, he refused to do a COVID test because he can't afford the $200 for it, did an xray of his lungs and they said he has pneumonia, that was $80. Blood test was $90 too, consultation was 100. Then my friend told him he's been taking vitamin d, zinc and vitamin c. Doctor laughed and said to stop listening to morons on the internet, called it a waste of money.
&amp;amp;#x200B;
They then told him to go to the ER, because he has bad cough, pneumonia, tachycardia, etc, but my friend refuses to go because he can't afford it and it will ruin his credit. Doctor said he's presumed positive 
&amp;amp;#x200B;
My friend can't afford to go to hospital, we're in OC, CA but "technically" also live in L.A because use our parents addresses. What can we do? My friend is 27. Does going to the hospital really mean he has to go bankrupt? He really cares about his credit
&amp;amp;#x200B;
And what do I do? I have no symptoms but I'm scared, sorry if this post seems panic but I'm so worried</t>
        </is>
      </c>
      <c r="D2795" t="n">
        <v>1</v>
      </c>
      <c r="E2795" t="n">
        <v>64</v>
      </c>
      <c r="F2795">
        <f>HYPERLINK("https://www.reddit.com/r/COVID19positive/comments/hn7yma/my_room_mate_is_covid19_positive_and_idk_what_to/")</f>
        <v/>
      </c>
      <c r="G2795" t="inlineStr">
        <is>
          <t>2020-07-07 18:46:00</t>
        </is>
      </c>
      <c r="H2795" t="inlineStr">
        <is>
          <t>Presumed Positive - From Doctor</t>
        </is>
      </c>
    </row>
    <row r="2796">
      <c r="A2796" t="inlineStr">
        <is>
          <t>hn83wr</t>
        </is>
      </c>
      <c r="B2796" t="inlineStr">
        <is>
          <t>COVID NYC 2019</t>
        </is>
      </c>
      <c r="C2796" t="inlineStr">
        <is>
          <t>Guys anyone get super sick around end of December 2019 in nyc? I had a crazy flu like symptom no respiratory issues but tons of neuro symptoms etc.</t>
        </is>
      </c>
      <c r="D2796" t="n">
        <v>1</v>
      </c>
      <c r="E2796" t="n">
        <v>6</v>
      </c>
      <c r="F2796">
        <f>HYPERLINK("https://www.reddit.com/r/COVID19positive/comments/hn83wr/covid_nyc_2019/")</f>
        <v/>
      </c>
      <c r="G2796" t="inlineStr">
        <is>
          <t>2020-07-07 18:55:09</t>
        </is>
      </c>
      <c r="H2796" t="inlineStr">
        <is>
          <t>Presumed Positive - From Test</t>
        </is>
      </c>
    </row>
    <row r="2797">
      <c r="A2797" t="inlineStr">
        <is>
          <t>hn88px</t>
        </is>
      </c>
      <c r="B2797" t="inlineStr">
        <is>
          <t>I think I have recovered!</t>
        </is>
      </c>
      <c r="C2797" t="inlineStr">
        <is>
          <t>I was tested positive on 13 June. After almost a month I got tested and my report tested negative! 
I am very happy!</t>
        </is>
      </c>
      <c r="D2797" t="n">
        <v>1</v>
      </c>
      <c r="E2797" t="n">
        <v>22</v>
      </c>
      <c r="F2797">
        <f>HYPERLINK("https://www.reddit.com/r/COVID19positive/comments/hn88px/i_think_i_have_recovered/")</f>
        <v/>
      </c>
      <c r="G2797" t="inlineStr">
        <is>
          <t>2020-07-07 19:03:18</t>
        </is>
      </c>
      <c r="H2797" t="inlineStr">
        <is>
          <t>Tested Positive - Me</t>
        </is>
      </c>
    </row>
    <row r="2798">
      <c r="A2798" t="inlineStr">
        <is>
          <t>hn8ci3</t>
        </is>
      </c>
      <c r="B2798" t="inlineStr">
        <is>
          <t>Partial loss of sense of taste and smell</t>
        </is>
      </c>
      <c r="C2798" t="inlineStr">
        <is>
          <t>I can still sniff things and sense the smell but if I don’t sniff , I won’t sense it. It does not come naturally any more . I can taste but not as strongly . 
Anyone similar ?</t>
        </is>
      </c>
      <c r="D2798" t="n">
        <v>1</v>
      </c>
      <c r="E2798" t="n">
        <v>7</v>
      </c>
      <c r="F2798">
        <f>HYPERLINK("https://www.reddit.com/r/COVID19positive/comments/hn8ci3/partial_loss_of_sense_of_taste_and_smell/")</f>
        <v/>
      </c>
      <c r="G2798" t="inlineStr">
        <is>
          <t>2020-07-07 19:09:27</t>
        </is>
      </c>
      <c r="H2798" t="inlineStr">
        <is>
          <t>Tested Positive - Me</t>
        </is>
      </c>
    </row>
    <row r="2799">
      <c r="A2799" t="inlineStr">
        <is>
          <t>hn8fo7</t>
        </is>
      </c>
      <c r="B2799" t="inlineStr">
        <is>
          <t>Tested positive - I thought it was only light allergies or maybe that Sahara dust.</t>
        </is>
      </c>
      <c r="C2799" t="inlineStr">
        <is>
          <t>Thought I'd share my timeline since there are quite a few people in the sub asking about covid vs. allergies. I had those same questions all Spring.
I'm a 50 year old male by the way.
About 3-ish (maybe longer) weeks ago, I started noticing a very slight sore throat. Like what it feels like after taking a nap and leaving my mouth open. Also, along that same time I noticed that I had a fairly frequent need to clear my throat with maybe one or two coughs a day. Like in the shower I'd cough a few times and be done with it. 
Then, in the middle of June, I was accidentally woken up really early in the morning ~4am by a wrong number and couldn't go back to sleep. That whole day and the next I was dragging and dizzy and a bit fuzzy headed brain fog kinda thing. I took the day off to sleep and the next day. I just told myself I was sleepy, but ended up sleeping 11-12 hours a day for the next two days. Then felt fine again. I chalked it up to stress and anxiety and being tired.
Minor sore throat, throat clearing and very very minor cough for the rest of the month. 
Been working remotely, but needed to pick up something from the office and so took the online screening test to get cleared to go grab a few things. I failed the screening because I did list the cough and sore throat (even though this would have been a good year for allergy symptoms if it had happened in 2019). I wanted to be honest, so I checked those boxes.
The health person at work called me and we talked about allergies and she cleared me to go ahead and go in. She did mention that I could go get tested if I wanted so I got an appointment for the next morning because I was curious more than anything. 
Got swabbed on the 1st of July and went about my business. Dr. called me late on the 4th and told me I was positive. I was like, "you're joking!" I never would have guessed I had it and wouldn't have gotten tested if I hadn't needed a USB adapter for my computer.
County health department called me to do contact tracing yesterday and I was put on 10 days of isolation from the day of the test. She said it's typically 10 days isolation from onset of symptoms, but since mine were so minor and I couldn't pinpoint a date, she gave me day of test. So that means isolation through the 11th. For me. 
Sent in my whole family (wife and kids) that live with me yesterday morning to get tested and we're waiting on results for them now. Said it would likely be 3-4 days because the lab is backed up now. 
For them, their isolation is trickier. If they test positive, it's either 10 days from test or onset of symptoms for the young one since he coughed before the test. If they don't test positive, it's 14 days PAST the end of my isolation. They're assuming I'm contagious til the last day and wanna wait the full incubation period, I guess. In my state, they don't require a negative test. They just assume 10 days past onset of symptoms (or 3 days past last fever, whichever is latest) and it's run its course.
Youngest is showing some minor coughing like I had and teenager had a week or so of lethargy about 2 weeks back. I just figured it was teenager being lazy. Wife isn't showing anything, but she's super healthy in general. She said her sleeping heartrate has been about 10 higher according to her watch for about 3 days.
I've worried about this thing for months and it's been a huge weight on me. Im still stressed and worried about how it may affect the peeps in the house.
Also, I can't give medical advice, but my Dr. Put me on a baby aspirin per day(because I'm old, I guess, to help prevent stroke or heart attack), Vitamin C, Vitamin D drops and Zinc.</t>
        </is>
      </c>
      <c r="D2799" t="n">
        <v>1</v>
      </c>
      <c r="E2799" t="n">
        <v>21</v>
      </c>
      <c r="F2799">
        <f>HYPERLINK("https://www.reddit.com/r/COVID19positive/comments/hn8fo7/tested_positive_i_thought_it_was_only_light/")</f>
        <v/>
      </c>
      <c r="G2799" t="inlineStr">
        <is>
          <t>2020-07-07 19:14:56</t>
        </is>
      </c>
      <c r="H2799" t="inlineStr">
        <is>
          <t>Tested Positive - Me</t>
        </is>
      </c>
    </row>
    <row r="2800">
      <c r="A2800" t="inlineStr">
        <is>
          <t>hn8plm</t>
        </is>
      </c>
      <c r="B2800" t="inlineStr">
        <is>
          <t>Anyone asymptotic for 4-5 days and suddenly got worse ?</t>
        </is>
      </c>
      <c r="C2800" t="inlineStr">
        <is>
          <t>That is my greatest worry .,,</t>
        </is>
      </c>
      <c r="D2800" t="n">
        <v>1</v>
      </c>
      <c r="E2800" t="n">
        <v>15</v>
      </c>
      <c r="F2800">
        <f>HYPERLINK("https://www.reddit.com/r/COVID19positive/comments/hn8plm/anyone_asymptotic_for_45_days_and_suddenly_got/")</f>
        <v/>
      </c>
      <c r="G2800" t="inlineStr">
        <is>
          <t>2020-07-07 19:32:10</t>
        </is>
      </c>
      <c r="H2800" t="inlineStr">
        <is>
          <t>Tested Positive - Me</t>
        </is>
      </c>
    </row>
    <row r="2801">
      <c r="A2801" t="inlineStr">
        <is>
          <t>hn92l3</t>
        </is>
      </c>
      <c r="B2801" t="inlineStr">
        <is>
          <t>Didn’t know I had COVID</t>
        </is>
      </c>
      <c r="C2801" t="inlineStr">
        <is>
          <t>Hey guys, just wanted to share my story with you.
Starting on Thursday July 2nd, I went to the gym and did a 2 mile run. During the run I noticed a tiny bit of burning in my nose while breathing - almost felt like what happens when water goes up your nose at the pool but not as bad. I typically have allergies so I thought nothing of it. That night my dad and stepmom came in from out of town and I met them for dinner.
The next day I had a little bit of a stuffy nose and mild sinus pressure, I had mild pressure headaches. Over the rest of the weekend I felt the same, I was tired but nothing out of the usual. My girlfriend and I went to the beach for the day and celebrated the 4th together outside. Sunday was about the same with a little more fatigue but otherwise very mild symptoms. No cough, no fever, no sore throat... just sinus pressure and a no sense of smell.
I have sinus infections pretty frequently so I scheduled a Teladoc appointment and got antibiotics called in because this felt exactly like a sinus infection. Since I had seen my parents and some of my gf’s family, I told myself I would go get tested just to be 100% sure, I was SO certain this was just a sinus infection. Well when I got my test back from Mayo Clinic today I was in absolute shock to find out that I am COVID positive. My symptoms are so minor, it has been 6 days with no worsening so I am really hoping I’m on the upswing and it’s just about over.
I know that my experience thus far is the minority so I don’t take that for granted. I think I might get tested again a day or two after all symptoms are gone. I wish everyone a speedy recovery!</t>
        </is>
      </c>
      <c r="D2801" t="n">
        <v>1</v>
      </c>
      <c r="E2801" t="n">
        <v>41</v>
      </c>
      <c r="F2801">
        <f>HYPERLINK("https://www.reddit.com/r/COVID19positive/comments/hn92l3/didnt_know_i_had_covid/")</f>
        <v/>
      </c>
      <c r="G2801" t="inlineStr">
        <is>
          <t>2020-07-07 19:54:53</t>
        </is>
      </c>
      <c r="H2801" t="inlineStr">
        <is>
          <t>Tested Positive - Me</t>
        </is>
      </c>
    </row>
    <row r="2802">
      <c r="A2802" t="inlineStr">
        <is>
          <t>hn97lv</t>
        </is>
      </c>
      <c r="B2802" t="inlineStr">
        <is>
          <t>Post covid anxiety</t>
        </is>
      </c>
      <c r="C2802" t="inlineStr">
        <is>
          <t>My wife and I have both recovered (early 30s) and we have two little girls who were just given approval to go back to daycare, so it seems we're currently through the woods right now.  We both had very mild cases and the girls never showed symptoms. 
I'm just having a ton of horrible anxiety thinking of long term health issues for my family and hating that I'm the one who gave it to them.  Is anyone else going through anything like this. I hate seeing different things like the Reuter article linking to future brain problems.
Can't wait for this nightmare to be over.. :/</t>
        </is>
      </c>
      <c r="D2802" t="n">
        <v>1</v>
      </c>
      <c r="E2802" t="n">
        <v>21</v>
      </c>
      <c r="F2802">
        <f>HYPERLINK("https://www.reddit.com/r/COVID19positive/comments/hn97lv/post_covid_anxiety/")</f>
        <v/>
      </c>
      <c r="G2802" t="inlineStr">
        <is>
          <t>2020-07-07 20:03:50</t>
        </is>
      </c>
      <c r="H2802" t="inlineStr">
        <is>
          <t>Tested Positive</t>
        </is>
      </c>
    </row>
    <row r="2803">
      <c r="A2803" t="inlineStr">
        <is>
          <t>hna94f</t>
        </is>
      </c>
      <c r="B2803" t="inlineStr">
        <is>
          <t>Question about testing for covid</t>
        </is>
      </c>
      <c r="C2803" t="inlineStr">
        <is>
          <t>Hi everybody! Over the weekend I found out my boyfriends brother tested positive and I’ve been around my boyfriend, but not his brother. Long story short, my boyfriend has not been in contact with his brother but everybody in his family and myself have been tested over the past two days. None of us have experienced symptoms so we’re having wishful thinking right now. However when I got tested they did the nasal and saliva tests. They were both horrible, but I’ve noticed after the saliva tests, I’ve been feeling something similar to a sore throat. Kind of like drainage? Would that be because of the saliva tests? I’m just not sure if this can qualify as a symptom or not.</t>
        </is>
      </c>
      <c r="D2803" t="n">
        <v>1</v>
      </c>
      <c r="E2803" t="n">
        <v>3</v>
      </c>
      <c r="F2803">
        <f>HYPERLINK("https://www.reddit.com/r/COVID19positive/comments/hna94f/question_about_testing_for_covid/")</f>
        <v/>
      </c>
      <c r="G2803" t="inlineStr">
        <is>
          <t>2020-07-07 21:12:38</t>
        </is>
      </c>
      <c r="H2803" t="inlineStr">
        <is>
          <t>Tested Positive - Family</t>
        </is>
      </c>
    </row>
    <row r="2804">
      <c r="A2804" t="inlineStr">
        <is>
          <t>hnajtk</t>
        </is>
      </c>
      <c r="B2804" t="inlineStr">
        <is>
          <t>How To Report Someone Failing to Quarantine</t>
        </is>
      </c>
      <c r="C2804" t="inlineStr">
        <is>
          <t>Someone I know  lives with someone who was hospitalized for COVID today. This person is showing symptoms and still going out to bars and parties saying that “God Will Save Them.” How can I report them? What can be done?</t>
        </is>
      </c>
      <c r="D2804" t="n">
        <v>1</v>
      </c>
      <c r="E2804" t="n">
        <v>5</v>
      </c>
      <c r="F2804">
        <f>HYPERLINK("https://www.reddit.com/r/COVID19positive/comments/hnajtk/how_to_report_someone_failing_to_quarantine/")</f>
        <v/>
      </c>
      <c r="G2804" t="inlineStr">
        <is>
          <t>2020-07-07 21:33:09</t>
        </is>
      </c>
      <c r="H2804" t="inlineStr">
        <is>
          <t>Tested Positive - Family</t>
        </is>
      </c>
    </row>
    <row r="2805">
      <c r="A2805" t="inlineStr">
        <is>
          <t>hnaz50</t>
        </is>
      </c>
      <c r="B2805" t="inlineStr">
        <is>
          <t>Covid19 and the ONLY THING TO HELP ME!!!!</t>
        </is>
      </c>
      <c r="C2805" t="inlineStr">
        <is>
          <t>I'm covid19 positive was told last Mon and I just want to share something with everyone. I have had low back pain, fever, chills, cough, and diarrhea but everything I have tried taking over the counter fever and pain relief has not worked as of yet but surprisingly one thing has, I worked out before all this hit and the gums closed so I had some vitamins laying around and thought to myself maybe this will work what can I lose? Surprisingly they did here is my list i took this evening that has me feeling the best i have yet:  fish oil 2400mg, century men multi1000IU, Nac 600mg, Methyl folate 1000mg, Milk thistle 175x3, dim200mg, and iron 130mg..
 ( THIS WORKED FOR ME NOT SAYING IT WILL FOR ANY1 BUT WHAT DO YOU REALLY HAVE TO LOSE?)
AGAIN JUST SHARING BC IT WORKED FOR ME!!!
               GOOD LUCK EVERY1 GOD SPEED</t>
        </is>
      </c>
      <c r="D2805" t="n">
        <v>1</v>
      </c>
      <c r="E2805" t="n">
        <v>7</v>
      </c>
      <c r="F2805">
        <f>HYPERLINK("https://www.reddit.com/r/COVID19positive/comments/hnaz50/covid19_and_the_only_thing_to_help_me/")</f>
        <v/>
      </c>
      <c r="G2805" t="inlineStr">
        <is>
          <t>2020-07-07 22:04:59</t>
        </is>
      </c>
      <c r="H2805" t="inlineStr">
        <is>
          <t>Tested Positive - Me</t>
        </is>
      </c>
    </row>
    <row r="2806">
      <c r="A2806" t="inlineStr">
        <is>
          <t>hnc7ti</t>
        </is>
      </c>
      <c r="B2806" t="inlineStr">
        <is>
          <t>If I test positive that means my incubaton period was literally 3 weeks!</t>
        </is>
      </c>
      <c r="C2806" t="inlineStr">
        <is>
          <t>Only time I could have possibly been exposed to Covid was June 17 as I was in contact with an infected person and I didn’t find out till a couple of days ago. I realized that I could have been displaying super mild symptoms around wed last week but I dismissed them as gas from eating greasy food which also went away. I’m feeling a bit under the weather today, no cough or chest tightness but a mildly sore throat and some cold tingling in my lungs, my diarrhea and gas is kinda back and my temperature is very very slightly warmer than usual. 
I’ve been self isolating from my family, and if the symptoms don’t get better I’ll go get tested, but that would have been hell of a incubation period.
Only good news is this research that I’ve found... “Our findings suggest that patients with a shorter incubation period proceeded to have more severe disease. Further studies are needed to investigate potential biological mechanisms for this association.”</t>
        </is>
      </c>
      <c r="D2806" t="n">
        <v>1</v>
      </c>
      <c r="E2806" t="n">
        <v>1</v>
      </c>
      <c r="F2806">
        <f>HYPERLINK("https://www.reddit.com/r/COVID19positive/comments/hnc7ti/if_i_test_positive_that_means_my_incubaton_period/")</f>
        <v/>
      </c>
      <c r="G2806" t="inlineStr">
        <is>
          <t>2020-07-07 23:48:26</t>
        </is>
      </c>
      <c r="H2806" t="inlineStr">
        <is>
          <t>Presumed Positive - From Test</t>
        </is>
      </c>
    </row>
    <row r="2807">
      <c r="A2807" t="inlineStr">
        <is>
          <t>hncyf0</t>
        </is>
      </c>
      <c r="B2807" t="inlineStr">
        <is>
          <t>Hospital trip...</t>
        </is>
      </c>
      <c r="C2807" t="inlineStr">
        <is>
          <t>Unfortunately yesterday (Day 5), I had to take a trip to the ER &amp;amp; it was a scary experience. I felt my middle throat was on fire &amp;amp; I had a cough &amp;amp; I couldn’t really talk or even think I was breathing properly.. my Oxygen level was at a 99-100 &amp;amp; I felt like I couldn’t breath properly &amp;amp; I was only given Tylenol which didn’t do much with my throat &amp;amp; I was given an X-Ray &amp;amp; I guess things came back normal &amp;amp; the doctor was a bit of a d*ck but he presumed I was postive &amp;amp; I also got tested today. I’m scared if things are gonna get worse but I’m just hoping for the best &amp;amp; that I only have mild symptoms if I do test positive but I think that’s gonna be the outcome.</t>
        </is>
      </c>
      <c r="D2807" t="n">
        <v>1</v>
      </c>
      <c r="E2807" t="n">
        <v>13</v>
      </c>
      <c r="F2807">
        <f>HYPERLINK("https://www.reddit.com/r/COVID19positive/comments/hncyf0/hospital_trip/")</f>
        <v/>
      </c>
      <c r="G2807" t="inlineStr">
        <is>
          <t>2020-07-08 00:54:48</t>
        </is>
      </c>
      <c r="H2807" t="inlineStr">
        <is>
          <t>Presumed Positive - From Doctor</t>
        </is>
      </c>
    </row>
    <row r="2808">
      <c r="A2808" t="inlineStr">
        <is>
          <t>hnd1je</t>
        </is>
      </c>
      <c r="B2808" t="inlineStr">
        <is>
          <t>Burning nostrils!! Advice ?</t>
        </is>
      </c>
      <c r="C2808" t="inlineStr">
        <is>
          <t>How can I stop the burning I can’t sleep.</t>
        </is>
      </c>
      <c r="D2808" t="n">
        <v>1</v>
      </c>
      <c r="E2808" t="n">
        <v>5</v>
      </c>
      <c r="F2808">
        <f>HYPERLINK("https://www.reddit.com/r/COVID19positive/comments/hnd1je/burning_nostrils_advice/")</f>
        <v/>
      </c>
      <c r="G2808" t="inlineStr">
        <is>
          <t>2020-07-08 01:02:12</t>
        </is>
      </c>
      <c r="H2808" t="inlineStr">
        <is>
          <t>Tested Positive</t>
        </is>
      </c>
    </row>
    <row r="2809">
      <c r="A2809" t="inlineStr">
        <is>
          <t>hndzow</t>
        </is>
      </c>
      <c r="B2809" t="inlineStr">
        <is>
          <t>My friend’s dad is positive and im a contact but i dont have any clue what and how to talk to my friend.</t>
        </is>
      </c>
      <c r="C2809" t="inlineStr">
        <is>
          <t>My friend’s dad (60+)has Diabetes ,hypertension.
He smokes and drinks alcohol as well. Today he got tested  because he had fever yesterday and it turned out to be positive. My friend has already gone through a lot mentally and has been recovering from it. Now this! If anything happens now.. it will be devastating to their family. I went to their home but didnt come in contact with him. Im  in self quarantine now. But i donot know what to say and talk. I was speechless when i heard the news. They think im scared for my own. Even though thats partly true i was scared for the other reason.</t>
        </is>
      </c>
      <c r="D2809" t="n">
        <v>1</v>
      </c>
      <c r="E2809" t="n">
        <v>10</v>
      </c>
      <c r="F2809">
        <f>HYPERLINK("https://www.reddit.com/r/COVID19positive/comments/hndzow/my_friends_dad_is_positive_and_im_a_contact_but_i/")</f>
        <v/>
      </c>
      <c r="G2809" t="inlineStr">
        <is>
          <t>2020-07-08 02:29:13</t>
        </is>
      </c>
      <c r="H2809" t="inlineStr">
        <is>
          <t>Tested Positive - Friends</t>
        </is>
      </c>
    </row>
    <row r="2810">
      <c r="A2810" t="inlineStr">
        <is>
          <t>hne4n6</t>
        </is>
      </c>
      <c r="B2810" t="inlineStr">
        <is>
          <t>For people who have testes Positive.</t>
        </is>
      </c>
      <c r="C2810" t="inlineStr">
        <is>
          <t>Hey guys,
I am generally a lurker on reddit other than posting questions here and there but I wanted to share my ongoings with people on the internet to support me, others and future positive cases. I have tested on 6/29 and just've been notified that I am positive.  
I am showing almost no symptoms at all. No fever, no cough, no sneezing. I had diarrhea,  slight pressure on my chest and fatigue. Mostly I am feeling 90%. However, I work in the service industry and my income has completely stopped. I live in Georgia and for some reason my approved unemployment funding is not coming through and I can not get hold of anyone from the DOL to help me out. They have a voicemail box and they do not respond to any of my voice messages. However I am fortunate to have a middle class income brother who can help me to pay the rent and car. So in simple words I feel like I am getting f\*\*\*\*\* from all sides. I think my situation applies to a lot of folks out there and the truth is not that many people are talking about it. People have it so much worse than me who are forced to stay indoors for others and have no income to sustain their own. I am getting tested again in couple of days hoping I have shed enough virus to come up as negative or it was a false-positive in the first place. I need to get back to work to survive.   
Also I want to mention that this virus will get you no matter how careful you might be. I quarantined during the lockdown and did not see a single soul outside of groceries and always washed/wiped everything. I only went to work wearing masks and gloves and did not try to touch my face ever until i took my glove off or washed my hands. It could have been that one time when I unconsciously touched my face or talking to someone who had COVID and the secretion made it into my mask. Who knows.   
Sorry if these words seem angry. Its mostly frustration and fear. I feel like I won't be able to get back to work for a long time.
If you guys have any questions, feel free to DM me! I am not actively on reddit but I  will respond to you eventually.</t>
        </is>
      </c>
      <c r="D2810" t="n">
        <v>1</v>
      </c>
      <c r="E2810" t="n">
        <v>1</v>
      </c>
      <c r="F2810">
        <f>HYPERLINK("https://www.reddit.com/r/COVID19positive/comments/hne4n6/for_people_who_have_testes_positive/")</f>
        <v/>
      </c>
      <c r="G2810" t="inlineStr">
        <is>
          <t>2020-07-08 02:41:38</t>
        </is>
      </c>
      <c r="H2810" t="inlineStr">
        <is>
          <t>Tested Positive - Me</t>
        </is>
      </c>
    </row>
    <row r="2811">
      <c r="A2811" t="inlineStr">
        <is>
          <t>hneefd</t>
        </is>
      </c>
      <c r="B2811" t="inlineStr">
        <is>
          <t>I don’t understand</t>
        </is>
      </c>
      <c r="C2811" t="inlineStr">
        <is>
          <t>This is such a weird time for me. My boyfriend (that I live with) tested postive with COVID and was hospitalized for a week and I’ve only seen him sick once our whole 5 years together. He had a bad case of pneumonia and low O2 stats. I have the wackiest little immune system and get sick when someone looks at me BUT I tested negative... TWICE ... even though I had a nice little soirée of symptoms but nothing severe just uncomfortable. With my first test, I assumed it was too early. With my second test, the ER doc told me I tested negative “but I probably have it” AND I have a “slight pneumonia”? But isn’t pneumonia a complication of COVID?? Did I catch pneumonia from my boyfriend but not COVID? Im baffled by everything that’s happening right now. I finished my antibiotics for my “pneumonia” but I still have a slight cough. And when I take a deep breath to yawn or something I do this weird spazzy breathing thing that sounds like I’m ugly crying. My boyfriend is now practically fully recovered but we’re staying isolated because we don’t know how to tell if he’s in the clear to be around people. I don’t know if I should be quarantining from everyone or taking another test or doing nothing at all. Ugh.</t>
        </is>
      </c>
      <c r="D2811" t="n">
        <v>1</v>
      </c>
      <c r="E2811" t="n">
        <v>20</v>
      </c>
      <c r="F2811">
        <f>HYPERLINK("https://www.reddit.com/r/COVID19positive/comments/hneefd/i_dont_understand/")</f>
        <v/>
      </c>
      <c r="G2811" t="inlineStr">
        <is>
          <t>2020-07-08 03:06:22</t>
        </is>
      </c>
      <c r="H2811" t="inlineStr">
        <is>
          <t>Presumed Positive - From Doctor</t>
        </is>
      </c>
    </row>
    <row r="2812">
      <c r="A2812" t="inlineStr">
        <is>
          <t>hneklg</t>
        </is>
      </c>
      <c r="B2812" t="inlineStr">
        <is>
          <t>For people who have tested positive.</t>
        </is>
      </c>
      <c r="C2812" t="inlineStr">
        <is>
          <t>(Sorry if this counts as a re-post/spam, had a typo on the title, previous post has been deleted) 
Hey guys,
I am generally a lurker on reddit other than posting questions here and there but I wanted to share my ongoings with people on the internet to support me, others and future positive cases. I have tested on 6/29 and just've been notified that I am positive.
I am showing almost no symptoms at all. No fever, no cough, no sneezing. I had diarrhea, slight pressure on my chest and fatigue. Mostly I am feeling 90%. However, I work in the service industry and my income has completely stopped. I live in Georgia and for some reason my approved unemployment funding is not coming through and I can not get hold of anyone from the DOL to help me out. They have a voicemail box and they do not respond to any of my voice messages. However I am fortunate to have a middle class income brother who can help me to pay the rent and car. So in simple words I feel like I am getting f\*\*\*\*\* from all sides. I think my situation applies to a lot of folks out there and the truth is not that many people are talking about it. People have it so much worse than me who are forced to stay indoors for others and have no income to sustain their own. I am getting tested again in couple of days hoping I have shed enough virus to come up as negative or it was a false-positive in the first place. I need to get back to work to survive.
Also I want to mention that this virus will get you no matter how careful you might be. I quarantined during the lockdown and did not see a single soul outside of groceries and always washed/wiped everything. I only went to work wearing masks and gloves and did not try to touch my face ever until i took my glove off or washed my hands. It could have been that one time when I unconsciously touched my face or talking to someone who had COVID and the secretion made it into my mask. Who knows.
Sorry if these words seem angry. Its mostly frustration and fear. I feel like I won't be able to get back to work for a long time.
If you guys have any questions, feel free to DM me! I am not actively on reddit but I will respond to you eventually.</t>
        </is>
      </c>
      <c r="D2812" t="n">
        <v>1</v>
      </c>
      <c r="E2812" t="n">
        <v>1</v>
      </c>
      <c r="F2812">
        <f>HYPERLINK("https://www.reddit.com/r/COVID19positive/comments/hneklg/for_people_who_have_tested_positive/")</f>
        <v/>
      </c>
      <c r="G2812" t="inlineStr">
        <is>
          <t>2020-07-08 03:21:45</t>
        </is>
      </c>
      <c r="H2812" t="inlineStr">
        <is>
          <t>Tested Positive - Me</t>
        </is>
      </c>
    </row>
    <row r="2813">
      <c r="A2813" t="inlineStr">
        <is>
          <t>hnexsg</t>
        </is>
      </c>
      <c r="B2813" t="inlineStr">
        <is>
          <t>My symptoms</t>
        </is>
      </c>
      <c r="C2813" t="inlineStr">
        <is>
          <t>Going to share my symptoms 16 days after testing positive. I would appreciate it if anyone has a similar story they also share what is going on with them. So I had a lot of the symptoms early on and felt extremely bad but most of the symptoms have subsided for now and I just seem to have a cough every now and then. I would like to point out that I have high blood pressure. During being at my sickest my blood pressure was extremely normal on meds but after my major symptoms seemed to have cleared my blood pressure is elevated and I do not know why. Without medication it’s constantly floating at 160/105 or in that area which isn’t normal for me. Right now it’s currently elevated and I feel extremely nauseous and can’t sleep.</t>
        </is>
      </c>
      <c r="D2813" t="n">
        <v>1</v>
      </c>
      <c r="E2813" t="n">
        <v>5</v>
      </c>
      <c r="F2813">
        <f>HYPERLINK("https://www.reddit.com/r/COVID19positive/comments/hnexsg/my_symptoms/")</f>
        <v/>
      </c>
      <c r="G2813" t="inlineStr">
        <is>
          <t>2020-07-08 03:52:55</t>
        </is>
      </c>
      <c r="H2813" t="inlineStr">
        <is>
          <t>Tested Positive - Me</t>
        </is>
      </c>
    </row>
    <row r="2814">
      <c r="A2814" t="inlineStr">
        <is>
          <t>hngph7</t>
        </is>
      </c>
      <c r="B2814" t="inlineStr">
        <is>
          <t>CLOSE CONTACT</t>
        </is>
      </c>
      <c r="C2814" t="inlineStr">
        <is>
          <t>My aunt is now positive and I gave her a hug 3 days ago. Is my employer required to give me two weeks off my quarantine? I am from Indiana if that helps..</t>
        </is>
      </c>
      <c r="D2814" t="n">
        <v>1</v>
      </c>
      <c r="E2814" t="n">
        <v>7</v>
      </c>
      <c r="F2814">
        <f>HYPERLINK("https://www.reddit.com/r/COVID19positive/comments/hngph7/close_contact/")</f>
        <v/>
      </c>
      <c r="G2814" t="inlineStr">
        <is>
          <t>2020-07-08 06:05:47</t>
        </is>
      </c>
      <c r="H2814" t="inlineStr">
        <is>
          <t>Tested Positive - Family</t>
        </is>
      </c>
    </row>
    <row r="2815">
      <c r="A2815" t="inlineStr">
        <is>
          <t>hnh4g7</t>
        </is>
      </c>
      <c r="B2815" t="inlineStr">
        <is>
          <t>A possibility?</t>
        </is>
      </c>
      <c r="C2815" t="inlineStr">
        <is>
          <t>So I had Coronavirus mid March after a trip to Amsterdam and I lived in Central London with some travel mid March just before lockdown. I woukd say my symptoms were relatively mild, I did not have shortness of breath but my fever was sky high (41degrees celcius at peak) and I felt awful, one of my housemates also got ill but not as bad as me and the other just said he was tired. The one who was also ill lost his smell and taste before me and for longer and I lost mine for about 1.5 weeks and it slowly returned. Now after my fever went around day 12, I was mobile and eating slightly more and then a week later I feel 70% fine. Since then I have not changed much, I had palpitations, a lot of GI issues, weight loss, a sore throat 90% of days, aches and sores, sternum pain when deep breathing or eating and I am now about 80% better but still have a lot of symptoms. I had an abdominal ultrasound,all blood tests apart from ESR, ultrasound of neck, ultrasound of heart, CT scan with Iondine dye of chest and abdomen and they have all been clear... Is this just anxiety and GERD, I have never had any stomach issues before. The only thing I have left to possibly check for a full health MOT is my brain given news on how it can affect your brain but I can do my day to say fine apart from these minor inconveniences. My dad also had it and he is 100% fine, working out again etc and he has blood pressure and a mini stroke before... I read a lot about people with similar symptoms to me on here and are we all just blowing this up or is coronavirus really a bitch, does the government want to scare us so we take the vaccine that they blew millions into.. idk what to believe anymore, i will take a vaccine to end my anxiety regardless, just blowing my thoughts here.</t>
        </is>
      </c>
      <c r="D2815" t="n">
        <v>1</v>
      </c>
      <c r="E2815" t="n">
        <v>15</v>
      </c>
      <c r="F2815">
        <f>HYPERLINK("https://www.reddit.com/r/COVID19positive/comments/hnh4g7/a_possibility/")</f>
        <v/>
      </c>
      <c r="G2815" t="inlineStr">
        <is>
          <t>2020-07-08 06:32:48</t>
        </is>
      </c>
      <c r="H2815" t="inlineStr">
        <is>
          <t>Presumed Positive - From Doctor</t>
        </is>
      </c>
    </row>
    <row r="2816">
      <c r="A2816" t="inlineStr">
        <is>
          <t>hnh5yq</t>
        </is>
      </c>
      <c r="B2816" t="inlineStr">
        <is>
          <t>My symptoms diary so far</t>
        </is>
      </c>
      <c r="C2816" t="inlineStr">
        <is>
          <t>Some basic details:
M32
At home since last 3 months. (With my wife)
No takeouts or dine out in last 3 months
Only meeting my brother’s family which leaves very close to my apartment.
They are also at home since last 3 months.
We all get groceries delivered at home,
Me &amp;amp; my wife go for a walk/run every night.
No one else (my wife or brother’s family) having any symptoms yet.
July 3 - started feeling uneasy in stomach from afternoon.had severe stomach pain in the evening. Pain somewhat subside by that night 11pm. Had to throw up just before that. I threw up everything I had since that afternoon.
July 4 - lot better than previous day. But still stomach was upset. Very mild pain in stomach. Had a loose motion entire day.
July 5- situation improved then previous day. Still Loose motion but very less frequency. Even milder stomach ache then previous day
July 6 - much better feeling that day. Still couple of loose motion but also had somewhat regular stool later that day. ( sorry if someone feel gross but I am trying to capture everything I remember so it can be useful to someone.)
July 7- lot better in stomach. Pain was gone. But still issues with stool. Similar stool as July 6. Started feeling chilly in the afternoon around 3pm. Took a temperature and was at 99.4. Took temp again around 5:30p and was at 99.9.
No other symptoms at all. Fever went up to 100.7F. Got tested tonight. Result will take 3-5 days.
July 8 morning- did not sleep well. Woke up with headache(not severe one). Probably due to lack of sleep. Lot of anxiety. Heart rate is running high probably due to anxiety. Fever is still 100.6F. No other symptoms.
I will try to update as frequently as I can.
I wanted to post here to see if it helps to control my anxiety.
Take care everyone.</t>
        </is>
      </c>
      <c r="D2816" t="n">
        <v>1</v>
      </c>
      <c r="E2816" t="n">
        <v>0</v>
      </c>
      <c r="F2816">
        <f>HYPERLINK("https://www.reddit.com/r/COVID19positive/comments/hnh5yq/my_symptoms_diary_so_far/")</f>
        <v/>
      </c>
      <c r="G2816" t="inlineStr">
        <is>
          <t>2020-07-08 06:35:35</t>
        </is>
      </c>
      <c r="H2816" t="inlineStr">
        <is>
          <t>Presumed Positive - From Doctor</t>
        </is>
      </c>
    </row>
    <row r="2817">
      <c r="A2817" t="inlineStr">
        <is>
          <t>hnhafr</t>
        </is>
      </c>
      <c r="B2817" t="inlineStr">
        <is>
          <t>Post Covid Syndrome</t>
        </is>
      </c>
      <c r="C2817" t="inlineStr">
        <is>
          <t>I had Covid at the end of April and was hospitalized a number of times in May with heart issues (insanely high heart rate, numbness on the left side of my body, chest pain) and shortness of breath, etc. It was suspected that I had a pulmonary embolism and had a number of tests including an echocardiogram/vq scan/ct scan. Structurally everything looked pretty normal (though I did have a small embolism) but I’m still extremely fatigued, have bouts of chest pain and racing heart, muscle and joint pain, and chest tightness. Every day is different and I’m having more good days now but it’s very one step forward, two steps back. 
I’m in a post covid clinic currently and my pulmonary function test was ok but later in the day after testing I felt like I fought a war. Has anyone else experienced this? How long did it take for things to improve?</t>
        </is>
      </c>
      <c r="D2817" t="n">
        <v>1</v>
      </c>
      <c r="E2817" t="n">
        <v>10</v>
      </c>
      <c r="F2817">
        <f>HYPERLINK("https://www.reddit.com/r/COVID19positive/comments/hnhafr/post_covid_syndrome/")</f>
        <v/>
      </c>
      <c r="G2817" t="inlineStr">
        <is>
          <t>2020-07-08 06:43:31</t>
        </is>
      </c>
      <c r="H2817" t="inlineStr">
        <is>
          <t>Tested Positive - Me</t>
        </is>
      </c>
    </row>
    <row r="2818">
      <c r="A2818" t="inlineStr">
        <is>
          <t>hnhnwg</t>
        </is>
      </c>
      <c r="B2818" t="inlineStr">
        <is>
          <t>CVS drive through test experience</t>
        </is>
      </c>
      <c r="C2818" t="inlineStr">
        <is>
          <t>I just wanted to share my experience with the CVS testing drive through in case there is anyone out there who is wondering what to expect. The stress and anxiety of it all can be overwhelming so hopefully this can help put someone’s mind at ease. 
I scheduled a 9:30 appointment at the onset of symptoms. Had to wait 3 days. Here’s how it played out:
1-got there early, around 9:10 anticipating a line. No line whatsoever so I just pulled into a spot to wait for my time. Pulled up to the window at about 9:28 and they asked if I was here for a test, answered “yes” and they gave me a bag through the window. 
2-open paper bag and take out alcohol wipes to clean hands 
3- in the bag is a small pack of q-tips. Next step is to remove one from the pack
4-put the q-tip up one nostril until you feel resistance, give it a quarter turn, then hold for 15 seconds. 
5- using the same end, repeat in second nostril. 
6- place q-tip in the vile that was also provided in the bag
7- place vile in plastic bag that was provided and roll it up
8- use another alcohol wipe to clean the bag then lift lid and deposit sample in container attached to the building 
All around it was pretty painless, quick, and easy to do. Helping matters was the kindness of the lady working on the other side of the window who provided  gentle guidance every step of the way. Aside from the exceptions, one thing this virus, and community, has shown me is the genuine goodness of people. 
I hope this helps someone! I find peace in my bible and the kind words from the people of this sub, family, and friends. I wish you all the best!</t>
        </is>
      </c>
      <c r="D2818" t="n">
        <v>4</v>
      </c>
      <c r="E2818" t="n">
        <v>186</v>
      </c>
      <c r="F2818">
        <f>HYPERLINK("https://www.reddit.com/r/COVID19positive/comments/hnhnwg/cvs_drive_through_test_experience/")</f>
        <v/>
      </c>
      <c r="G2818" t="inlineStr">
        <is>
          <t>2020-07-08 07:07:01</t>
        </is>
      </c>
      <c r="H2818" t="inlineStr">
        <is>
          <t>Presumed Positive - From Test</t>
        </is>
      </c>
    </row>
    <row r="2819">
      <c r="A2819" t="inlineStr">
        <is>
          <t>hnhrwi</t>
        </is>
      </c>
      <c r="B2819" t="inlineStr">
        <is>
          <t>48 hours with improved symptoms but just woke up in a pool of sweat and body aches</t>
        </is>
      </c>
      <c r="C2819" t="inlineStr">
        <is>
          <t>Hi everyone,
Thank you so much to everyone who has written so openly about their experiences with COVID -19. It has helped mitigate the anxiety I’ve felt since my test on July 4 (I am so glad the testing site was open over the holiday weekend). Currently waiting for my results. 
I’m 31, male, and have no underlying conditions. 
My symptoms have been: congestion, sore throat, foggy head, runny nose. These began 8 days ago. All very mild. No fever, no coughing, no loss of taste or 
smell (at least not yet).
My active symptoms subsided significantly about 48 hours ago. I thought I had gotten over a “hump” and almost convinced myself that my test would come back negative since it had all seemed so mild and brief...maybe allergies or a sinus infection. 
However, this morning I woke up in a pool of sweat. No fever. But  I feel very cold and ache-y. I’m currently under the covers and if I place a foot outside the covers it makes me shiver. My head hurts a bit but I’m not sure if it’s because I didn’t sleep much. Not sure this is at all related but I’m feeling a lot of pain on both of my shins. And my throat feels very sore again — I thought it had improved over the last two days. 
Also, a few minutes ago, I took a deep breath and felt some pain in the left side of my chest. I took another breath and the same thing happened. After doing about 5 or 6 of those the pain went away. For those experiencing chest pain, is it a constant? Or is it on and off? 
Anyways, I’m wondering if anyone else has had similar experiences— and I guess I’m trying to prepare myself for what’s to come. Have things gotten worse for people after 8 days of Very mild symptoms? 
Thank you for reading and I’m so glad to have this open forum. I appreciate any feedback.</t>
        </is>
      </c>
      <c r="D2819" t="n">
        <v>2</v>
      </c>
      <c r="E2819" t="n">
        <v>16</v>
      </c>
      <c r="F2819">
        <f>HYPERLINK("https://www.reddit.com/r/COVID19positive/comments/hnhrwi/48_hours_with_improved_symptoms_but_just_woke_up/")</f>
        <v/>
      </c>
      <c r="G2819" t="inlineStr">
        <is>
          <t>2020-07-08 07:13:45</t>
        </is>
      </c>
      <c r="H2819" t="inlineStr">
        <is>
          <t>Presumed Positive - From Test</t>
        </is>
      </c>
    </row>
    <row r="2820">
      <c r="A2820" t="inlineStr">
        <is>
          <t>hnijpo</t>
        </is>
      </c>
      <c r="B2820" t="inlineStr">
        <is>
          <t>Should I get retested?</t>
        </is>
      </c>
      <c r="C2820" t="inlineStr">
        <is>
          <t>Hi everyone, I’m an 18 year old who tested positive for COVID-19 on June 24th. I’m wondering, should I get retreated again once I feel fine to make sure I’m COVID free or do I just assume so? I know I should probably make sure but I also heard stuff that says you don’t have to so bc tests are already being stretched thin. Thanks in advance.</t>
        </is>
      </c>
      <c r="D2820" t="n">
        <v>1</v>
      </c>
      <c r="E2820" t="n">
        <v>3</v>
      </c>
      <c r="F2820">
        <f>HYPERLINK("https://www.reddit.com/r/COVID19positive/comments/hnijpo/should_i_get_retested/")</f>
        <v/>
      </c>
      <c r="G2820" t="inlineStr">
        <is>
          <t>2020-07-08 07:58:55</t>
        </is>
      </c>
      <c r="H2820" t="inlineStr">
        <is>
          <t>Tested Positive - Me</t>
        </is>
      </c>
    </row>
    <row r="2821">
      <c r="A2821" t="inlineStr">
        <is>
          <t>hnj26h</t>
        </is>
      </c>
      <c r="B2821" t="inlineStr">
        <is>
          <t>Are we now in high risk group since we are recovering from Covid?</t>
        </is>
      </c>
      <c r="C2821" t="inlineStr">
        <is>
          <t>Today I came to the office (day 100+), had a chat with a colleague, she kept telling me that I am now also in the high risk group since I had covid, and most likely will have more severe symptoms if I get reinfected because of body are still struggling to get back to normal..
Any thoughts? Anyone have read any study about this claim? I know there are different view about antibody / T cell immunity.. she just made me wonder...</t>
        </is>
      </c>
      <c r="D2821" t="n">
        <v>3</v>
      </c>
      <c r="E2821" t="n">
        <v>13</v>
      </c>
      <c r="F2821">
        <f>HYPERLINK("https://www.reddit.com/r/COVID19positive/comments/hnj26h/are_we_now_in_high_risk_group_since_we_are/")</f>
        <v/>
      </c>
      <c r="G2821" t="inlineStr">
        <is>
          <t>2020-07-08 08:27:12</t>
        </is>
      </c>
      <c r="H2821" t="inlineStr">
        <is>
          <t>Presumed Positive - From Doctor</t>
        </is>
      </c>
    </row>
    <row r="2822">
      <c r="A2822" t="inlineStr">
        <is>
          <t>hnjvjp</t>
        </is>
      </c>
      <c r="B2822" t="inlineStr">
        <is>
          <t>15 days post symptoms, I finally ran a mile and completed an at-home strength workout yesterday!!</t>
        </is>
      </c>
      <c r="C2822" t="inlineStr">
        <is>
          <t>Prior to testing positive for COVID-19, I worked out/ran 6 days a week. My boyfriend and I both tested positive and for obvious reasons, we decided to take it easy and rest while we can. 15 days post symptoms arising; I ran a mile (brought my mask if I saw people near me on my route) and did a weighted vest workout yesterday!! I was so stoked, wheezed a little but I do think that’s also partly cause it’s 110 F (I’m in PHX, Arizona). 
I will say- i had an extremely mild case of covid, BUT I do feel the difference in my lungs. It may take a long time to build up that cardiovascular strength again. This sub has helped me cope with the diagnosis... thanks guys!</t>
        </is>
      </c>
      <c r="D2822" t="n">
        <v>2</v>
      </c>
      <c r="E2822" t="n">
        <v>45</v>
      </c>
      <c r="F2822">
        <f>HYPERLINK("https://www.reddit.com/r/COVID19positive/comments/hnjvjp/15_days_post_symptoms_i_finally_ran_a_mile_and/")</f>
        <v/>
      </c>
      <c r="G2822" t="inlineStr">
        <is>
          <t>2020-07-08 09:11:39</t>
        </is>
      </c>
      <c r="H2822" t="inlineStr">
        <is>
          <t>Tested Positive - Friends</t>
        </is>
      </c>
    </row>
    <row r="2823">
      <c r="A2823" t="inlineStr">
        <is>
          <t>hnk7wa</t>
        </is>
      </c>
      <c r="B2823" t="inlineStr">
        <is>
          <t>A lot of weird test results, looking for peoples opinions...</t>
        </is>
      </c>
      <c r="C2823" t="inlineStr">
        <is>
          <t>I am currently living in an apartment with my girlfriend. My girlfriend works at an apartment complex. 3 weeks ago Covid broke out at her work, couple days later she started to feel a little sick. Nothing serious, minor symptoms. She got tested, tested positive. She didn't trust it, so to be sure she got tested again, it was also positive. I have been with her constantly, sharing the same bed, not wearing masks around her etc. When she received a positive resulted I figured I must have it, since it is so contagious, so I isolated as-well. I also wanted to get tested, so I did about a week and a half after my girlfriend got tested at a rapid result testing place (I have since found out are ~70% accurate and can produce false negatives). Came back negative! I was so confused as I was so sure I got it from my girlfriend. The nurse at the testing centre recommended that I get an antibody test, so I did that also. Again it was NEGATIVE! I just don't understand! My girlfriend definitely caught it and I just can't see how I don't have it. Has anyone had a similar experience to this? What should I do?</t>
        </is>
      </c>
      <c r="D2823" t="n">
        <v>2</v>
      </c>
      <c r="E2823" t="n">
        <v>9</v>
      </c>
      <c r="F2823">
        <f>HYPERLINK("https://www.reddit.com/r/COVID19positive/comments/hnk7wa/a_lot_of_weird_test_results_looking_for_peoples/")</f>
        <v/>
      </c>
      <c r="G2823" t="inlineStr">
        <is>
          <t>2020-07-08 09:29:54</t>
        </is>
      </c>
      <c r="H2823" t="inlineStr">
        <is>
          <t>Tested Positive - Friends</t>
        </is>
      </c>
    </row>
    <row r="2824">
      <c r="A2824" t="inlineStr">
        <is>
          <t>hnlbdl</t>
        </is>
      </c>
      <c r="B2824" t="inlineStr">
        <is>
          <t>Tested negative with the following symptoms: dizziness, lack of smell, lack of taste.</t>
        </is>
      </c>
      <c r="C2824" t="inlineStr">
        <is>
          <t>Tested negative today but putting this up because there may be some of you in the "I think I have it" camp with unusual symptoms such as mine and want to know if you should get tested.
For six days now I've been getting dizzy spells when laying down, standing up, exercising. For three days I have gradually lost my sense of taste and smell. Today I have noticeable delirium and trouble focusing. No other symptoms.
38/m, generally healthy and in good shape. 
I have no idea what's going on. I'm thinking 1) it could still be COVID but got tested before the virus was able to build up to be detectable in my system or 2) ???
I'll continue to monitor symptoms.</t>
        </is>
      </c>
      <c r="D2824" t="n">
        <v>1</v>
      </c>
      <c r="E2824" t="n">
        <v>11</v>
      </c>
      <c r="F2824">
        <f>HYPERLINK("https://www.reddit.com/r/COVID19positive/comments/hnlbdl/tested_negative_with_the_following_symptoms/")</f>
        <v/>
      </c>
      <c r="G2824" t="inlineStr">
        <is>
          <t>2020-07-08 10:28:10</t>
        </is>
      </c>
      <c r="H2824" t="inlineStr">
        <is>
          <t>Presumed Positive - From Doctor</t>
        </is>
      </c>
    </row>
    <row r="2825">
      <c r="A2825" t="inlineStr">
        <is>
          <t>hnm0i3</t>
        </is>
      </c>
      <c r="B2825" t="inlineStr">
        <is>
          <t>Hi! A bit scared. Hoping this sub will help.</t>
        </is>
      </c>
      <c r="C2825" t="inlineStr">
        <is>
          <t>I’m 31yo male, non smoker. Only take Wellbutrin, and recently vitamins. 
My question is whether or not you think I will have a severe case. I have extreme anxiety and the anxiety is making it hard for me to get through the day + the symptoms.
Exposed: Sunday (most likely)
Wednesday: went on a short hike, was extremely tired. Not hungry at night 
Thursday: generally okay. 
Friday: woke up and able to “feel” my lungs. Just like slight congestion. Tired, lethargic. 
Saturday: was okay in the morning then symptoms got worse. Very tired, very lethargic. Starting noon I stopped eating. Went to go get tested. Who knows when that will come back. Had diarrhea the first time. Temp floating around 99, peaks at 99.7.
Sunday: worst day thus far, horrible stomach pain, diarrhea, still not eating. Like nothing. Very tired, in bed all day. Can still walk and talk but just want to be in bed. Temp around 99.
Monday: not much different than Sunday. Tired, not eating, didn’t do much of anything. Still a bit of pressure behind sternum, like very slight. 
Tuesday: felt better enough in the morning to do some work on my computer. Could eat again, had healthy small meals throughout the day. But by evening my chest started to feel like it was burning. This could be related to anxiety, as I got very anxious that night. I took a walk around the block (masked) and that calmed me down. 
Today (Wednesday): it feels like I am going to have to cough, but don’t necessarily need to? I’m always scared it’s going to move to pneumonia or something. I don’t want to be in the hospital. Temp still around 99 (my typical is 97.5). 
Does this read like any of your symptoms? And does it seem like I might change into a moderate/severe case or does it seem that it’s been mild and can stay mild? My anxiety is destroying me, but the symptoms are real. 
Please help! Any guidance, suggestion, anything is helpful!</t>
        </is>
      </c>
      <c r="D2825" t="n">
        <v>2</v>
      </c>
      <c r="E2825" t="n">
        <v>16</v>
      </c>
      <c r="F2825">
        <f>HYPERLINK("https://www.reddit.com/r/COVID19positive/comments/hnm0i3/hi_a_bit_scared_hoping_this_sub_will_help/")</f>
        <v/>
      </c>
      <c r="G2825" t="inlineStr">
        <is>
          <t>2020-07-08 11:04:39</t>
        </is>
      </c>
      <c r="H2825" t="inlineStr">
        <is>
          <t>Presumed Positive - From Doctor</t>
        </is>
      </c>
    </row>
    <row r="2826">
      <c r="A2826" t="inlineStr">
        <is>
          <t>hnm6du</t>
        </is>
      </c>
      <c r="B2826" t="inlineStr">
        <is>
          <t>I was sick for four days.</t>
        </is>
      </c>
      <c r="C2826" t="inlineStr">
        <is>
          <t>Day 1 - Body aches, 102 fever, slight headache, water poops, and vomit
Day 2 - Body aches, 100 fever, no appetite, cannot get out of bed
Day 3 - No appetite...sleep ALL DAY. Army crawled to bathroom so I can poop.
Day 4 - Slight headache
Day 5 - Feel fine no sense of taste and smell.
It’s been about 2 weeks since my last symptom and I’m 100%.
The virus should be taken seriously but reading these posts could freak you out. It felt like a nasty flu but other than that it is not that intense.
Wash your hand and wear a mask.</t>
        </is>
      </c>
      <c r="D2826" t="n">
        <v>2</v>
      </c>
      <c r="E2826" t="n">
        <v>43</v>
      </c>
      <c r="F2826">
        <f>HYPERLINK("https://www.reddit.com/r/COVID19positive/comments/hnm6du/i_was_sick_for_four_days/")</f>
        <v/>
      </c>
      <c r="G2826" t="inlineStr">
        <is>
          <t>2020-07-08 11:12:54</t>
        </is>
      </c>
      <c r="H2826" t="inlineStr">
        <is>
          <t>Tested Positive</t>
        </is>
      </c>
    </row>
    <row r="2827">
      <c r="A2827" t="inlineStr">
        <is>
          <t>hnmmqn</t>
        </is>
      </c>
      <c r="B2827" t="inlineStr">
        <is>
          <t>Can an elderly person be asymptomatic?</t>
        </is>
      </c>
      <c r="C2827" t="inlineStr">
        <is>
          <t>A doctor said that my grandma is most likely positive. She's been sick for the past seven days. My grandfather is doing fine and has no symptoms. Since there's no isolation between them there's no chance he hasn't contracted the virus yet. He's either asymptomatic or in incubation stage. So, I'm wondering is it possible for an elderly (70+) person to be asymptomatic?</t>
        </is>
      </c>
      <c r="D2827" t="n">
        <v>2</v>
      </c>
      <c r="E2827" t="n">
        <v>17</v>
      </c>
      <c r="F2827">
        <f>HYPERLINK("https://www.reddit.com/r/COVID19positive/comments/hnmmqn/can_an_elderly_person_be_asymptomatic/")</f>
        <v/>
      </c>
      <c r="G2827" t="inlineStr">
        <is>
          <t>2020-07-08 11:36:16</t>
        </is>
      </c>
      <c r="H2827" t="inlineStr">
        <is>
          <t>Presumed Positive - From Doctor</t>
        </is>
      </c>
    </row>
    <row r="2828">
      <c r="A2828" t="inlineStr">
        <is>
          <t>hnnf94</t>
        </is>
      </c>
      <c r="B2828" t="inlineStr">
        <is>
          <t>I should have tested positive</t>
        </is>
      </c>
      <c r="C2828" t="inlineStr">
        <is>
          <t>23M here. My girlfriend (23F) tested positive on sunday for covid. My results came back today and i tested negative. It doesn’t make sense to me considering we share water bottles, food, basically everything. I have a bit of congestion, but that’s it. I’ve noticed congestion since friday and it has gotten relatively better everyday. Whereas, she has majority of the symptoms. Should I have tested positive? I’m really caught off guard right now. I got tested on a military installation</t>
        </is>
      </c>
      <c r="D2828" t="n">
        <v>1</v>
      </c>
      <c r="E2828" t="n">
        <v>10</v>
      </c>
      <c r="F2828">
        <f>HYPERLINK("https://www.reddit.com/r/COVID19positive/comments/hnnf94/i_should_have_tested_positive/")</f>
        <v/>
      </c>
      <c r="G2828" t="inlineStr">
        <is>
          <t>2020-07-08 12:15:50</t>
        </is>
      </c>
      <c r="H2828" t="inlineStr">
        <is>
          <t>Tested Positive - Friends</t>
        </is>
      </c>
    </row>
    <row r="2829">
      <c r="A2829" t="inlineStr">
        <is>
          <t>hnohrm</t>
        </is>
      </c>
      <c r="B2829" t="inlineStr">
        <is>
          <t>Probability of last permanent damage after covid19?</t>
        </is>
      </c>
      <c r="C2829" t="inlineStr">
        <is>
          <t>I don’t know if this has been well documented at all but this is something that really frightened me. I tested positive 3-4 weeks ago and for the most part I feel 100% better. However, with all of these new sources coming out that I may have lasting damage is unsettling to say the least. Do any of you have organ damage from covid?</t>
        </is>
      </c>
      <c r="D2829" t="n">
        <v>1</v>
      </c>
      <c r="E2829" t="n">
        <v>11</v>
      </c>
      <c r="F2829">
        <f>HYPERLINK("https://www.reddit.com/r/COVID19positive/comments/hnohrm/probability_of_last_permanent_damage_after_covid19/")</f>
        <v/>
      </c>
      <c r="G2829" t="inlineStr">
        <is>
          <t>2020-07-08 13:09:56</t>
        </is>
      </c>
      <c r="H2829" t="inlineStr">
        <is>
          <t>Tested Positive - Me</t>
        </is>
      </c>
    </row>
    <row r="2830">
      <c r="A2830" t="inlineStr">
        <is>
          <t>hnpn5o</t>
        </is>
      </c>
      <c r="B2830" t="inlineStr">
        <is>
          <t>What helped you to treat at home?</t>
        </is>
      </c>
      <c r="C2830" t="inlineStr">
        <is>
          <t>27F most likely has COVID-19. A good friend and I came down with the same symptoms at the same time and then the rest of her household went down with it. She’s being tested tomorrow, I was told by an ER doc family friend that my symptoms add up and to treat at home and avoid people. That there’s no point in going to get tested if my symptoms are mild and manageable. 
Over the last 5 days I thought I had a bad allergy flair up. A ton of sneezing at first, runny nose, fatigue, then scratchy throat. Waking up with mucus in throat from a post nasal drip. Headache that feels like a hangover headache. Slightly diminished sense of taste/smell but I thought it was on par for nasal congestion and didn’t think much of it until I started to feel bad. My temp has only ever gone up to 99.3 but I am usually in the mid 97s and I’m starting to have chills so I’m pretty uncomfortable. 
How did you guys keep yourselves feeling comfortable while you worked through it? I</t>
        </is>
      </c>
      <c r="D2830" t="n">
        <v>2</v>
      </c>
      <c r="E2830" t="n">
        <v>12</v>
      </c>
      <c r="F2830">
        <f>HYPERLINK("https://www.reddit.com/r/COVID19positive/comments/hnpn5o/what_helped_you_to_treat_at_home/")</f>
        <v/>
      </c>
      <c r="G2830" t="inlineStr">
        <is>
          <t>2020-07-08 14:09:48</t>
        </is>
      </c>
      <c r="H2830" t="inlineStr">
        <is>
          <t>Presumed Positive - From Doctor</t>
        </is>
      </c>
    </row>
    <row r="2831">
      <c r="A2831" t="inlineStr">
        <is>
          <t>hnq32r</t>
        </is>
      </c>
      <c r="B2831" t="inlineStr">
        <is>
          <t>Return to Exercise?</t>
        </is>
      </c>
      <c r="C2831" t="inlineStr">
        <is>
          <t>Quick background: 
I (22M) began experiencing symptoms (squeezing headache) on June 26. I'm going into the military and run 30+ miles a week, weightlifting/calisthenics 5 days/week, swimming 3 times/week so I initially chocked up my symptoms to being rundown. Symptom Progression:
6/26- Squeezing headache and annoying cough
6/27- Fever, headache, cough
6/28- Sinus symptoms start, no more fever
6/29-  Congestion and Sinus symptoms
6/30-present   Loss of taste and smell started, congestion has improved
I avoided getting tested due to unclear stance of the military, however my gf began experiencing symptoms 6/30 and tested positive 7/3. I am presumed positive but avoided getting tested so there is no official record of it due to my career choice. 
I would say I'm almost back to 100% now minus the smell and taste (which seems to have improved slightly).  I'm ready to return to my stringent exercise routine in preparation for an intense military selection program next month, however I've seen some scary articles about how COVID is causing strokes in otherwise young healthy people. I feel fine, but would prefer not to become a statistic. Wondering what other's experiences have been with returning to their normal exercise routine?
TL;DR 
Presumed positive but not officially tested, wondering the health concerns associated with returning to a high intensity workout regimen having recently come across articles linking COVID to cardiac damage and increased stroke risk.</t>
        </is>
      </c>
      <c r="D2831" t="n">
        <v>1</v>
      </c>
      <c r="E2831" t="n">
        <v>5</v>
      </c>
      <c r="F2831">
        <f>HYPERLINK("https://www.reddit.com/r/COVID19positive/comments/hnq32r/return_to_exercise/")</f>
        <v/>
      </c>
      <c r="G2831" t="inlineStr">
        <is>
          <t>2020-07-08 14:33:26</t>
        </is>
      </c>
      <c r="H2831" t="inlineStr">
        <is>
          <t>Presumed Positive - From Test</t>
        </is>
      </c>
    </row>
    <row r="2832">
      <c r="A2832" t="inlineStr">
        <is>
          <t>hnqjvb</t>
        </is>
      </c>
      <c r="B2832" t="inlineStr">
        <is>
          <t>Recovery from pneumonia questions</t>
        </is>
      </c>
      <c r="C2832" t="inlineStr">
        <is>
          <t>I'm healthy 27f with no comorbidities. I developed pneumonia in both lungs from covid despite testing negative. the Drs saw my CT scans and said it looked exactly like covid, along with the symptoms. It's been almost 4wks since the diagnosis and everyday I'm hacking up stuff from my lungs. I'm wondering if anyone else has gone/is going thru this too cuz it feels like forever.</t>
        </is>
      </c>
      <c r="D2832" t="n">
        <v>1</v>
      </c>
      <c r="E2832" t="n">
        <v>2</v>
      </c>
      <c r="F2832">
        <f>HYPERLINK("https://www.reddit.com/r/COVID19positive/comments/hnqjvb/recovery_from_pneumonia_questions/")</f>
        <v/>
      </c>
      <c r="G2832" t="inlineStr">
        <is>
          <t>2020-07-08 14:59:26</t>
        </is>
      </c>
      <c r="H2832" t="inlineStr">
        <is>
          <t>Presumed Positive - From Doctor</t>
        </is>
      </c>
    </row>
    <row r="2833">
      <c r="A2833" t="inlineStr">
        <is>
          <t>hnqz8j</t>
        </is>
      </c>
      <c r="B2833" t="inlineStr">
        <is>
          <t>Tested positive today, don’t know how to feel</t>
        </is>
      </c>
      <c r="C2833" t="inlineStr">
        <is>
          <t>I have been experiencing what I thought was a sinus infection. Tested positive today. Here’s my experience
Started feeling bad on Thursday night with a scratchy throat but didn’t think anything of it. My symptoms slowly got worse as the weekend went on. Didn’t partake in any Fourth of July stuff because I didn’t want to go out and get worse. 
Saturday I went to the urgent care with congestion and headaches. Said it was just a sinus infection and to take a hot shower and take Flonase. Had a low grade fever but it went away in a few hours and I went to sleep. 
Sunday I felt pretty crappy but no fever. Went to work on Monday and we all wore masks and social distanced and then went home after a few hours of work. We shut down the office because of the rising numbers in our area. I also noticed I couldn’t taste or smell, but thought it was due to congestion. 
I’ve since told my employer and I’m 100% sure I got it from someone in my office. 
I went to the doctor today since my sinus symptoms haven’t cleared up and they weren’t even going to test me since I didn’t have symptoms. I told them to do the rapid test and it came back positive. Seriously thought the doctor was kidding.... he wasn’t. 
I don’t feel horrible just congested. No cough, chills, sore throat, can breathe just fine, nothing. It’s so weird. 
My boyfriend has type one diabetes, but he’s positive he’s already had symptoms like a sore throat but also nothing terrible. 
Covid is weird.</t>
        </is>
      </c>
      <c r="D2833" t="n">
        <v>1</v>
      </c>
      <c r="E2833" t="n">
        <v>18</v>
      </c>
      <c r="F2833">
        <f>HYPERLINK("https://www.reddit.com/r/COVID19positive/comments/hnqz8j/tested_positive_today_dont_know_how_to_feel/")</f>
        <v/>
      </c>
      <c r="G2833" t="inlineStr">
        <is>
          <t>2020-07-08 15:23:40</t>
        </is>
      </c>
      <c r="H2833" t="inlineStr">
        <is>
          <t>Tested Positive - Me</t>
        </is>
      </c>
    </row>
    <row r="2834">
      <c r="A2834" t="inlineStr">
        <is>
          <t>hns0pn</t>
        </is>
      </c>
      <c r="B2834" t="inlineStr">
        <is>
          <t>I'm 16 and I have covid.</t>
        </is>
      </c>
      <c r="C2834" t="inlineStr">
        <is>
          <t>I'm 16, and I tested positive for covid. I'm scared and confused. I dont know what to do or who to talk to. should I be scared of dying?</t>
        </is>
      </c>
      <c r="D2834" t="n">
        <v>1</v>
      </c>
      <c r="E2834" t="n">
        <v>43</v>
      </c>
      <c r="F2834">
        <f>HYPERLINK("https://www.reddit.com/r/COVID19positive/comments/hns0pn/im_16_and_i_have_covid/")</f>
        <v/>
      </c>
      <c r="G2834" t="inlineStr">
        <is>
          <t>2020-07-08 16:24:05</t>
        </is>
      </c>
      <c r="H2834" t="inlineStr">
        <is>
          <t>Tested Positive - Me</t>
        </is>
      </c>
    </row>
    <row r="2835">
      <c r="A2835" t="inlineStr">
        <is>
          <t>hnso57</t>
        </is>
      </c>
      <c r="B2835" t="inlineStr">
        <is>
          <t>Pretty sure I got it. Scared</t>
        </is>
      </c>
      <c r="C2835" t="inlineStr">
        <is>
          <t>Started feeling bad over the weekend.  My symptoms are whole-body aches, chills, no appetite, in a fog, and fatigue.  Walking up/down stairs even achey.  Stuffy nose.  No fever, or respiratory issues.  The aching is the worst part.  How do I manage that?  It is getting worse and that is with taking tylenol/advil alternating at the max dose.  Any suggestions with that is appreciated.  Got tested yesterday and waiting for results.  Very scared.  I am alone right now.</t>
        </is>
      </c>
      <c r="D2835" t="n">
        <v>1</v>
      </c>
      <c r="E2835" t="n">
        <v>17</v>
      </c>
      <c r="F2835">
        <f>HYPERLINK("https://www.reddit.com/r/COVID19positive/comments/hnso57/pretty_sure_i_got_it_scared/")</f>
        <v/>
      </c>
      <c r="G2835" t="inlineStr">
        <is>
          <t>2020-07-08 17:03:53</t>
        </is>
      </c>
      <c r="H2835" t="inlineStr">
        <is>
          <t>Presumed Positive - From Test</t>
        </is>
      </c>
    </row>
    <row r="2836">
      <c r="A2836" t="inlineStr">
        <is>
          <t>hntcts</t>
        </is>
      </c>
      <c r="B2836" t="inlineStr">
        <is>
          <t>8 month old daughter</t>
        </is>
      </c>
      <c r="C2836" t="inlineStr">
        <is>
          <t>Has had a cough the last two days, been cranky, not  finishing bottles and has a 100.3 fever. 
Her dad was sent home from work yesterday after people had tested positive. My husbands test results are pending and will take a week to get back. 
Both my husband and I are overweight smokers and we aren’t showing any signs. But I’m worried that my daughter is. 
Did any of your children get sick? Would it be common that she’d be the only one who shows symptoms. I’m really scared and sad. I gave her some Tylenol and I’m trying to get her to hydrate with pediyalite but she is rejecting that. Any advice or experience please</t>
        </is>
      </c>
      <c r="D2836" t="n">
        <v>1</v>
      </c>
      <c r="E2836" t="n">
        <v>6</v>
      </c>
      <c r="F2836">
        <f>HYPERLINK("https://www.reddit.com/r/COVID19positive/comments/hntcts/8_month_old_daughter/")</f>
        <v/>
      </c>
      <c r="G2836" t="inlineStr">
        <is>
          <t>2020-07-08 17:48:00</t>
        </is>
      </c>
      <c r="H2836" t="inlineStr">
        <is>
          <t>Presumed Positive - From Doctor</t>
        </is>
      </c>
    </row>
    <row r="2837">
      <c r="A2837" t="inlineStr">
        <is>
          <t>hntq5g</t>
        </is>
      </c>
      <c r="B2837" t="inlineStr">
        <is>
          <t>Positive Test. No Symptoms. Random testing</t>
        </is>
      </c>
      <c r="C2837" t="inlineStr">
        <is>
          <t>Hey All,
Came on here as I randomly tested positive along with 10 other people as a field team offered to come to our location for a group of 30. It’s been 5 days since my nasal swab and the results were all over. Married couples only had one positive and the other negative. Family members were negative except for one. 
I was shocked for my own test as I had been isolated at home for 2 and a half weeks and only did deliveries. Washed me hands like a mad person and wiped and sprayed all groceries and packages. 
Anyways, I’m on my 5th day since positive testing and haven’t felt anything. We also took antibody test and that was negative for both IGG and IGM. So I’m just confused if anyone else had this happen. 
I tested again today to see if it was a false positive. Only symptom I can think of is a random headache that lasted 30min 3 days ago and only subconsciously make myself cough (one throat clearing cough maybe three times a day) for the past 3 days. 
35/M.</t>
        </is>
      </c>
      <c r="D2837" t="n">
        <v>1</v>
      </c>
      <c r="E2837" t="n">
        <v>174</v>
      </c>
      <c r="F2837">
        <f>HYPERLINK("https://www.reddit.com/r/COVID19positive/comments/hntq5g/positive_test_no_symptoms_random_testing/")</f>
        <v/>
      </c>
      <c r="G2837" t="inlineStr">
        <is>
          <t>2020-07-08 18:11:49</t>
        </is>
      </c>
      <c r="H2837" t="inlineStr">
        <is>
          <t>Tested Positive - Me</t>
        </is>
      </c>
    </row>
    <row r="2838">
      <c r="A2838" t="inlineStr">
        <is>
          <t>hntzx9</t>
        </is>
      </c>
      <c r="B2838" t="inlineStr">
        <is>
          <t>Does anyone else have nostrils burning?</t>
        </is>
      </c>
      <c r="C2838" t="inlineStr">
        <is>
          <t>It almost feels like breathing in water, you know when you're in a swimming pool and accidentally breathe in water through your nostrils?  It's painful, and I feel like I can't breathe as well.  I try breathing through my mouth but it feels like oxygen just isnt 100%.</t>
        </is>
      </c>
      <c r="D2838" t="n">
        <v>1</v>
      </c>
      <c r="E2838" t="n">
        <v>19</v>
      </c>
      <c r="F2838">
        <f>HYPERLINK("https://www.reddit.com/r/COVID19positive/comments/hntzx9/does_anyone_else_have_nostrils_burning/")</f>
        <v/>
      </c>
      <c r="G2838" t="inlineStr">
        <is>
          <t>2020-07-08 18:29:33</t>
        </is>
      </c>
      <c r="H2838" t="inlineStr">
        <is>
          <t>Tested Positive - Family</t>
        </is>
      </c>
    </row>
    <row r="2839">
      <c r="A2839" t="inlineStr">
        <is>
          <t>hnulhh</t>
        </is>
      </c>
      <c r="B2839" t="inlineStr">
        <is>
          <t>Has anyone had random attacks of extreme chest but mostly stomach pains during their sickness?</t>
        </is>
      </c>
      <c r="C2839" t="inlineStr">
        <is>
          <t xml:space="preserve">
[View Poll](https://www.reddit.com/poll/hnulhh)</t>
        </is>
      </c>
      <c r="D2839" t="n">
        <v>1</v>
      </c>
      <c r="E2839" t="n">
        <v>3</v>
      </c>
      <c r="F2839">
        <f>HYPERLINK("https://www.reddit.com/r/COVID19positive/comments/hnulhh/has_anyone_had_random_attacks_of_extreme_chest/")</f>
        <v/>
      </c>
      <c r="G2839" t="inlineStr">
        <is>
          <t>2020-07-08 19:08:08</t>
        </is>
      </c>
      <c r="H2839" t="inlineStr">
        <is>
          <t>Tested Positive</t>
        </is>
      </c>
    </row>
    <row r="2840">
      <c r="A2840" t="inlineStr">
        <is>
          <t>hnv174</t>
        </is>
      </c>
      <c r="B2840" t="inlineStr">
        <is>
          <t>Covid? No loss of smell or taste no fever</t>
        </is>
      </c>
      <c r="C2840" t="inlineStr">
        <is>
          <t>Hello all, 
   I had 2 coworkers test positive. Over the weekend I began getting a tickle in my throat but nothing else. Yesterday i started with some mild congestion and slight cough. This morning i had a throbbing headache and body aches. My joints hurt. My cough is worse. I got tested but i live in south Florida and results could take up to 10 days due to increased testing. I have not have fever. My smell and taste are the same. Is loss of smell and taste and fever been the norm for those who have tested positive? Also, i had a throat swab, not a nose swab. Anyone else?</t>
        </is>
      </c>
      <c r="D2840" t="n">
        <v>1</v>
      </c>
      <c r="E2840" t="n">
        <v>6</v>
      </c>
      <c r="F2840">
        <f>HYPERLINK("https://www.reddit.com/r/COVID19positive/comments/hnv174/covid_no_loss_of_smell_or_taste_no_fever/")</f>
        <v/>
      </c>
      <c r="G2840" t="inlineStr">
        <is>
          <t>2020-07-08 19:36:05</t>
        </is>
      </c>
      <c r="H2840" t="inlineStr">
        <is>
          <t>Presumed Positive - From Test</t>
        </is>
      </c>
    </row>
    <row r="2841">
      <c r="A2841" t="inlineStr">
        <is>
          <t>hnv84i</t>
        </is>
      </c>
      <c r="B2841" t="inlineStr">
        <is>
          <t>Questions on how to heal up quick?</t>
        </is>
      </c>
      <c r="C2841" t="inlineStr">
        <is>
          <t>Hello all,
Pretty sure I have corona. I'm 20M. I have the worst headache I've ever had, you could cook a grilled cheese on my forehead I'm so hot, and I've had like restriction in my lungs for the past week or so. 
I'm getting tested tomorrow I think.
I eat mostly plant based so I'm pretty healthy I'd suppose. Does anybody have any like natural remedies that worked for them? I heard Turmeric is like extremely helpful when fighting corona. 
And I'm lowkey beating myself up because most of my family is super susceptible and I'm scared I've given it to them :/</t>
        </is>
      </c>
      <c r="D2841" t="n">
        <v>1</v>
      </c>
      <c r="E2841" t="n">
        <v>7</v>
      </c>
      <c r="F2841">
        <f>HYPERLINK("https://www.reddit.com/r/COVID19positive/comments/hnv84i/questions_on_how_to_heal_up_quick/")</f>
        <v/>
      </c>
      <c r="G2841" t="inlineStr">
        <is>
          <t>2020-07-08 19:48:41</t>
        </is>
      </c>
      <c r="H2841" t="inlineStr">
        <is>
          <t>Presumed Positive - From Doctor</t>
        </is>
      </c>
    </row>
    <row r="2842">
      <c r="A2842" t="inlineStr">
        <is>
          <t>hnvfbf</t>
        </is>
      </c>
      <c r="B2842" t="inlineStr">
        <is>
          <t>Should I assume I had it?</t>
        </is>
      </c>
      <c r="C2842" t="inlineStr">
        <is>
          <t>As the title reads, almost everybody in this house experienced flu-like symptoms. My dad got tested on Monday and he tested positive, same for my mom. They were the ones with flu-like symptoms. My brother and I started experiencing malaise and diarrhea two weeks ago along with mild headaches but nothing flu-like. The times seem to add up since my mom was the first one to show symptoms, then everybody else like domino pieces. 
We wore masks as soon as someone showed symptoms but we still share a bathroom and spent time together while the AC was on. I had it, right? Is diarrhea that common that both my brother and I experienced only that?</t>
        </is>
      </c>
      <c r="D2842" t="n">
        <v>1</v>
      </c>
      <c r="E2842" t="n">
        <v>4</v>
      </c>
      <c r="F2842">
        <f>HYPERLINK("https://www.reddit.com/r/COVID19positive/comments/hnvfbf/should_i_assume_i_had_it/")</f>
        <v/>
      </c>
      <c r="G2842" t="inlineStr">
        <is>
          <t>2020-07-08 20:01:52</t>
        </is>
      </c>
      <c r="H2842" t="inlineStr">
        <is>
          <t>Tested Positive - Family</t>
        </is>
      </c>
    </row>
    <row r="2843">
      <c r="A2843" t="inlineStr">
        <is>
          <t>hnvl9q</t>
        </is>
      </c>
      <c r="B2843" t="inlineStr">
        <is>
          <t>21 year old COVID-19 experience</t>
        </is>
      </c>
      <c r="C2843" t="inlineStr">
        <is>
          <t>I am a supposedly healthy 21 year old woman. Normal weight, never smoked/did drugs/drank alcohol. I have been feeling so sick for the past few days and nothing's helping.
 I was working in the food industry and in my last day at work, a co-worker told me that someone's household family member tested positive and she was off from work but management was trying to keep it a secret until she found out her test results. When I got home, my head started hurting which was not usual for me. I just got a bad gut feeling and the next day I quit. The previous week however, my toes were hurting sometimes, which I've heard can also be a symptom and I also kept getting random migraines every day that lasted for an hour or so.
Here are the symptoms I've been experiencing since my last day at work:
Suspected exposure-27th June
That evening- headache, fatigue
27-5th-random headaches
29th-noticed slight loss of taste 
5th july-headache, fatigue, dizziness
6th july-headache, fatigue, cough, lack of appetite
7th july-headache, fatigue, light headedness, cough, post nasal drip, lack of appetite, upper back pain, neck stiffness, legs and arms aches in the morning, nasal discomfort when breathing
8th july- worst day so far- stomach discomfort, loss of smell, diminished taste, worse headache lasting the whole day, fatigue, cough not as bad, light headedness, nausea when standing or walking, lack of appetite, hard to get out of bed, nasal discomfort when breathing, fast heart rate when standing up, legs feel like giving up, slight chest tightness
I have been trying to keep myself hydrated, take Vitamin C and Zinc and Tylenol for fever, but so far I'm only feeling worse. If any of you have any tips for any of these symptoms, I'd appreciate your advice.</t>
        </is>
      </c>
      <c r="D2843" t="n">
        <v>1</v>
      </c>
      <c r="E2843" t="n">
        <v>12</v>
      </c>
      <c r="F2843">
        <f>HYPERLINK("https://www.reddit.com/r/COVID19positive/comments/hnvl9q/21_year_old_covid19_experience/")</f>
        <v/>
      </c>
      <c r="G2843" t="inlineStr">
        <is>
          <t>2020-07-08 20:13:00</t>
        </is>
      </c>
      <c r="H2843" t="inlineStr">
        <is>
          <t>Presumed Positive - From Doctor</t>
        </is>
      </c>
    </row>
    <row r="2844">
      <c r="A2844" t="inlineStr">
        <is>
          <t>hnvvqf</t>
        </is>
      </c>
      <c r="B2844" t="inlineStr">
        <is>
          <t>For those who got retested.</t>
        </is>
      </c>
      <c r="C2844" t="inlineStr">
        <is>
          <t>Hey guys,
Confirmed positive 11 days ago now.  I have been fever free, no dry cough, sneezing. Just a slight chest pressure which is almost gone now. How long did you folks wait to get retested? I am getting tested on Friday. I need income and need a negative result to go back to work. Would anyone like to share their experiences?</t>
        </is>
      </c>
      <c r="D2844" t="n">
        <v>1</v>
      </c>
      <c r="E2844" t="n">
        <v>12</v>
      </c>
      <c r="F2844">
        <f>HYPERLINK("https://www.reddit.com/r/COVID19positive/comments/hnvvqf/for_those_who_got_retested/")</f>
        <v/>
      </c>
      <c r="G2844" t="inlineStr">
        <is>
          <t>2020-07-08 20:32:58</t>
        </is>
      </c>
      <c r="H2844" t="inlineStr">
        <is>
          <t>Tested Positive - Me</t>
        </is>
      </c>
    </row>
    <row r="2845">
      <c r="A2845" t="inlineStr">
        <is>
          <t>hnw3gq</t>
        </is>
      </c>
      <c r="B2845" t="inlineStr">
        <is>
          <t>Dental Work While COVID-19 Positive</t>
        </is>
      </c>
      <c r="C2845" t="inlineStr">
        <is>
          <t>Hello All,
I am 24 (M) on day 19 of my battle with COVID-19. I think I may have found myself in a predicament. My bottom left wisdom tooth has a severe cavity and it is now causing me a lot of pain. I want to seek emergent dental care to remove it but I don't know if I will be able to find a dentist who will treat me in my area since I'm COVID-19 positive and still symptomatic. Anyone else find themselves in this situation or something similar? If so what was your experience?</t>
        </is>
      </c>
      <c r="D2845" t="n">
        <v>1</v>
      </c>
      <c r="E2845" t="n">
        <v>31</v>
      </c>
      <c r="F2845">
        <f>HYPERLINK("https://www.reddit.com/r/COVID19positive/comments/hnw3gq/dental_work_while_covid19_positive/")</f>
        <v/>
      </c>
      <c r="G2845" t="inlineStr">
        <is>
          <t>2020-07-08 20:47:47</t>
        </is>
      </c>
      <c r="H2845" t="inlineStr">
        <is>
          <t>Tested Positive</t>
        </is>
      </c>
    </row>
    <row r="2846">
      <c r="A2846" t="inlineStr">
        <is>
          <t>hnwbqt</t>
        </is>
      </c>
      <c r="B2846" t="inlineStr">
        <is>
          <t>Day 113 new swollen lymph node</t>
        </is>
      </c>
      <c r="C2846" t="inlineStr">
        <is>
          <t>After feeling comparatively great/90 % for weeks with present but very minimal symptoms, 2 days ago I noticed a very hard swollen gland beneath the jaw. Slight chills and semi sickly feeling that evening. Assuming it’s a “relapse” but the mind wanders about reinfection or chronic infection/ condition. Those minor headaches seem to be back too. Just venting really because I feel no-where relatively close to how I felt In the acute stage, it’s just peculiar because I never had this gland issue, and it’s still hard as a rock. Anyone else experienced similar? Just when you think you’re getting over the last hump, this thing comes  back to creepily say - hello me it’s me again. Stay up friends!</t>
        </is>
      </c>
      <c r="D2846" t="n">
        <v>1</v>
      </c>
      <c r="E2846" t="n">
        <v>3</v>
      </c>
      <c r="F2846">
        <f>HYPERLINK("https://www.reddit.com/r/COVID19positive/comments/hnwbqt/day_113_new_swollen_lymph_node/")</f>
        <v/>
      </c>
      <c r="G2846" t="inlineStr">
        <is>
          <t>2020-07-08 21:04:18</t>
        </is>
      </c>
      <c r="H2846" t="inlineStr">
        <is>
          <t>Presumed Positive - From Doctor</t>
        </is>
      </c>
    </row>
    <row r="2847">
      <c r="A2847" t="inlineStr">
        <is>
          <t>hnwgpy</t>
        </is>
      </c>
      <c r="B2847" t="inlineStr">
        <is>
          <t>14 days is not for everyone. My wife and I are still having symptoms. Day 17 for me day 15 for her.</t>
        </is>
      </c>
      <c r="C2847" t="inlineStr">
        <is>
          <t>She feels winded slightly like when just talking on the phone. She has some brain fog that doesn't want to fully go away. She probably feels like she's at 90% better. She gets tired easily. Her pulse oximeter reading is a consistent 98% oxygen.I have this brain fog that is lingering around also. It's a weird kinda confusion but not severe. I can still watch a Netflix movie. I couldn't do that a few days ago. My pulse oximeter reading is a consistent 96-97% oxygen. It was around 97-98% oxygen a few days ago. Not sure if I should worry. I feel like the 14 day guideline is not for everyone. I don't know how much longer we will have symptoms. I pray everyday for a speedy recovery in the next few days not just for us but for everyone else going through it. I pray for all this to go away soon.</t>
        </is>
      </c>
      <c r="D2847" t="n">
        <v>1</v>
      </c>
      <c r="E2847" t="n">
        <v>19</v>
      </c>
      <c r="F2847">
        <f>HYPERLINK("https://www.reddit.com/r/COVID19positive/comments/hnwgpy/14_days_is_not_for_everyone_my_wife_and_i_are/")</f>
        <v/>
      </c>
      <c r="G2847" t="inlineStr">
        <is>
          <t>2020-07-08 21:14:07</t>
        </is>
      </c>
      <c r="H2847" t="inlineStr">
        <is>
          <t>Tested Positive</t>
        </is>
      </c>
    </row>
    <row r="2848">
      <c r="A2848" t="inlineStr">
        <is>
          <t>hnwsa2</t>
        </is>
      </c>
      <c r="B2848" t="inlineStr">
        <is>
          <t>Red flaming ears &amp;amp; a pounding headache, fluctuating temperature.</t>
        </is>
      </c>
      <c r="C2848" t="inlineStr">
        <is>
          <t>I had a question for people who are positive 
/presumed positive? I’m a on day 6 on my symptoms &amp;amp; I noticed my ears were red &amp;amp; burning to the touch &amp;amp; I had a pounding headache on the back of my head &amp;amp; a fluctuating temperature (I don’t have a fever but I’m very scared that it will turn into a fever) &amp;amp; I feel very shaky (not chilly). Has anyone had these symptoms? If so please let me know &amp;amp; still awaiting my results.</t>
        </is>
      </c>
      <c r="D2848" t="n">
        <v>1</v>
      </c>
      <c r="E2848" t="n">
        <v>5</v>
      </c>
      <c r="F2848">
        <f>HYPERLINK("https://www.reddit.com/r/COVID19positive/comments/hnwsa2/red_flaming_ears_a_pounding_headache_fluctuating/")</f>
        <v/>
      </c>
      <c r="G2848" t="inlineStr">
        <is>
          <t>2020-07-08 21:37:02</t>
        </is>
      </c>
      <c r="H2848" t="inlineStr">
        <is>
          <t>Presumed Positive - From Doctor</t>
        </is>
      </c>
    </row>
    <row r="2849">
      <c r="A2849" t="inlineStr">
        <is>
          <t>hnwx7w</t>
        </is>
      </c>
      <c r="B2849" t="inlineStr">
        <is>
          <t>My mom has COVID, and my dad probably does too.</t>
        </is>
      </c>
      <c r="C2849" t="inlineStr">
        <is>
          <t>Hi. So I (23F) live across the country from my parents. They've been quarantining for the most part, but honestly the (mostly young) people in my home state have been very irresponsible about social distancing. 
Today, my dad (64) calls me and tells me that my mom (60) has tested positive for COVID and is very sick. He says that the symptoms are resembling a bad flu, but obviously I am worried because of my mom's age. I'm also quite worried about my dad exhibiting symptoms, because he almost died 3 years ago from major heart problems. He is in much better shape now than he was at that point in his life, but obviously his age and pre-existing conditions put him at a huge risk. He is going to be tested but has yet to show any symptoms himself.
I'm going to stay positive and only try to imagine the best-case scenario at this point. Has anyone had someone in their life of a similar age diagnosed with COVID? If so, what happened? Please be nice, as I am clearly going through it and want a place to vent/discuss.</t>
        </is>
      </c>
      <c r="D2849" t="n">
        <v>1</v>
      </c>
      <c r="E2849" t="n">
        <v>7</v>
      </c>
      <c r="F2849">
        <f>HYPERLINK("https://www.reddit.com/r/COVID19positive/comments/hnwx7w/my_mom_has_covid_and_my_dad_probably_does_too/")</f>
        <v/>
      </c>
      <c r="G2849" t="inlineStr">
        <is>
          <t>2020-07-08 21:47:12</t>
        </is>
      </c>
      <c r="H2849" t="inlineStr">
        <is>
          <t>Tested Positive - Family</t>
        </is>
      </c>
    </row>
    <row r="2850">
      <c r="A2850" t="inlineStr">
        <is>
          <t>hnwxdp</t>
        </is>
      </c>
      <c r="B2850" t="inlineStr">
        <is>
          <t>Chronic Post-Nasal Drip, Salty Taste, Anyone Else?</t>
        </is>
      </c>
      <c r="C2850" t="inlineStr">
        <is>
          <t>Possible Case in March, Several doctors have suggested possible positive given symptoms.
Since I recovered from the initial illness I have developed a salty post-nasal drip that has not left for over 3 months. I have done 2 rounds of antibiotics, 2 treatments for possible oral thrush, allergy medications (pills/ nasal sprays), saline rinses,  air filter and none of these has stopped this salty drainage down the back of my throat. I notice that it seems to get worse if I lean my head over (invert it) and then stand upright again. Can anyone else relate to this. I have seen my primary care doc, another family doctor, and two ENT docs. They seem just as confused as I am.</t>
        </is>
      </c>
      <c r="D2850" t="n">
        <v>1</v>
      </c>
      <c r="E2850" t="n">
        <v>5</v>
      </c>
      <c r="F2850">
        <f>HYPERLINK("https://www.reddit.com/r/COVID19positive/comments/hnwxdp/chronic_postnasal_drip_salty_taste_anyone_else/")</f>
        <v/>
      </c>
      <c r="G2850" t="inlineStr">
        <is>
          <t>2020-07-08 21:47:33</t>
        </is>
      </c>
      <c r="H2850" t="inlineStr">
        <is>
          <t>Presumed Positive - From Doctor</t>
        </is>
      </c>
    </row>
    <row r="2851">
      <c r="A2851" t="inlineStr">
        <is>
          <t>hnyswk</t>
        </is>
      </c>
      <c r="B2851" t="inlineStr">
        <is>
          <t>Im positive..</t>
        </is>
      </c>
      <c r="C2851" t="inlineStr">
        <is>
          <t>Hi guys!
I posted on 7/4 to this page because i had symptoms and was worried. Tested 7/2 negative. Felt shitty 7/4 tested again 7/7 and got my positive result. Its very scary confirming because now i dont know what to expect. I actually feel better but im worried ill get worse again. What should i expect??  Is it possible to feel ok just to feel crummy?? I will share my timeline here for anyone questioning themselves. 
7/2- tested because someone in our dept tested positive. I had a neg result
7/3 - felt tired did not suspect anything 
7/4 - felt tired, body aches, congestion all day. Had a fever of 101 in the evening. Fever went away by bedtime
7/5 - achey, tired, congested, coughing sore throat, raspy voice, runny nose, kinda sharp pain when swallowing by my ear
7/6 - feel better felt more like allergies honestly
7/7 - same went to get tested. Nose is runny throat is better feeling slightly better
7/8 - today nose is runny went from yellow mucus to almost clear. Throat doesnt hurt as bad. Voice isnt as raspy. 
During this time i have drank peppermint tea, ginger tea, throat coat, theraflu taken my vitamins etc 
I will be happy to answer any questions anyone may have..</t>
        </is>
      </c>
      <c r="D2851" t="n">
        <v>1</v>
      </c>
      <c r="E2851" t="n">
        <v>9</v>
      </c>
      <c r="F2851">
        <f>HYPERLINK("https://www.reddit.com/r/COVID19positive/comments/hnyswk/im_positive/")</f>
        <v/>
      </c>
      <c r="G2851" t="inlineStr">
        <is>
          <t>2020-07-09 00:25:08</t>
        </is>
      </c>
      <c r="H2851" t="inlineStr">
        <is>
          <t>Tested Positive - Me</t>
        </is>
      </c>
    </row>
    <row r="2852">
      <c r="A2852" t="inlineStr">
        <is>
          <t>hnzsaj</t>
        </is>
      </c>
      <c r="B2852" t="inlineStr">
        <is>
          <t>Anxiety on all time high after technically recovered?</t>
        </is>
      </c>
      <c r="C2852" t="inlineStr">
        <is>
          <t>Going on 4 weeks of initial symptoms and 3 if positive test. Was cleared to leave isolation...not sure if its residual symptoms or my anxiety is playing games with me. 
I keep feeling like I eat is pounding...I get really dizzy and my body automatically goes fight or flight mode...which puts me at full blown anxiety attack. To the point I ended up coming to the hospital because I could not calm down. 
Hope it's all just anxiety but I had this feeling overall..</t>
        </is>
      </c>
      <c r="D2852" t="n">
        <v>1</v>
      </c>
      <c r="E2852" t="n">
        <v>6</v>
      </c>
      <c r="F2852">
        <f>HYPERLINK("https://www.reddit.com/r/COVID19positive/comments/hnzsaj/anxiety_on_all_time_high_after_technically/")</f>
        <v/>
      </c>
      <c r="G2852" t="inlineStr">
        <is>
          <t>2020-07-09 01:58:16</t>
        </is>
      </c>
      <c r="H2852" t="inlineStr">
        <is>
          <t>Tested Positive - Me</t>
        </is>
      </c>
    </row>
    <row r="2853">
      <c r="A2853" t="inlineStr">
        <is>
          <t>ho07sb</t>
        </is>
      </c>
      <c r="B2853" t="inlineStr">
        <is>
          <t>At that time, the US government did not seem to attach importance to COVID-19.</t>
        </is>
      </c>
      <c r="C2853" t="inlineStr">
        <is>
          <t>I tested positive for COVID-19 antibodies.  I was very sick in January &amp;amp; kept saying I thought I had coronavirus, went to the doctor TWICE but couldn't get a test bc I hadn't been to China. I work in times Square &amp;amp; was around people from all over new years. It was in NYC in Jan!</t>
        </is>
      </c>
      <c r="D2853" t="n">
        <v>1</v>
      </c>
      <c r="E2853" t="n">
        <v>1</v>
      </c>
      <c r="F2853">
        <f>HYPERLINK("https://www.reddit.com/r/COVID19positive/comments/ho07sb/at_that_time_the_us_government_did_not_seem_to/")</f>
        <v/>
      </c>
      <c r="G2853" t="inlineStr">
        <is>
          <t>2020-07-09 02:37:44</t>
        </is>
      </c>
      <c r="H2853" t="inlineStr">
        <is>
          <t>Tested Positive - Family</t>
        </is>
      </c>
    </row>
    <row r="2854">
      <c r="A2854" t="inlineStr">
        <is>
          <t>ho0b7b</t>
        </is>
      </c>
      <c r="B2854" t="inlineStr">
        <is>
          <t>I am sure that COVID19 will be available in late December</t>
        </is>
      </c>
      <c r="C2854" t="inlineStr">
        <is>
          <t>My dad &amp;amp; I have been talking about this over the last few weeks.. Researchers are finally saying they believe Covid-19 was in California around mid-November. I’m convinced that I had it late December.. Waiting for the test so I can know for sure..</t>
        </is>
      </c>
      <c r="D2854" t="n">
        <v>1</v>
      </c>
      <c r="E2854" t="n">
        <v>5</v>
      </c>
      <c r="F2854">
        <f>HYPERLINK("https://www.reddit.com/r/COVID19positive/comments/ho0b7b/i_am_sure_that_covid19_will_be_available_in_late/")</f>
        <v/>
      </c>
      <c r="G2854" t="inlineStr">
        <is>
          <t>2020-07-09 02:46:44</t>
        </is>
      </c>
      <c r="H2854" t="inlineStr">
        <is>
          <t>Tested Positive - Family</t>
        </is>
      </c>
    </row>
    <row r="2855">
      <c r="A2855" t="inlineStr">
        <is>
          <t>ho0gr2</t>
        </is>
      </c>
      <c r="B2855" t="inlineStr">
        <is>
          <t>Nausea as a first symptom?</t>
        </is>
      </c>
      <c r="C2855" t="inlineStr">
        <is>
          <t>My little brother just tested positive yesterday. So far, the rest of my family/house hold has been feeling fine. But this morning I woke up with really bad nausea, with no fever or any other symptoms. I’m wondering if that could be a symptom?</t>
        </is>
      </c>
      <c r="D2855" t="n">
        <v>1</v>
      </c>
      <c r="E2855" t="n">
        <v>3</v>
      </c>
      <c r="F2855">
        <f>HYPERLINK("https://www.reddit.com/r/COVID19positive/comments/ho0gr2/nausea_as_a_first_symptom/")</f>
        <v/>
      </c>
      <c r="G2855" t="inlineStr">
        <is>
          <t>2020-07-09 03:01:09</t>
        </is>
      </c>
      <c r="H2855" t="inlineStr">
        <is>
          <t>Tested Positive - Family</t>
        </is>
      </c>
    </row>
    <row r="2856">
      <c r="A2856" t="inlineStr">
        <is>
          <t>ho0iax</t>
        </is>
      </c>
      <c r="B2856" t="inlineStr">
        <is>
          <t>Woke up feeling bad</t>
        </is>
      </c>
      <c r="C2856" t="inlineStr">
        <is>
          <t>On sunday night after going out with my girlfriend I noticed my nose went dry and found it odd. After that I felt a bit weird like I couldn't breathe but I didn't think much of it so I went to sleep. On monday morning I went home and was fine until today thursday July 9 2020 at 5:40 am I woke up like I can barely breathe as if my neck is closing and wanting to vomit. I got tested yesterday so i'm still waiting for my results and my girlfriend keeps telling me I have nothing because i'm a bit of a hipococondriac but I feel really bad right now and I can't stop shaking because of how cold I am right now I only had my ac at 70 degrees farenheit. I'm really worried that I got covid and gave it to my family. I'm a 21 yo male with no underlying conditions and have O+ blood. Please help I am very very scared right now and can't stop shaking of how cold I feel and how numb my face is.</t>
        </is>
      </c>
      <c r="D2856" t="n">
        <v>1</v>
      </c>
      <c r="E2856" t="n">
        <v>3</v>
      </c>
      <c r="F2856">
        <f>HYPERLINK("https://www.reddit.com/r/COVID19positive/comments/ho0iax/woke_up_feeling_bad/")</f>
        <v/>
      </c>
      <c r="G2856" t="inlineStr">
        <is>
          <t>2020-07-09 03:04:54</t>
        </is>
      </c>
      <c r="H2856" t="inlineStr">
        <is>
          <t>Presumed Positive - From Doctor</t>
        </is>
      </c>
    </row>
    <row r="2857">
      <c r="A2857" t="inlineStr">
        <is>
          <t>ho0zxb</t>
        </is>
      </c>
      <c r="B2857" t="inlineStr">
        <is>
          <t>How to sleep at night when worrying about the virus?</t>
        </is>
      </c>
      <c r="C2857" t="inlineStr">
        <is>
          <t>Hello,
I am 25 years old and this past Sunday i developed breathing problems where I would get winded easily from any little thing that i do. Whether I got up from my office chair or from my bed i would start breathing heavily as if I just finished running a marathon. This had me panicking and I went to go see my doctor about the dilemma. He prescribed me an inhaler to help with my breathing issues. Knowing that i am not breathing properly and that it can get much worse in the future absolutely terrifies me. I am having a very difficult time trying to sleep at night. I am riddled with anxiety which is keeping me up late. Im honestly scared that i might die. I was wondering what I can do to ease my mind and get some proper sleep at night without worrying about the virus? So far i have no other symptoms. No fever, cough, or loss of taste. I do have a slight sore throat though.</t>
        </is>
      </c>
      <c r="D2857" t="n">
        <v>1</v>
      </c>
      <c r="E2857" t="n">
        <v>7</v>
      </c>
      <c r="F2857">
        <f>HYPERLINK("https://www.reddit.com/r/COVID19positive/comments/ho0zxb/how_to_sleep_at_night_when_worrying_about_the/")</f>
        <v/>
      </c>
      <c r="G2857" t="inlineStr">
        <is>
          <t>2020-07-09 03:49:25</t>
        </is>
      </c>
      <c r="H2857" t="inlineStr">
        <is>
          <t>Presumed Positive - From Doctor</t>
        </is>
      </c>
    </row>
    <row r="2858">
      <c r="A2858" t="inlineStr">
        <is>
          <t>ho12wr</t>
        </is>
      </c>
      <c r="B2858" t="inlineStr">
        <is>
          <t>Families First act and medical privacy</t>
        </is>
      </c>
      <c r="C2858" t="inlineStr">
        <is>
          <t>I originally posted in r/legaladvice but no response.   Was hoping someone here might have some experience in this matter or would know where to direct me
I found out today my fiance tested positive for covid, but I tested negative. We both got tested because someone at her work tested positive. We are going to self isolate as best we can in our home, but my job (apartment maintenance) requires me to enter the apartment homes of residents. Under the Family First Act, do I have to provide documentation of my fiance's positive results? I know I have to inform them, but just based on principle, I dont feel like I should have to give them the documentation. I may be a little out of reach here but it just feel like that's a bit out of what they should be allowed to require. Is there any governmental statement about something like this? Located in North Carolina. Thanks in advanceI originally posted in r/legaladvice but no response.   Was hoping someone here might have some experience in this matter or would know where to direct me
To add, the reason I don't want them to see her records is because people at work have been pestering me to meet my fiance and I know that they would go and look her up on social media and what not. I just like to keep my personal and work life separate.</t>
        </is>
      </c>
      <c r="D2858" t="n">
        <v>1</v>
      </c>
      <c r="E2858" t="n">
        <v>5</v>
      </c>
      <c r="F2858">
        <f>HYPERLINK("https://www.reddit.com/r/COVID19positive/comments/ho12wr/families_first_act_and_medical_privacy/")</f>
        <v/>
      </c>
      <c r="G2858" t="inlineStr">
        <is>
          <t>2020-07-09 03:56:35</t>
        </is>
      </c>
      <c r="H2858" t="inlineStr">
        <is>
          <t>Tested Positive - Family</t>
        </is>
      </c>
    </row>
    <row r="2859">
      <c r="A2859" t="inlineStr">
        <is>
          <t>ho1peq</t>
        </is>
      </c>
      <c r="B2859" t="inlineStr">
        <is>
          <t>Almost 90 days in and the fatigue has hit me. Sleep doesn't do shit, arms and legs feel heavy</t>
        </is>
      </c>
      <c r="C2859" t="inlineStr">
        <is>
          <t>I'm almost 90 days in and have had every symptom imaginable. Mine have been mostly respiratory and heart related. I've had a cough since april that has finally died down, I had terrible POTS which included a resting HR of 100 and a pulse that went up to 160-170 just walking around and chest pressure/SOB. Also had covid toes and rash that still comes and goes as well as neurological symptoms (headache, sense of smell is altered, blurry vision etc).
However, flash forward to last week and I started feeling tired. Not sleepy tired, but more exhausted. As if I've been to the gym and completely pumped myself to the max. Arms and legs feel heavy. And it doesn't go away with sleep. I don't get the need to sleep with it, more of a need to lie down. I've not had this type of fatigue at all during my illness and then BAAAAM it just me from nowhere.
Obviously I'm so scared that this is something like CFS. Have any of you experienced this type of exhaustion later in your illness? Did it get better at all?</t>
        </is>
      </c>
      <c r="D2859" t="n">
        <v>1</v>
      </c>
      <c r="E2859" t="n">
        <v>2</v>
      </c>
      <c r="F2859">
        <f>HYPERLINK("https://www.reddit.com/r/COVID19positive/comments/ho1peq/almost_90_days_in_and_the_fatigue_has_hit_me/")</f>
        <v/>
      </c>
      <c r="G2859" t="inlineStr">
        <is>
          <t>2020-07-09 04:49:11</t>
        </is>
      </c>
      <c r="H2859" t="inlineStr">
        <is>
          <t>Presumed Positive - From Doctor</t>
        </is>
      </c>
    </row>
    <row r="2860">
      <c r="A2860" t="inlineStr">
        <is>
          <t>ho1ptf</t>
        </is>
      </c>
      <c r="B2860" t="inlineStr">
        <is>
          <t>Anybody dealing with obsessive unwanted thoughts?</t>
        </is>
      </c>
      <c r="C2860" t="inlineStr">
        <is>
          <t>Hi,
So long story short, had corona symptoms (fever around 101, chills, loss of smell, fatigue, shortness of breath) since second week of April and in the last month, mostly dealing with shortness of breath, brain fog, fatigue, and lower-than-normal body temps (mid 96’s where I’m normally around 98). Woke up today feeling unusually well, where lungs feel clear, and I feel almost back to normal... but overly so, almost manic.  Really strange and frustrating thing is I’m having an unwanted thought that just keeps going over and over in my brain like it’s stuck on repeat and it’s hard to stop it.  Anybody else dealing with these repetitive hard-to-control thoughts?</t>
        </is>
      </c>
      <c r="D2860" t="n">
        <v>1</v>
      </c>
      <c r="E2860" t="n">
        <v>4</v>
      </c>
      <c r="F2860">
        <f>HYPERLINK("https://www.reddit.com/r/COVID19positive/comments/ho1ptf/anybody_dealing_with_obsessive_unwanted_thoughts/")</f>
        <v/>
      </c>
      <c r="G2860" t="inlineStr">
        <is>
          <t>2020-07-09 04:50:12</t>
        </is>
      </c>
      <c r="H2860" t="inlineStr">
        <is>
          <t>Presumed Positive - From Doctor</t>
        </is>
      </c>
    </row>
    <row r="2861">
      <c r="A2861" t="inlineStr">
        <is>
          <t>ho20j9</t>
        </is>
      </c>
      <c r="B2861" t="inlineStr">
        <is>
          <t>Long Hauler - recovered</t>
        </is>
      </c>
      <c r="C2861" t="inlineStr">
        <is>
          <t>45M, healthy, no underlying conditions.  I started showing symptoms on March 12 after returning home from a family trip to Disney World.  I had 42 straight days of non-stop, constant fever and other symptoms, followed by another month or so of on/off daily symptoms.  I started to feel a bit better by mid May, but fought continued exhaustion, continued sporadic fever and aches until late June.  The past two to three weeks I have finally felt 100% normal.  I’ve been able to fully exercise... bike, swim, and walk and have felt full of energy again.  My total COVID symptom journey was about 100 days.</t>
        </is>
      </c>
      <c r="D2861" t="n">
        <v>1</v>
      </c>
      <c r="E2861" t="n">
        <v>172</v>
      </c>
      <c r="F2861">
        <f>HYPERLINK("https://www.reddit.com/r/COVID19positive/comments/ho20j9/long_hauler_recovered/")</f>
        <v/>
      </c>
      <c r="G2861" t="inlineStr">
        <is>
          <t>2020-07-09 05:13:43</t>
        </is>
      </c>
      <c r="H2861" t="inlineStr">
        <is>
          <t>Presumed Positive - From Doctor</t>
        </is>
      </c>
    </row>
    <row r="2862">
      <c r="A2862" t="inlineStr">
        <is>
          <t>ho2y6z</t>
        </is>
      </c>
      <c r="B2862" t="inlineStr">
        <is>
          <t>Autoimmune diet, etc effect on sleep quality?</t>
        </is>
      </c>
      <c r="C2862" t="inlineStr">
        <is>
          <t>Those of you who switched to a special diet, did that improve sleep at all? I was sleeping really great and the last two nights my insomnia has come back. I think it might be because of increased sugar. I ate a bunch of blueberries and felt a little bit weird before the sleep problems started again. This is the last annoying symptom I have left to shake.</t>
        </is>
      </c>
      <c r="D2862" t="n">
        <v>1</v>
      </c>
      <c r="E2862" t="n">
        <v>5</v>
      </c>
      <c r="F2862">
        <f>HYPERLINK("https://www.reddit.com/r/COVID19positive/comments/ho2y6z/autoimmune_diet_etc_effect_on_sleep_quality/")</f>
        <v/>
      </c>
      <c r="G2862" t="inlineStr">
        <is>
          <t>2020-07-09 06:20:34</t>
        </is>
      </c>
      <c r="H2862" t="inlineStr">
        <is>
          <t>Presumed Positive - From Doctor</t>
        </is>
      </c>
    </row>
    <row r="2863">
      <c r="A2863" t="inlineStr">
        <is>
          <t>ho3j3w</t>
        </is>
      </c>
      <c r="B2863" t="inlineStr">
        <is>
          <t>Confusing symptoms</t>
        </is>
      </c>
      <c r="C2863" t="inlineStr">
        <is>
          <t>Hi, I am really confused with the symptoms of my dad (53).
Fever on and off for 15 days with loss of taste since June 20. As he was not eating very little food, he experienced very high fatigue. He was hospitalized for 2 days as a precaution due to his tiredness and given glucose. Oxygen saturation levels around 94/95 consistently and No complains of shortness of breath or cough.
Covid PCR test came back negative twice on July 2 and July 7. Chest CT scan showed multifocal patchy peripheral ground glass densities in the upper and right middle lobe. This is indicative of a possible viral pneumonia. 
He was discharged from the hospital July 8 and feeling better now, but still recommended to take a lot of rest by the doctor.
My mom who has been taking care of my dad with some precautions has shown no symptoms at all.</t>
        </is>
      </c>
      <c r="D2863" t="n">
        <v>1</v>
      </c>
      <c r="E2863" t="n">
        <v>2</v>
      </c>
      <c r="F2863">
        <f>HYPERLINK("https://www.reddit.com/r/COVID19positive/comments/ho3j3w/confusing_symptoms/")</f>
        <v/>
      </c>
      <c r="G2863" t="inlineStr">
        <is>
          <t>2020-07-09 06:58:35</t>
        </is>
      </c>
      <c r="H2863" t="inlineStr">
        <is>
          <t>Presumed Positive - From Doctor</t>
        </is>
      </c>
    </row>
    <row r="2864">
      <c r="A2864" t="inlineStr">
        <is>
          <t>ho3zi0</t>
        </is>
      </c>
      <c r="B2864" t="inlineStr">
        <is>
          <t>Test results came back positive. Caught it at gym. Smell and taste is gone.</t>
        </is>
      </c>
      <c r="C2864" t="inlineStr">
        <is>
          <t>21 Male. Symptoms included 37.6 degree celsius  fever, loss of smell, and taste.  Fever is gone but my senses aren’t back yet.
Any young people here regain their smell? How long did it take? I imagine these are mild symptoms in comparison to most other people.</t>
        </is>
      </c>
      <c r="D2864" t="n">
        <v>1</v>
      </c>
      <c r="E2864" t="n">
        <v>9</v>
      </c>
      <c r="F2864">
        <f>HYPERLINK("https://www.reddit.com/r/COVID19positive/comments/ho3zi0/test_results_came_back_positive_caught_it_at_gym/")</f>
        <v/>
      </c>
      <c r="G2864" t="inlineStr">
        <is>
          <t>2020-07-09 07:25:30</t>
        </is>
      </c>
      <c r="H2864" t="inlineStr">
        <is>
          <t>Tested Positive</t>
        </is>
      </c>
    </row>
    <row r="2865">
      <c r="A2865" t="inlineStr">
        <is>
          <t>ho4bs2</t>
        </is>
      </c>
      <c r="B2865" t="inlineStr">
        <is>
          <t>Feeling good! Thank you 🙌❤️</t>
        </is>
      </c>
      <c r="C2865" t="inlineStr">
        <is>
          <t>Hi guys. This is the first day that I can honestly say that I’m sitting acting and feeling truly normal. No background unease and very little pain etc. I hope that those of you who are just starting this scary journey get through it and those of you coming out the other side smash it💪. It can be tough and I dare say some of you will be at absolute bottom at times. You will get through this.. be good to yourselves physically and mentally and appreciate every day. This community has helped me through some of the darkest days of my life. I truly believed This was it. I have never wanted to live more than I do now! Thank you all so much I appreciate every little comment so much. What a community 🙌 BIG LOVE 🙏🙏🙏❤️</t>
        </is>
      </c>
      <c r="D2865" t="n">
        <v>6</v>
      </c>
      <c r="E2865" t="n">
        <v>26</v>
      </c>
      <c r="F2865">
        <f>HYPERLINK("https://www.reddit.com/r/COVID19positive/comments/ho4bs2/feeling_good_thank_you/")</f>
        <v/>
      </c>
      <c r="G2865" t="inlineStr">
        <is>
          <t>2020-07-09 07:45:37</t>
        </is>
      </c>
      <c r="H2865" t="inlineStr">
        <is>
          <t>Presumed Positive - From Doctor</t>
        </is>
      </c>
    </row>
    <row r="2866">
      <c r="A2866" t="inlineStr">
        <is>
          <t>ho4mhb</t>
        </is>
      </c>
      <c r="B2866" t="inlineStr">
        <is>
          <t>Post Covid Insomnia</t>
        </is>
      </c>
      <c r="C2866" t="inlineStr">
        <is>
          <t>Any else experiencing insomnia after Covid infection?</t>
        </is>
      </c>
      <c r="D2866" t="n">
        <v>3</v>
      </c>
      <c r="E2866" t="n">
        <v>25</v>
      </c>
      <c r="F2866">
        <f>HYPERLINK("https://www.reddit.com/r/COVID19positive/comments/ho4mhb/post_covid_insomnia/")</f>
        <v/>
      </c>
      <c r="G2866" t="inlineStr">
        <is>
          <t>2020-07-09 08:02:56</t>
        </is>
      </c>
      <c r="H2866" t="inlineStr">
        <is>
          <t>Tested Positive - Me</t>
        </is>
      </c>
    </row>
    <row r="2867">
      <c r="A2867" t="inlineStr">
        <is>
          <t>ho5pc9</t>
        </is>
      </c>
      <c r="B2867" t="inlineStr">
        <is>
          <t>Looking for Recovery Suggestions</t>
        </is>
      </c>
      <c r="C2867" t="inlineStr">
        <is>
          <t>Tested positive yesterday. My husband has it too and we're trying to keep up without toddler who's seemingly normal (thank goodness). We're both mostly just VERY fatigued, headaches, low fever, and total loss of taste and smell. Just out of curiosity, is there anything you've done that you think has helped you feel better quicker? It doesn't have to be some proven thing, just open to any suggestions.</t>
        </is>
      </c>
      <c r="D2867" t="n">
        <v>2</v>
      </c>
      <c r="E2867" t="n">
        <v>6</v>
      </c>
      <c r="F2867">
        <f>HYPERLINK("https://www.reddit.com/r/COVID19positive/comments/ho5pc9/looking_for_recovery_suggestions/")</f>
        <v/>
      </c>
      <c r="G2867" t="inlineStr">
        <is>
          <t>2020-07-09 09:03:40</t>
        </is>
      </c>
      <c r="H2867" t="inlineStr">
        <is>
          <t>Tested Positive - Me</t>
        </is>
      </c>
    </row>
    <row r="2868">
      <c r="A2868" t="inlineStr">
        <is>
          <t>ho5ye4</t>
        </is>
      </c>
      <c r="B2868" t="inlineStr">
        <is>
          <t>Only 2 symptoms. Will it gets worse?</t>
        </is>
      </c>
      <c r="C2868" t="inlineStr">
        <is>
          <t>Hey everyone,
I’m currently on day 7 since I’ve shown my first symptoms which started out as only a sore throat. Since then, I have only lost my sense of smell/taste and have had very minor chest tightness. 
However I see a lot of people getting fevers, chills and more severe symptoms. Has anyone only had 2-3 very mild symptoms for this long? Let me know!</t>
        </is>
      </c>
      <c r="D2868" t="n">
        <v>1</v>
      </c>
      <c r="E2868" t="n">
        <v>5</v>
      </c>
      <c r="F2868">
        <f>HYPERLINK("https://www.reddit.com/r/COVID19positive/comments/ho5ye4/only_2_symptoms_will_it_gets_worse/")</f>
        <v/>
      </c>
      <c r="G2868" t="inlineStr">
        <is>
          <t>2020-07-09 09:17:32</t>
        </is>
      </c>
      <c r="H2868" t="inlineStr">
        <is>
          <t>Tested Positive - Me</t>
        </is>
      </c>
    </row>
    <row r="2869">
      <c r="A2869" t="inlineStr">
        <is>
          <t>ho666d</t>
        </is>
      </c>
      <c r="B2869" t="inlineStr">
        <is>
          <t>Covid Experience thus far</t>
        </is>
      </c>
      <c r="C2869" t="inlineStr">
        <is>
          <t>I wanted to make this for anyone who could relate or just to add another case. 
I tested positive on Monday July 6th after experiencing my first symptoms Saturday morning, July 4th. We don’t know and probably will never know where I contracted the virus from in the first place. I have had very mild symptoms thus far and even seem to be improving possibly as I enter my 6th day of symptoms. I’ll list my daily symptoms below for those who are curious. For those who have tested positive, have you lost your sense of taste and smell? If so, has it come back or gotten better? 
Covid 19 Symptoms 
Day 1 - July 4th, 2020 - Saturday 
* Tickle in throat 
* Slight cough 
Day 2 - July 5th - Sunday 
* soreish throat 
* Congestion 
* Achey legs 
* Fever 99.9
* Fatigue / Tired
Day 3 - July 6th - Monday 
* congestion 
* Achey legs 
* Fever 100.1
Day 4 - July 7th - Tuesday 
* Achey ish legs 
* Congestion 
* Maybe loss of taste?? 
* No fever - 98.6 or below 
Day 5 - July 8th - Wednesday 
* no morning acheyness 
* Morning temp - 97.0 
* Loss of taste and smell</t>
        </is>
      </c>
      <c r="D2869" t="n">
        <v>4</v>
      </c>
      <c r="E2869" t="n">
        <v>15</v>
      </c>
      <c r="F2869">
        <f>HYPERLINK("https://www.reddit.com/r/COVID19positive/comments/ho666d/covid_experience_thus_far/")</f>
        <v/>
      </c>
      <c r="G2869" t="inlineStr">
        <is>
          <t>2020-07-09 09:29:08</t>
        </is>
      </c>
      <c r="H2869" t="inlineStr">
        <is>
          <t>Tested Positive - Me</t>
        </is>
      </c>
    </row>
    <row r="2870">
      <c r="A2870" t="inlineStr">
        <is>
          <t>ho6jha</t>
        </is>
      </c>
      <c r="B2870" t="inlineStr">
        <is>
          <t>I tested positive, my experience</t>
        </is>
      </c>
      <c r="C2870" t="inlineStr">
        <is>
          <t>Hey everyone, I just wanted to share my experience. Two people came to work sick (amazing right? They both ended up testing positive). I started with a very very mild sore throat and sneezing. A few days later I woke up in the middle of the night super nauseous with stomach issues and a stabbing / tightness in my lung. I got tested and even though the test result was ready in a day, it took a week to get back to me... I was very tired and I could hardly eat for a week and a half, along with some lung pain. I lost 8 pounds total. The cough came near the end of the illness oddly. Never had a fever. Honestly the worst part was the GI symptoms. Finally my stomach is back to normal and I feel overall well. My doctor said a re test is not necessary, but I’m just not sure what to do. I might get one before going home to my family- but apparently a positive result does not mean I’m contagious. Plus testing in the Orlando area is becoming a pain in the ass and difficult to schedule/ receive results. Any ideas? Thank you! Also if you have any questions about my experience let me know :)</t>
        </is>
      </c>
      <c r="D2870" t="n">
        <v>3</v>
      </c>
      <c r="E2870" t="n">
        <v>8</v>
      </c>
      <c r="F2870">
        <f>HYPERLINK("https://www.reddit.com/r/COVID19positive/comments/ho6jha/i_tested_positive_my_experience/")</f>
        <v/>
      </c>
      <c r="G2870" t="inlineStr">
        <is>
          <t>2020-07-09 09:48:47</t>
        </is>
      </c>
      <c r="H2870" t="inlineStr">
        <is>
          <t>Tested Positive - Me</t>
        </is>
      </c>
    </row>
    <row r="2871">
      <c r="A2871" t="inlineStr">
        <is>
          <t>ho6m4u</t>
        </is>
      </c>
      <c r="B2871" t="inlineStr">
        <is>
          <t>Question about different kinds of test</t>
        </is>
      </c>
      <c r="C2871" t="inlineStr">
        <is>
          <t>What is the difference between the long nasal swab test and the q tip? Just curious</t>
        </is>
      </c>
      <c r="D2871" t="n">
        <v>1</v>
      </c>
      <c r="E2871" t="n">
        <v>3</v>
      </c>
      <c r="F2871">
        <f>HYPERLINK("https://www.reddit.com/r/COVID19positive/comments/ho6m4u/question_about_different_kinds_of_test/")</f>
        <v/>
      </c>
      <c r="G2871" t="inlineStr">
        <is>
          <t>2020-07-09 09:52:53</t>
        </is>
      </c>
      <c r="H2871" t="inlineStr">
        <is>
          <t>Presumed Positive - From Test</t>
        </is>
      </c>
    </row>
    <row r="2872">
      <c r="A2872" t="inlineStr">
        <is>
          <t>ho6nph</t>
        </is>
      </c>
      <c r="B2872" t="inlineStr">
        <is>
          <t>Exposed at work, Workers Comp, any additional assistance?</t>
        </is>
      </c>
      <c r="C2872" t="inlineStr">
        <is>
          <t>Hello all, I was exposed to covid 19 at work and subsequently infected (am an essential healthcare worker). My job stated it will file this as a workers comp claim however I am still dealing with debilitating effects of the virus and do not anticipate that I will be able to return to work as soon as they want me to. 
My question is, am I eligible for other Financial assistance programs like UI, PUA, etc in AZ ? Or does being on workers comp eliminate any chance at additional assistance. Thanks in advance.</t>
        </is>
      </c>
      <c r="D2872" t="n">
        <v>1</v>
      </c>
      <c r="E2872" t="n">
        <v>8</v>
      </c>
      <c r="F2872">
        <f>HYPERLINK("https://www.reddit.com/r/COVID19positive/comments/ho6nph/exposed_at_work_workers_comp_any_additional/")</f>
        <v/>
      </c>
      <c r="G2872" t="inlineStr">
        <is>
          <t>2020-07-09 09:55:17</t>
        </is>
      </c>
      <c r="H2872" t="inlineStr">
        <is>
          <t>Tested Positive - Me</t>
        </is>
      </c>
    </row>
    <row r="2873">
      <c r="A2873" t="inlineStr">
        <is>
          <t>ho6u3j</t>
        </is>
      </c>
      <c r="B2873" t="inlineStr">
        <is>
          <t>Fiancé tested positive on Tuesday, waiting for my results</t>
        </is>
      </c>
      <c r="C2873" t="inlineStr">
        <is>
          <t>Fiancé is 25M. He is an electrician so while partially active, we are not health. We are both smokers. 
I’m 24F, overweight, work at a desk job. 
I started to notice symptoms 07/30. It was my first day back at the gym, so I thought my shortness of breath was from that. Fiancé had a runny nose and tickle in his throat. These were our only symptoms for the next week. On Monday, 07/06 we both woke up feeling like we’d been hit by a bus. Awful body aches and just not really thinking right. We both felt hung over. He went to work and they sent him to get tested. It got worse throughout the day for both of us. I’ll start the timeline here 
07/06 - my symptoms were shortness of breath. Tightness in my chest. Fatigue like I’ve never felt. I slept all day long. Which I never do. No appetite. Nauseous. Bouts of diarrhea. No sense of taste and smell. No cough. 
My fiancé’s symptoms - fatigue and body aches. No appetite. No sense of taste and smell. Slight cough. 
07-07 - we got my fiancé’s positive test back. No real change in the above 
07-08 - my symptoms, started to feel back to normal. Still tired but more energy. Shortness of breath was still there but definitely not as bad. Body aches are gone. Diarrhea is gone. Still very nauseous and still not appetite. No sense of smell and taste. Slight tickle in throat. Went and got tested myself in the AM. 
My fiancé’s symptoms - he started to feel weight on his chest. Had a couple breathing attacks that required an inhaler. Body aches were less. Had more energy. Still no sense of taste and smell. Appetite coming back 
07/09 (today) - I woke up with shortness of breath but it passed. Have some chest pain. More tired than yesterday. Still no test results but it’s pretty obvious it’ll be positive. Still very nauseous 
Fiancé basically feels back to normal. Still no sense of taste or smell but he’s doing house work because I just feel beat. 
I’m writing this because my fiancé and I aren’t really healthy people. I know it’s scary for some in their 20’s that aren’t exactly the healthiest. We eat like shit. We smoke. We drink. And we are okay. Breathing has been difficult at times but I think it’s the anxiety of it getting worse that MAKES it worse. Most of our symptoms for the last 4 days have stayed pretty consistent. It’s not getting better yet, but I wouldn’t say we’ve had a worse day since Monday.</t>
        </is>
      </c>
      <c r="D2873" t="n">
        <v>3</v>
      </c>
      <c r="E2873" t="n">
        <v>18</v>
      </c>
      <c r="F2873">
        <f>HYPERLINK("https://www.reddit.com/r/COVID19positive/comments/ho6u3j/fiancé_tested_positive_on_tuesday_waiting_for_my/")</f>
        <v/>
      </c>
      <c r="G2873" t="inlineStr">
        <is>
          <t>2020-07-09 10:04:49</t>
        </is>
      </c>
      <c r="H2873" t="inlineStr">
        <is>
          <t>Tested Positive</t>
        </is>
      </c>
    </row>
    <row r="2874">
      <c r="A2874" t="inlineStr">
        <is>
          <t>ho7d95</t>
        </is>
      </c>
      <c r="B2874" t="inlineStr">
        <is>
          <t>I have bouts of hypochondria and recent exposure has me stressing out so much.</t>
        </is>
      </c>
      <c r="C2874" t="inlineStr">
        <is>
          <t>Sunday night I was at work, and me and a coworker were sitting next to each other in a booth waiting for cash. She had her mask off and on and multiple times she showed me something on her phone and I grabbed it to look, then took my mask off without washing my hands after touching her phone. She tested positive a few days ago. I have had an off and on mild fever of about 99.5 and my throat has this weird dull ache to it along with yellow mucus. I feel slightly nauseous but everything else is fine. I hope my anxiety about this doesn't make me sick when I might not be. 
I tested 2 and a half days after exposure, hopefully I waited long enough. Gonna try and rest and not think about it until I know.
Hang in there everyone 💓</t>
        </is>
      </c>
      <c r="D2874" t="n">
        <v>1</v>
      </c>
      <c r="E2874" t="n">
        <v>4</v>
      </c>
      <c r="F2874">
        <f>HYPERLINK("https://www.reddit.com/r/COVID19positive/comments/ho7d95/i_have_bouts_of_hypochondria_and_recent_exposure/")</f>
        <v/>
      </c>
      <c r="G2874" t="inlineStr">
        <is>
          <t>2020-07-09 10:33:26</t>
        </is>
      </c>
      <c r="H2874" t="inlineStr">
        <is>
          <t>Presumed Positive - From Doctor</t>
        </is>
      </c>
    </row>
    <row r="2875">
      <c r="A2875" t="inlineStr">
        <is>
          <t>ho7oqs</t>
        </is>
      </c>
      <c r="B2875" t="inlineStr">
        <is>
          <t>4 months and still not fully able to taste and smell...</t>
        </is>
      </c>
      <c r="C2875" t="inlineStr">
        <is>
          <t>Is anyone else in the same boat? I suffered from Anosmia since March 21-28. It really makes me sad. I couldn’t get to an ENT until May because all of the offices were closed. He did a nasal endoscopy and everything looked normal. My nasal passageways were still a little swollen after all that time and I had a post nasal drip during that time as well. It went away in May. Thank God! But I still can’t fully taste and smell. My doctor said it’s due to my olfactory nerve being affected because of the virus. It’s Hyposmia at this point... it’s so frustrating. I have a follow up appointment next month. My doctor pretty much told me that it’s going to take some time and he can’t 100% guarantee anything but he said it most likely will come back. I have to hold things up to my nose to smell them. Some scents I can smell...especially at cooking temperatures. That’s it. Those little nuance smells just kind of pass me by. I’m so tired of it.
My doctor gave me an oral steroid for a week and as of now I am taking Flonase for 3 months. Maybe even longer...who knows. I’ve been looking into smell training. I just started last night and I hope it helps. Any advice?</t>
        </is>
      </c>
      <c r="D2875" t="n">
        <v>1</v>
      </c>
      <c r="E2875" t="n">
        <v>4</v>
      </c>
      <c r="F2875">
        <f>HYPERLINK("https://www.reddit.com/r/COVID19positive/comments/ho7oqs/4_months_and_still_not_fully_able_to_taste_and/")</f>
        <v/>
      </c>
      <c r="G2875" t="inlineStr">
        <is>
          <t>2020-07-09 10:50:51</t>
        </is>
      </c>
      <c r="H2875" t="inlineStr">
        <is>
          <t>Tested Positive - Me</t>
        </is>
      </c>
    </row>
    <row r="2876">
      <c r="A2876" t="inlineStr">
        <is>
          <t>ho8bfk</t>
        </is>
      </c>
      <c r="B2876" t="inlineStr">
        <is>
          <t>33 M tested positive</t>
        </is>
      </c>
      <c r="C2876" t="inlineStr">
        <is>
          <t>Started feeling sick about 8 days ago. Got tested and couldn’t find any centers with quick results so I spent a week wondering. Just got results back and it was positive. 
Never had a fever. The worst symptom I got was fatigue. I had one day I just laid around all day. But other symptoms I’ve had are congestion, cough, complete loss of smell and mild loss of taste, pressure buildup in ears and nose (feels like sinus pressure), and headaches due to that pressure. On day one I felt dehydrated so I went to doc to get an IV to help and I think he realized I had something because my white blood cell count was very low. But for the most part I haven’t been real bad, just tired and those mild symptoms I mentioned above that mostly come and go. I’m still feeling some of the symptoms but they’re going away with time.
I have a wife that has not tested herself but she was sick for a day with just mild chills. I also live with my two children around 2. It’s impossible for them to not be around me so here’s how that has gone. My 2 year old has been fine hasn’t changed a beat. My 1 year old has a runny nose but I took him to the doc and they said not to worry. That they rarely get covid and if they do then it’s mild cases.</t>
        </is>
      </c>
      <c r="D2876" t="n">
        <v>1</v>
      </c>
      <c r="E2876" t="n">
        <v>1</v>
      </c>
      <c r="F2876">
        <f>HYPERLINK("https://www.reddit.com/r/COVID19positive/comments/ho8bfk/33_m_tested_positive/")</f>
        <v/>
      </c>
      <c r="G2876" t="inlineStr">
        <is>
          <t>2020-07-09 11:23:52</t>
        </is>
      </c>
      <c r="H2876" t="inlineStr">
        <is>
          <t>Tested Positive - Me</t>
        </is>
      </c>
    </row>
    <row r="2877">
      <c r="A2877" t="inlineStr">
        <is>
          <t>ho8kbp</t>
        </is>
      </c>
      <c r="B2877" t="inlineStr">
        <is>
          <t>2nd test taken on 13th day of isolation, confirmed positive, help me give reassurance to my family household that im allowed to mingle among them again</t>
        </is>
      </c>
      <c r="C2877" t="inlineStr">
        <is>
          <t>I know the title sounds ignorant but let me explain my timeline of my covid experience. 
June 8th my work reopens a restaurant. My first day working was June 11th-June 14th. We wore our masks, wore gloves and frequently washed our hands after every experience with a guest table. I maybe had 20 tables the entire 4 days of working. I suspect I may have gotten the virus from a coworker since we were (feel stupid for not even realizing nor refusing to) SHARE FACE SHIELDS, where we sweat and you are supposed to spray it with a disinfectant and wipe it clean before the next person uses it. Not everyone cleaned their masks either. 
June 15th a Monday,  i get a cough in the afternoon, feeling like something is just stuck in my chest from eating. Tuesday I have a warm head, headache, head feels like it’s being squeezed when i cough, and dizziness walking/standing. 
That day i called and was given the go ahead to get tested the following day (Wednesday). Friday the 19th i was confirmed positive by a phone call. Where i then went straight to my room to isolate and my entire household tested and were all negative. 
So to summarize symptoms began June 15th the day after working the weekend, 17th got swabbed, 19th tested positive). 
Fast forward I’m in self isolation in my room with a bathroom, mini fridge, and microwave to hold down. My symptoms go away besides having a cough here and there. (Maybe coughed 12 times the entire two weeks of isolation) July 3rd was my last day of isolation. However my family still was concerned about me being contagious to the household still. Wanting me to get a 2nd test to be negative for reassurance. I told them that my doctors stated that the test will give people a positive test even 30 days + sometimes but that as long as i self isolate the 14 days and recover from symptoms that I’m fine to be back out. 
To make them feel better i took the 2nd test July 2nd, my doctor was annoyed because him and another doctor that i spoke to at kaiser regarding contagious questions to ease my family said. “I have recovered and that am no longer infections if I’ve completed the self isolation and have no symptoms). 
Well today July 9th (July 2nd this was a sputum test) confirmed still positive result. 
My family and friends can’t seem to comprehend that I’ve explained the covid test looks to detect the the virus’s RNA OR PROTEINS. With my doctors telling me that covid will still be in my system just no longer infectious. 
I currently am car camping to give my family extra days of reassurance, I’ve displayed no symptoms and I’m even on a hike moving around like my normal self does. Can anyone provide sources or anything that gives them reassurance that the 2nd covid test positive merely means It’s still in my system but that I’m no longer infectious.</t>
        </is>
      </c>
      <c r="D2877" t="n">
        <v>1</v>
      </c>
      <c r="E2877" t="n">
        <v>2</v>
      </c>
      <c r="F2877">
        <f>HYPERLINK("https://www.reddit.com/r/COVID19positive/comments/ho8kbp/2nd_test_taken_on_13th_day_of_isolation_confirmed/")</f>
        <v/>
      </c>
      <c r="G2877" t="inlineStr">
        <is>
          <t>2020-07-09 11:36:36</t>
        </is>
      </c>
      <c r="H2877" t="inlineStr">
        <is>
          <t>Tested Positive - Me</t>
        </is>
      </c>
    </row>
    <row r="2878">
      <c r="A2878" t="inlineStr">
        <is>
          <t>ho8yb9</t>
        </is>
      </c>
      <c r="B2878" t="inlineStr">
        <is>
          <t>List of at home immune boosters to fight COVID</t>
        </is>
      </c>
      <c r="C2878" t="inlineStr">
        <is>
          <t>My friend who’s a self healer / homeopathic healer sent me this after she heard I tested positive.  It’s just a list of great ways to boost your immune system since there is no cure besides our own bodies.  I’ve just started taking all her recommendations, wanted to share it with you guys.  This is not medical advice, just what I’m doing.
Amy’s COVID-19 Protocol.
Eat 95% raw foods (saves your energy), sleep before 10pm (your body expedites healing between 10-2 am and pm), and if you need extra support, here are the medicines you can find at Whole Foods:
Celery juice - 32 Oz, twice a day 
Zinc - 3-4 dropperfuls every 3-4 hrs
Vitamin C - 4 capsules @ 500mg twice a day 
MSM - 5 capsules or servings @ 300mg once a day (this is more a replacement for Tylenol)
Cat’s Claw - 4 dropperfuls twice a day
Raw Garlic - 1 clove diced served with honey, every 3-4 hrs
Ginger - thumb-sized crushed/juiced with lemon water (lemon water is 2 lemons squeezed in filtered water), can also add honey 
B12 - 2 dropperfuls daily 
Selenium - 1 capsule a day 
Nettle Leaf Tea - 2 tea bags in w cup of water daily
Lemon Balm - 4 dropperfuls twice a day</t>
        </is>
      </c>
      <c r="D2878" t="n">
        <v>3</v>
      </c>
      <c r="E2878" t="n">
        <v>15</v>
      </c>
      <c r="F2878">
        <f>HYPERLINK("https://www.reddit.com/r/COVID19positive/comments/ho8yb9/list_of_at_home_immune_boosters_to_fight_covid/")</f>
        <v/>
      </c>
      <c r="G2878" t="inlineStr">
        <is>
          <t>2020-07-09 11:56:58</t>
        </is>
      </c>
      <c r="H2878" t="inlineStr">
        <is>
          <t>Tested Positive - Me</t>
        </is>
      </c>
    </row>
    <row r="2879">
      <c r="A2879" t="inlineStr">
        <is>
          <t>ho8zrc</t>
        </is>
      </c>
      <c r="B2879" t="inlineStr">
        <is>
          <t>Bloody stools, diarrhea, abdominal pain, headache, night sweats</t>
        </is>
      </c>
      <c r="C2879" t="inlineStr">
        <is>
          <t>37f.  PA.  I took myself to the ER on Tuesday after I woke up in pools of sweat and started to pass bloody mucus in my stools.  I had begun my bout diarrhea on Saturday.  At the ER they ran numerous blood works and did a CT scan on my abdomen and pelvis.  Everything came back normal except for my C-reactive protein (CRP) which was high.  Doctor stated that CRP is essentially stating that there is inflammation but it doesn’t say what — sort of like a wide casting net.  
Since I don’t have shortness of breathe or fever, he thinks I could have Covid because of the GI issues.  And gave me a script for it.  I had to wait to days for the test and now I have to wait 3-5 days to get the results.  In the meantime, I have to quarantine from my loved ones.  
I have a throbbing headache that comes and goes as well as the diarrhea.  Stay safe everyone.</t>
        </is>
      </c>
      <c r="D2879" t="n">
        <v>1</v>
      </c>
      <c r="E2879" t="n">
        <v>13</v>
      </c>
      <c r="F2879">
        <f>HYPERLINK("https://www.reddit.com/r/COVID19positive/comments/ho8zrc/bloody_stools_diarrhea_abdominal_pain_headache/")</f>
        <v/>
      </c>
      <c r="G2879" t="inlineStr">
        <is>
          <t>2020-07-09 11:59:11</t>
        </is>
      </c>
      <c r="H2879" t="inlineStr">
        <is>
          <t>Presumed Positive - From Doctor</t>
        </is>
      </c>
    </row>
    <row r="2880">
      <c r="A2880" t="inlineStr">
        <is>
          <t>ho9b9s</t>
        </is>
      </c>
      <c r="B2880" t="inlineStr">
        <is>
          <t>Will i develop symptoms?</t>
        </is>
      </c>
      <c r="C2880" t="inlineStr">
        <is>
          <t>I got tested on the 30th as a formality so i could have surgery and it came back positive. I’m asymptomatic and have no symptoms and it’s been 9 days. My mom says i could still develop symptoms. I’m supposed to get retested tomorrow. Can i still develop symptoms after being asymptomatic for 9 days? My family also all tested negative but my mom and brother tested positive for antibodies.</t>
        </is>
      </c>
      <c r="D2880" t="n">
        <v>2</v>
      </c>
      <c r="E2880" t="n">
        <v>7</v>
      </c>
      <c r="F2880">
        <f>HYPERLINK("https://www.reddit.com/r/COVID19positive/comments/ho9b9s/will_i_develop_symptoms/")</f>
        <v/>
      </c>
      <c r="G2880" t="inlineStr">
        <is>
          <t>2020-07-09 12:15:54</t>
        </is>
      </c>
      <c r="H2880" t="inlineStr">
        <is>
          <t>Tested Positive - Me</t>
        </is>
      </c>
    </row>
    <row r="2881">
      <c r="A2881" t="inlineStr">
        <is>
          <t>ho9c45</t>
        </is>
      </c>
      <c r="B2881" t="inlineStr">
        <is>
          <t>Stomach Issues</t>
        </is>
      </c>
      <c r="C2881" t="inlineStr">
        <is>
          <t>I tested positive for COVID-19 on 7/3. I started having symptoms of fatigue, diarrhea, muscle weakness, loss of taste, and headache. From 7/1-7/5 I was just bedridden feeling like my whole body was hit by a truck but I’ve felt a lot better since Sunday’s with the exception of exhaustion, nausea, diarrhea, and now vomiting the last two nights. Anyone else have a lot of their symptoms  resolve but lingering gastrointestinal issues?</t>
        </is>
      </c>
      <c r="D2881" t="n">
        <v>1</v>
      </c>
      <c r="E2881" t="n">
        <v>4</v>
      </c>
      <c r="F2881">
        <f>HYPERLINK("https://www.reddit.com/r/COVID19positive/comments/ho9c45/stomach_issues/")</f>
        <v/>
      </c>
      <c r="G2881" t="inlineStr">
        <is>
          <t>2020-07-09 12:17:11</t>
        </is>
      </c>
      <c r="H2881" t="inlineStr">
        <is>
          <t>Tested Positive - Me</t>
        </is>
      </c>
    </row>
    <row r="2882">
      <c r="A2882" t="inlineStr">
        <is>
          <t>ho9t7b</t>
        </is>
      </c>
      <c r="B2882" t="inlineStr">
        <is>
          <t>I have anxiety and could use some reassurance on how I’m feeling.</t>
        </is>
      </c>
      <c r="C2882" t="inlineStr">
        <is>
          <t>My mother in law hasn’t tested positive, yet. She did get tested 2 days ago. But she has high fever 101+, headaches, sore throat, cough, etc. Before any symptoms showed my wife visited her at her house, 4 days ago. Now I am constantly fighting drainage, headaches, throat is irritated, feel fatigued and weak. Should I assume I have it or wait for a test result to inform my work. I go back tomorrow and I don’t want to put anyone at risk.</t>
        </is>
      </c>
      <c r="D2882" t="n">
        <v>1</v>
      </c>
      <c r="E2882" t="n">
        <v>8</v>
      </c>
      <c r="F2882">
        <f>HYPERLINK("https://www.reddit.com/r/COVID19positive/comments/ho9t7b/i_have_anxiety_and_could_use_some_reassurance_on/")</f>
        <v/>
      </c>
      <c r="G2882" t="inlineStr">
        <is>
          <t>2020-07-09 12:43:06</t>
        </is>
      </c>
      <c r="H2882" t="inlineStr">
        <is>
          <t>Tested Positive - Family</t>
        </is>
      </c>
    </row>
    <row r="2883">
      <c r="A2883" t="inlineStr">
        <is>
          <t>hoa0r5</t>
        </is>
      </c>
      <c r="B2883" t="inlineStr">
        <is>
          <t>Frequent urination, a symptom of covid?</t>
        </is>
      </c>
      <c r="C2883" t="inlineStr">
        <is>
          <t>Anyone else experienced frequent urination during infection? I can remember during the worst days of infection I was passing water pretty much every hour - and a lot of it! Weirdly during that time my fever broke and I wasn't sweating as much. Experiencing this again during recovery as I get waves of symptoms back again.</t>
        </is>
      </c>
      <c r="D2883" t="n">
        <v>1</v>
      </c>
      <c r="E2883" t="n">
        <v>12</v>
      </c>
      <c r="F2883">
        <f>HYPERLINK("https://www.reddit.com/r/COVID19positive/comments/hoa0r5/frequent_urination_a_symptom_of_covid/")</f>
        <v/>
      </c>
      <c r="G2883" t="inlineStr">
        <is>
          <t>2020-07-09 12:54:18</t>
        </is>
      </c>
      <c r="H2883" t="inlineStr">
        <is>
          <t>Tested Positive - Me</t>
        </is>
      </c>
    </row>
    <row r="2884">
      <c r="A2884" t="inlineStr">
        <is>
          <t>hoaopc</t>
        </is>
      </c>
      <c r="B2884" t="inlineStr">
        <is>
          <t>Still experiencing bothersome symptoms?</t>
        </is>
      </c>
      <c r="C2884" t="inlineStr">
        <is>
          <t>Thank you to everyone who has been contributing to posts and comments on here, it has genuinely been helpful in a time when symptoms are so amorphous.
I started experiencing symptoms on January 27th, and it only started as a sore throat in the beginning. In the days after, I started to develop really bad body aches, extreme fatigue and not being able to stay up, and constipation and nausea. I never had a bad fever or significant shortness of breath, but I do feel like i have decreased lung capacity and I lost my sense of smell on July 3rd.
I did get tested through drive-testing in Houston on January 29th, but I have yet to receive my results. I am really frustrated with contacting Harris County Public Health because it has literally been 11 days, and I have not gotten any documentation back. However, I am just presuming that I have COVID bc I did lose my sense of smell.
Currently, I have a stuffy nose, a scratchy throat, dry eyes, and this burning sensation in my nose. On top of not being able to smell anything, I have become really frustrated with these symptoms because they seem to drag on. I only had mild symptoms in the beginning, so I expected to recover quickly but it doesn't seem to be the case. Anyone have any tips and advice on how to alleviate some of the burning nose symptoms and nausea?
Also any advice on how to get my results any faster would be appreciated because i am at wit's end.
Edit: Also I am 21 year old male, if that explains anything? Thank you!</t>
        </is>
      </c>
      <c r="D2884" t="n">
        <v>1</v>
      </c>
      <c r="E2884" t="n">
        <v>5</v>
      </c>
      <c r="F2884">
        <f>HYPERLINK("https://www.reddit.com/r/COVID19positive/comments/hoaopc/still_experiencing_bothersome_symptoms/")</f>
        <v/>
      </c>
      <c r="G2884" t="inlineStr">
        <is>
          <t>2020-07-09 13:29:45</t>
        </is>
      </c>
      <c r="H2884" t="inlineStr">
        <is>
          <t>Presumed Positive - From Test</t>
        </is>
      </c>
    </row>
    <row r="2885">
      <c r="A2885" t="inlineStr">
        <is>
          <t>hob01e</t>
        </is>
      </c>
      <c r="B2885" t="inlineStr">
        <is>
          <t>Possibly Re-Infected 2 Months Later</t>
        </is>
      </c>
      <c r="C2885" t="inlineStr">
        <is>
          <t>Hi All. A bit of background...
Two months ago I tested positive, and while I was definitely sick for a few days, I felt pretty much recovered by Day 7. I was released after Day 10 and felt fine after that. I was even able to run and exercise on Day 9 with no problems. 
I had pretty mild symptoms like being tired and mild SOB on Days 1 &amp;amp; 2, but after that, just some body aches. 
Today I woke up with some lung pain after taking a deep breath - the first symptom I had when I tested positive - as long as being extremely exhausted, but I’ve been getting up early all week. I kind of disregarded it and went to work, but the pain didn’t go away and seemed to get a bit worse, so I went to Urgent Care to talk to them. Because of the lung pain and overall feeling of being unwell, they decided to test me and I’m awaiting results. 
I know the gained immunity from being sick is a bit unknown, and with how mild my symptoms were originally, I’ve always wondered if I developed antibody tests or not, but I was never tested. 
I understand some people feel sick for weeks on end, but that has not been my experience. The recurrence if possible symptoms is very new. 
Has anyone else experienced something like that? Did you end up being positive or negative?</t>
        </is>
      </c>
      <c r="D2885" t="n">
        <v>1</v>
      </c>
      <c r="E2885" t="n">
        <v>7</v>
      </c>
      <c r="F2885">
        <f>HYPERLINK("https://www.reddit.com/r/COVID19positive/comments/hob01e/possibly_reinfected_2_months_later/")</f>
        <v/>
      </c>
      <c r="G2885" t="inlineStr">
        <is>
          <t>2020-07-09 13:47:24</t>
        </is>
      </c>
      <c r="H2885" t="inlineStr">
        <is>
          <t>Tested Positive - Me</t>
        </is>
      </c>
    </row>
    <row r="2886">
      <c r="A2886" t="inlineStr">
        <is>
          <t>hoc1cr</t>
        </is>
      </c>
      <c r="B2886" t="inlineStr">
        <is>
          <t>Please help!!!</t>
        </is>
      </c>
      <c r="C2886" t="inlineStr">
        <is>
          <t>(21F), For the past week I have been getting really bad migraines, is there anything I can take that really works. Everything I’ve been trying to take doesn’t work. My head pounds all day. Please I need some recommendations.</t>
        </is>
      </c>
      <c r="D2886" t="n">
        <v>1</v>
      </c>
      <c r="E2886" t="n">
        <v>6</v>
      </c>
      <c r="F2886">
        <f>HYPERLINK("https://www.reddit.com/r/COVID19positive/comments/hoc1cr/please_help/")</f>
        <v/>
      </c>
      <c r="G2886" t="inlineStr">
        <is>
          <t>2020-07-09 14:43:44</t>
        </is>
      </c>
      <c r="H2886" t="inlineStr">
        <is>
          <t>Presumed Positive - From Test</t>
        </is>
      </c>
    </row>
    <row r="2887">
      <c r="A2887" t="inlineStr">
        <is>
          <t>hocb54</t>
        </is>
      </c>
      <c r="B2887" t="inlineStr">
        <is>
          <t>18 M Tested Today</t>
        </is>
      </c>
      <c r="C2887" t="inlineStr">
        <is>
          <t>Hi everyone, I just had a covid test today.
My symptoms are weird. I started staying home about a week ago, because I had this cough that was very subtle. Then this week I felt shortness of breath and that my chest was tight. At first I thought it was covid, but I had no fever, chills or anything. I went to the doctor today and I have a history of asthma and allergies. She had no idea what it was so she prescribed me two inhalers, a daily one and a rescue. She also did the covid test to be safe, probably will hear back in a week because labs are impacted. I’m waiting to pick up the inhalers, but I’ll let you know if I have any relief. I’m a healthy 18 year old male who worked out daily before this. I still feel healthy, but just have that annoying cough.  I also have had no direct contact with anyone, Family is showing no symptoms and some people I have seen are also showing no symptoms, as well. It’s been almost two weeks now since the coughing started.</t>
        </is>
      </c>
      <c r="D2887" t="n">
        <v>1</v>
      </c>
      <c r="E2887" t="n">
        <v>3</v>
      </c>
      <c r="F2887">
        <f>HYPERLINK("https://www.reddit.com/r/COVID19positive/comments/hocb54/18_m_tested_today/")</f>
        <v/>
      </c>
      <c r="G2887" t="inlineStr">
        <is>
          <t>2020-07-09 14:58:37</t>
        </is>
      </c>
      <c r="H2887" t="inlineStr">
        <is>
          <t>Presumed Positive - From Doctor</t>
        </is>
      </c>
    </row>
    <row r="2888">
      <c r="A2888" t="inlineStr">
        <is>
          <t>hocsa4</t>
        </is>
      </c>
      <c r="B2888" t="inlineStr">
        <is>
          <t>Horrible sore throat</t>
        </is>
      </c>
      <c r="C2888" t="inlineStr">
        <is>
          <t>I ended up going to urgent care today because I woke up with a horrible sore throat and the whole back of my neck was achy and sore. They tested me for strep but instead of swabbing the back of my throat the nurse swabbed the side of my tongue and never made it far enough to get my throat. I don’t understand it. Of course it came back negative: they then swabbed me for covid as a precaution. Told me to take allergy medicine and cough drops for my throat as if I haven’t been fucking doing that for two days now.
I followed up with my regular doctor for a second opinion who said it sounds just like strep and she called me in some antibiotics. She also said it very well could be COVID because it’s rampant in my state. I’m hoping they work because this is miserable.</t>
        </is>
      </c>
      <c r="D2888" t="n">
        <v>2</v>
      </c>
      <c r="E2888" t="n">
        <v>12</v>
      </c>
      <c r="F2888">
        <f>HYPERLINK("https://www.reddit.com/r/COVID19positive/comments/hocsa4/horrible_sore_throat/")</f>
        <v/>
      </c>
      <c r="G2888" t="inlineStr">
        <is>
          <t>2020-07-09 15:25:02</t>
        </is>
      </c>
      <c r="H2888" t="inlineStr">
        <is>
          <t>Presumed Positive - From Doctor</t>
        </is>
      </c>
    </row>
    <row r="2889">
      <c r="A2889" t="inlineStr">
        <is>
          <t>hodez9</t>
        </is>
      </c>
      <c r="B2889" t="inlineStr">
        <is>
          <t>Long Hauler here, day 131 - Looking for advice on treatments (Steroids).</t>
        </is>
      </c>
      <c r="C2889" t="inlineStr">
        <is>
          <t>Hi all, have posted a few times here in the earlyish days of my infection. Have checked in and out with my symptoms varying heavily.
My symptoms seem to worsen when I have a lack of sleep/rest. Particularly, my shortness of breath, sputum in the throat (I have found the need to clear the throat chronically), and even diarrhoea that starts up again when my symptoms worsen. Unfortunately, from what I believe is likely the neurological aspect of this disease - I am struggling to sleep VERY badly, and I immediately head into a 'relapse' after not sleeping. My G.P. prescribed me zopiclone and it has been very useful in aiding my recovery and keeping my symptoms at bay. However, recently, my G.P. has become very unhappy about prescribing me this drug due to it's addictive properties and I have now been left with nothing. I have expressed my discontent at this and have explained how essentially not sleeping is causing my health to deteriorate further.
I have also discussed what can be done to treat my symptoms now, and after reading about general success with dexamethasone in treating both critical patients in medical literature, and, anecdotal evidence from people in news articles and people in this community on reddit, I believe that the dexamethasone might be key to getting me back on track and alleviating my symptoms. When I have discussed this with my G.P. he has dismissed it and said that he can not prescribe that drug based on what some people on the internet have been saying etc. I understand his position from a clinical malpractice standpoint, but I'm going through a lot of pain and suffering at the moment after having another relapse. Alas, I have been given 3 more days of zopiclone as a kind of "Final" prescription, and have been given Nortriptiline to repace that and help me sleep afterwards (I'm a little skeptical about nortriptiline as I have had premature ventricular contractions in the past and understand it can induce cardiac arrythmias). I have a small amount of prednisolone from a previous condition laying around and I am considering trying a short-course of steroids to see if it will ease my symptoms.
If you are a fellow long-hauler (60 days+) and have had any experience with steroids, particularly dexamethasone or prednisolone, can you please share your experience with me as I am trying to collect enough information to present to my doctor before my condition deteriorates further.
**TL;DR:** Do you have any experience with Dexamethasone or Prednisolone in treating symptoms past day 60? If so, how much did you take and what is your situation now? Did symptoms worsen again after the course finished? And also, what experiences with sleeping medication does anyone have for COVID related insomnia?</t>
        </is>
      </c>
      <c r="D2889" t="n">
        <v>1</v>
      </c>
      <c r="E2889" t="n">
        <v>13</v>
      </c>
      <c r="F2889">
        <f>HYPERLINK("https://www.reddit.com/r/COVID19positive/comments/hodez9/long_hauler_here_day_131_looking_for_advice_on/")</f>
        <v/>
      </c>
      <c r="G2889" t="inlineStr">
        <is>
          <t>2020-07-09 16:01:01</t>
        </is>
      </c>
      <c r="H2889" t="inlineStr">
        <is>
          <t>Tested Positive - Me</t>
        </is>
      </c>
    </row>
    <row r="2890">
      <c r="A2890" t="inlineStr">
        <is>
          <t>hodfob</t>
        </is>
      </c>
      <c r="B2890" t="inlineStr">
        <is>
          <t>37M Officially “Recovered” after at least 113 days</t>
        </is>
      </c>
      <c r="C2890" t="inlineStr">
        <is>
          <t>I was testing positive up until day 90. Tested negative twice now via swab and tested negative for Antibodies twice (Abbott IgG test)
I still have symptoms I’m dealing with and my doctors are saying that it’s most likely post viral.
Does anyone else still have chest tightness? Slight shortness of breath and phlegm after more than 3 months? My Diastolic BP is also a little high now and my resting HR is a bit higher than it was before all this.
Pulmonologist said this was normal and it will take time for my lungs to fully heal, but I’m not sure I don’t still have virus somewhere left in my body.</t>
        </is>
      </c>
      <c r="D2890" t="n">
        <v>1</v>
      </c>
      <c r="E2890" t="n">
        <v>32</v>
      </c>
      <c r="F2890">
        <f>HYPERLINK("https://www.reddit.com/r/COVID19positive/comments/hodfob/37m_officially_recovered_after_at_least_113_days/")</f>
        <v/>
      </c>
      <c r="G2890" t="inlineStr">
        <is>
          <t>2020-07-09 16:02:07</t>
        </is>
      </c>
      <c r="H2890" t="inlineStr">
        <is>
          <t>Tested Positive - Me</t>
        </is>
      </c>
    </row>
    <row r="2891">
      <c r="A2891" t="inlineStr">
        <is>
          <t>hodumc</t>
        </is>
      </c>
      <c r="B2891" t="inlineStr">
        <is>
          <t>Dad was positive, but every other family member was negative?</t>
        </is>
      </c>
      <c r="C2891" t="inlineStr">
        <is>
          <t>My dad is a New York City school teacher and to no surprise, tested positive for covid-19 back in march. He had mild/no symptoms, and everyone else in the house tested negative multiple times including my 87 year old grandmother. Because of this, we all thought it must have been a false positive despite having a second test done and also coming back positive. Earlier today his antibody results came back and he tested positive for antibodies. 
My question is how is it possible to live in the same house as someone with this virus and not have a single person test positives? I suppose we could have had false negatives, however it seems unlikely considering 8 tests were done in total.</t>
        </is>
      </c>
      <c r="D2891" t="n">
        <v>1</v>
      </c>
      <c r="E2891" t="n">
        <v>6</v>
      </c>
      <c r="F2891">
        <f>HYPERLINK("https://www.reddit.com/r/COVID19positive/comments/hodumc/dad_was_positive_but_every_other_family_member/")</f>
        <v/>
      </c>
      <c r="G2891" t="inlineStr">
        <is>
          <t>2020-07-09 16:25:39</t>
        </is>
      </c>
      <c r="H2891" t="inlineStr">
        <is>
          <t>Tested Positive - Family</t>
        </is>
      </c>
    </row>
    <row r="2892">
      <c r="A2892" t="inlineStr">
        <is>
          <t>hoe352</t>
        </is>
      </c>
      <c r="B2892" t="inlineStr">
        <is>
          <t>Presumed positive by doctor - just wanted to share my symptoms/make a post to keep track</t>
        </is>
      </c>
      <c r="C2892" t="inlineStr">
        <is>
          <t>I live in a city with very limited testing rn but my doctor says I likely have corona (I tested negative for strep) 
About me - 17f, healthy/slightly underweight BMI, no conditions that would put me more at risk
Day 1 - extreme sore throat. I thought it was just a really bad hangover at first but that’s never happened to me before and I thought it was strange 
Day 2 - sore throat slightly increased but still bad. Became congested 
Day 3 - congestion got very bad. Sore throat almost gone 
Day 4 - congestion still very bad, sore throat came back a bit 
Day 5 - got mild body aches/chills. Congestion constant, sore throat slightly less bad
Overall I don’t feel horrible but could be better</t>
        </is>
      </c>
      <c r="D2892" t="n">
        <v>1</v>
      </c>
      <c r="E2892" t="n">
        <v>8</v>
      </c>
      <c r="F2892">
        <f>HYPERLINK("https://www.reddit.com/r/COVID19positive/comments/hoe352/presumed_positive_by_doctor_just_wanted_to_share/")</f>
        <v/>
      </c>
      <c r="G2892" t="inlineStr">
        <is>
          <t>2020-07-09 16:39:18</t>
        </is>
      </c>
      <c r="H2892" t="inlineStr">
        <is>
          <t>Presumed Positive - From Doctor</t>
        </is>
      </c>
    </row>
    <row r="2893">
      <c r="A2893" t="inlineStr">
        <is>
          <t>hoe54p</t>
        </is>
      </c>
      <c r="B2893" t="inlineStr">
        <is>
          <t>Should I Isolate?</t>
        </is>
      </c>
      <c r="C2893" t="inlineStr">
        <is>
          <t>I'm starting my new job on Monday at a summer camp. 
It was just brought to my attention that someone who works on the same job site as my boyfriend has been in close contact with a positive COVID-19 case (they also happen to be friends). However, they do not work near each other (my bf is an electrician and his friend is an engineer) and have only communicated outside from a far distance (he claims more than 6ft) and his friend always wears a mask. He is going to get a test right now.
Should I isolate? Do I stop seeing my boyfriend? Do I go to work? My boyfriend swears he hasn't been anywhere near his friend and they work on a huge job site. My mind is just jumping to worst case scenarios.</t>
        </is>
      </c>
      <c r="D2893" t="n">
        <v>1</v>
      </c>
      <c r="E2893" t="n">
        <v>4</v>
      </c>
      <c r="F2893">
        <f>HYPERLINK("https://www.reddit.com/r/COVID19positive/comments/hoe54p/should_i_isolate/")</f>
        <v/>
      </c>
      <c r="G2893" t="inlineStr">
        <is>
          <t>2020-07-09 16:42:44</t>
        </is>
      </c>
      <c r="H2893" t="inlineStr">
        <is>
          <t>Tested Positive - Friends</t>
        </is>
      </c>
    </row>
    <row r="2894">
      <c r="A2894" t="inlineStr">
        <is>
          <t>hoe60w</t>
        </is>
      </c>
      <c r="B2894" t="inlineStr">
        <is>
          <t>Requesting help</t>
        </is>
      </c>
      <c r="C2894" t="inlineStr">
        <is>
          <t>I started feeling ill June 19, I got tested 2 days later and June 26 it was confirmed as positive test. My symptoms started as diarrhea , nausea , fever , body aches, chills.
Around june 28 or 29 I started feeling better and eating. A couple days later I got significantly worse in that I had intense , intense nausea and anxiety (had what I would describe as panic attacks). Have not gone to ER but really am thinking I should now.
I started taking Zofran and stopped a few days later because my mom thought it was contributing to my near panic attacks. However,  I am still extremely anxious (I've never been an anxious person so this is the only way I can describe it).
Right now the anxiety is extreme,  i have low blood pressure and lightheadedness.
I want to say I dont have breathing issues but sometimes I feel that I might.
I've never had bouts or crying like this my entire life and I started praying and reading the bible.
Does anyone have any words of wisdom or things they recommend ? This is one of the worst periods of my life from this</t>
        </is>
      </c>
      <c r="D2894" t="n">
        <v>1</v>
      </c>
      <c r="E2894" t="n">
        <v>30</v>
      </c>
      <c r="F2894">
        <f>HYPERLINK("https://www.reddit.com/r/COVID19positive/comments/hoe60w/requesting_help/")</f>
        <v/>
      </c>
      <c r="G2894" t="inlineStr">
        <is>
          <t>2020-07-09 16:44:17</t>
        </is>
      </c>
      <c r="H2894" t="inlineStr">
        <is>
          <t>Tested Positive - Me</t>
        </is>
      </c>
    </row>
    <row r="2895">
      <c r="A2895" t="inlineStr">
        <is>
          <t>hoea0y</t>
        </is>
      </c>
      <c r="B2895" t="inlineStr">
        <is>
          <t>How many more days should I wait out</t>
        </is>
      </c>
      <c r="C2895" t="inlineStr">
        <is>
          <t>My best friend that helped me move about 3 weeks ago felt symptoms on sunday.
I had a bad muscle ache but thought it was mi diabities acting up. Wife about 2 days later on June 30th took my termperture and I had 101 F or 38.5 fever.
Took plenty of acetominophen and 2 days later it dropped to 37 c or 99 F. Took also other meds that my friend that is a doctor recomended iver the phone. I have had a bit of a dry cough but no issues breathing. I lost my will to eat buy am eating full meals now. I am in a 3rd world country where treatment is poor and there are no hospitals bed left. In Panama there are 40,000 cases and we are only 3.5 million people.
How many days should I stay home. Wife got sick also but her feaver wont drop from 38 degrees but she can breath and has no cough.</t>
        </is>
      </c>
      <c r="D2895" t="n">
        <v>1</v>
      </c>
      <c r="E2895" t="n">
        <v>3</v>
      </c>
      <c r="F2895">
        <f>HYPERLINK("https://www.reddit.com/r/COVID19positive/comments/hoea0y/how_many_more_days_should_i_wait_out/")</f>
        <v/>
      </c>
      <c r="G2895" t="inlineStr">
        <is>
          <t>2020-07-09 16:51:06</t>
        </is>
      </c>
      <c r="H2895" t="inlineStr">
        <is>
          <t>Presumed Positive - From Test</t>
        </is>
      </c>
    </row>
    <row r="2896">
      <c r="A2896" t="inlineStr">
        <is>
          <t>hoee76</t>
        </is>
      </c>
      <c r="B2896" t="inlineStr">
        <is>
          <t>How long did it take you to test negative?</t>
        </is>
      </c>
      <c r="C2896" t="inlineStr">
        <is>
          <t>I’m getting retested tomorrow after testing positive on the 30th. I was only getting tested because i was supposed to have surgery. I have no symptoms at all and i’m just wondering if i’m gonna test negative tomorrow. So how long did it take you to test negative?</t>
        </is>
      </c>
      <c r="D2896" t="n">
        <v>1</v>
      </c>
      <c r="E2896" t="n">
        <v>9</v>
      </c>
      <c r="F2896">
        <f>HYPERLINK("https://www.reddit.com/r/COVID19positive/comments/hoee76/how_long_did_it_take_you_to_test_negative/")</f>
        <v/>
      </c>
      <c r="G2896" t="inlineStr">
        <is>
          <t>2020-07-09 16:58:12</t>
        </is>
      </c>
      <c r="H2896" t="inlineStr">
        <is>
          <t>Tested Positive - Me</t>
        </is>
      </c>
    </row>
    <row r="2897">
      <c r="A2897" t="inlineStr">
        <is>
          <t>hoeo9t</t>
        </is>
      </c>
      <c r="B2897" t="inlineStr">
        <is>
          <t>Any tips for managing shortness of breath?</t>
        </is>
      </c>
      <c r="C2897" t="inlineStr">
        <is>
          <t>Day 9 today and while I have more energy, I'm having a much more difficult time breathing. My oxygen level is still good (96-98 on the oxomiter) but I feel like I'm having an asthma attack. The albuterol didn't really help much? Has anyone tried anything that worked to relieve the symptom at all? (awaiting test results, presumed positive)</t>
        </is>
      </c>
      <c r="D2897" t="n">
        <v>1</v>
      </c>
      <c r="E2897" t="n">
        <v>10</v>
      </c>
      <c r="F2897">
        <f>HYPERLINK("https://www.reddit.com/r/COVID19positive/comments/hoeo9t/any_tips_for_managing_shortness_of_breath/")</f>
        <v/>
      </c>
      <c r="G2897" t="inlineStr">
        <is>
          <t>2020-07-09 17:15:11</t>
        </is>
      </c>
      <c r="H2897" t="inlineStr">
        <is>
          <t>Presumed Positive - From Doctor</t>
        </is>
      </c>
    </row>
    <row r="2898">
      <c r="A2898" t="inlineStr">
        <is>
          <t>hofj9i</t>
        </is>
      </c>
      <c r="B2898" t="inlineStr">
        <is>
          <t>Tested negative on PCR-TEST but X-Rays showed possible pneumonia</t>
        </is>
      </c>
      <c r="C2898" t="inlineStr">
        <is>
          <t>My symptoms started with fever (99.5-101.00), diarrhea, mild and muscle aches the first 3-4days. Day5,6,7 no symptoms. Day8-11 had GI Issues and mild discomfort on chest. Day12-15 only mild discomfort on chest. Day 16 I had only one water stool bowel movement and my discomfort on chest kinda increased in pain. Day 18 went to gastroenterologist and he assumes is covid. We did general blood, urine and stool test to ruled out any other viruses, bacteria or parasites, and everything seems fine with my lab tests. My X-ray looks generally fine but an irregular density on right Lung possible Pneumonia. CT Scan was done today to confirm so waiting for results... My covid test NASAL swab PCR test came out negative, so Im doing antibodies IGM to IGG next week to confirm. Any of you guys had these similarities?</t>
        </is>
      </c>
      <c r="D2898" t="n">
        <v>1</v>
      </c>
      <c r="E2898" t="n">
        <v>11</v>
      </c>
      <c r="F2898">
        <f>HYPERLINK("https://www.reddit.com/r/COVID19positive/comments/hofj9i/tested_negative_on_pcrtest_but_xrays_showed/")</f>
        <v/>
      </c>
      <c r="G2898" t="inlineStr">
        <is>
          <t>2020-07-09 18:09:43</t>
        </is>
      </c>
      <c r="H2898" t="inlineStr">
        <is>
          <t>Presumed Positive - From Doctor</t>
        </is>
      </c>
    </row>
    <row r="2899">
      <c r="A2899" t="inlineStr">
        <is>
          <t>hog58z</t>
        </is>
      </c>
      <c r="B2899" t="inlineStr">
        <is>
          <t>Son positive. Exposed my husband who has diabetes.</t>
        </is>
      </c>
      <c r="C2899" t="inlineStr">
        <is>
          <t>My 16 year old son was exposed 10 days ago.  He didn’t show any symptoms but he slept a ton for a week.  My 14 year old started running a fever and had shortness of breath on Monday.  He tested positive.  I have a 12 year old that is coughing.  I know they will all be okay.  I trust I will be okay if I get ill too. But my husband is 49, obese and diabetic.  His diabetes is well controlled, but I am totally freaked out.  The media makes obesity and diabetes sound like death sentences.</t>
        </is>
      </c>
      <c r="D2899" t="n">
        <v>1</v>
      </c>
      <c r="E2899" t="n">
        <v>36</v>
      </c>
      <c r="F2899">
        <f>HYPERLINK("https://www.reddit.com/r/COVID19positive/comments/hog58z/son_positive_exposed_my_husband_who_has_diabetes/")</f>
        <v/>
      </c>
      <c r="G2899" t="inlineStr">
        <is>
          <t>2020-07-09 18:49:13</t>
        </is>
      </c>
      <c r="H2899" t="inlineStr">
        <is>
          <t>Tested Positive - Family</t>
        </is>
      </c>
    </row>
    <row r="2900">
      <c r="A2900" t="inlineStr">
        <is>
          <t>hog6il</t>
        </is>
      </c>
      <c r="B2900" t="inlineStr">
        <is>
          <t>Period changes</t>
        </is>
      </c>
      <c r="C2900" t="inlineStr">
        <is>
          <t>Wondering if any females that have tested positive have noticed heavy clots during their period that they never had before?</t>
        </is>
      </c>
      <c r="D2900" t="n">
        <v>1</v>
      </c>
      <c r="E2900" t="n">
        <v>8</v>
      </c>
      <c r="F2900">
        <f>HYPERLINK("https://www.reddit.com/r/COVID19positive/comments/hog6il/period_changes/")</f>
        <v/>
      </c>
      <c r="G2900" t="inlineStr">
        <is>
          <t>2020-07-09 18:51:32</t>
        </is>
      </c>
      <c r="H2900" t="inlineStr">
        <is>
          <t>Tested Positive - Me</t>
        </is>
      </c>
    </row>
    <row r="2901">
      <c r="A2901" t="inlineStr">
        <is>
          <t>hog7wt</t>
        </is>
      </c>
      <c r="B2901" t="inlineStr">
        <is>
          <t>Poll - On which day after suspected exposure, did you experience your first symptom (and eventually tested positive) ?</t>
        </is>
      </c>
      <c r="C2901" t="inlineStr">
        <is>
          <t>Sorry have only 7 options, so had to club as many as together considering common 14 days window and to see potential outliers.
I believe knowing this could be helpful to those who are aware about their confirmed exposure to someone with covid - like met a friend, he/she turns out positive. Then within how many days you are likely to show symptom if you were exposed - while 14 is normal window, knowing a distribution could be helpful.
Note:
1. Please don't vote if you were not tested positive
2. Results are not shown to others including myself until end of the poll
Request :
Poll will be active for 7 days by default. But from past polls, I have observed that, **after 2-3 days almost no one enters because probably nobody finds it.** Had requested reddit to have separate section within sub to show active polls so people can go and vote till it is live, but no idea if they will do that change.
***So request everyone reading or voting for next 7 days, please help to reach as many folks as possible in this sub. More the votes, better the insights would be.***
&amp;amp;#x200B;
[View Poll](https://www.reddit.com/poll/hog7wt)</t>
        </is>
      </c>
      <c r="D2901" t="n">
        <v>2</v>
      </c>
      <c r="E2901" t="n">
        <v>8</v>
      </c>
      <c r="F2901">
        <f>HYPERLINK("https://www.reddit.com/r/COVID19positive/comments/hog7wt/poll_on_which_day_after_suspected_exposure_did/")</f>
        <v/>
      </c>
      <c r="G2901" t="inlineStr">
        <is>
          <t>2020-07-09 18:54:04</t>
        </is>
      </c>
      <c r="H2901" t="inlineStr">
        <is>
          <t>Tested Positive</t>
        </is>
      </c>
    </row>
    <row r="2902">
      <c r="A2902" t="inlineStr">
        <is>
          <t>hogpwv</t>
        </is>
      </c>
      <c r="B2902" t="inlineStr">
        <is>
          <t>My mother, 57, Tx, tested positive. Has anyone had similar symptoms...</t>
        </is>
      </c>
      <c r="C2902" t="inlineStr">
        <is>
          <t>My mother started feeling ill Monday night and tonight is her 3rd day with a bad fever and body aches. She had slight chest pressure that has gone away after the first night, but mainly she is experiencing body aches and fever. Also, she has developed a cough today, the 3rd night.
Has anyone else experienced similar symptoms ? I am getting a bit nervous because she is starting to get emotional because she feels so bad. Any advice or stories would really help. Thank you. 
We have been treating her as if she has the flu. She has an oximeter, so we are monitoring her oxygen levels.</t>
        </is>
      </c>
      <c r="D2902" t="n">
        <v>1</v>
      </c>
      <c r="E2902" t="n">
        <v>11</v>
      </c>
      <c r="F2902">
        <f>HYPERLINK("https://www.reddit.com/r/COVID19positive/comments/hogpwv/my_mother_57_tx_tested_positive_has_anyone_had/")</f>
        <v/>
      </c>
      <c r="G2902" t="inlineStr">
        <is>
          <t>2020-07-09 19:25:54</t>
        </is>
      </c>
      <c r="H2902" t="inlineStr">
        <is>
          <t>Tested Positive - Family</t>
        </is>
      </c>
    </row>
    <row r="2903">
      <c r="A2903" t="inlineStr">
        <is>
          <t>hoh11w</t>
        </is>
      </c>
      <c r="B2903" t="inlineStr">
        <is>
          <t>Am I still contagious?</t>
        </is>
      </c>
      <c r="C2903" t="inlineStr">
        <is>
          <t>I tested positive 6/17 and felt better by 6/30 but still have shortness of breath. Am I still contagious? I've asked but don't get a straight answer...</t>
        </is>
      </c>
      <c r="D2903" t="n">
        <v>1</v>
      </c>
      <c r="E2903" t="n">
        <v>29</v>
      </c>
      <c r="F2903">
        <f>HYPERLINK("https://www.reddit.com/r/COVID19positive/comments/hoh11w/am_i_still_contagious/")</f>
        <v/>
      </c>
      <c r="G2903" t="inlineStr">
        <is>
          <t>2020-07-09 19:46:16</t>
        </is>
      </c>
      <c r="H2903" t="inlineStr">
        <is>
          <t>Tested Positive - Me</t>
        </is>
      </c>
    </row>
    <row r="2904">
      <c r="A2904" t="inlineStr">
        <is>
          <t>hoh2mp</t>
        </is>
      </c>
      <c r="B2904" t="inlineStr">
        <is>
          <t>Need to take a test ASAP</t>
        </is>
      </c>
      <c r="C2904" t="inlineStr">
        <is>
          <t>Hi,
TLDR: close contact with someone who just tested positive, need to get tested myself ASAP. I live in the bay area of California.
Sorry if this needs to be posted somewhere else but I was hoping for some advice/help. My girlfriend decided to have some family members come over on saturday for her birthday and her boyfriend and his girlfriend just got diagnosed as positive for covd today and started showing symptoms monday apparently. Not sure why they took so long. I immediately told my supervisor and left work, i am not showing any symptoms or have a temperature but i do not want to risk anyone else's health. 
I also have an underlying condition, ulcerative colitis, and apparently the pills i take (mesalamine) raise the mortality and hospitalization rate of covid. So I do not want to wait at all to get tested. Does anyone know where I might be able to get tested without a long waiting period in the bay area in CA?Antioch/concord/walnut creek specifically.</t>
        </is>
      </c>
      <c r="D2904" t="n">
        <v>1</v>
      </c>
      <c r="E2904" t="n">
        <v>7</v>
      </c>
      <c r="F2904">
        <f>HYPERLINK("https://www.reddit.com/r/COVID19positive/comments/hoh2mp/need_to_take_a_test_asap/")</f>
        <v/>
      </c>
      <c r="G2904" t="inlineStr">
        <is>
          <t>2020-07-09 19:49:18</t>
        </is>
      </c>
      <c r="H2904" t="inlineStr">
        <is>
          <t>Tested Positive - Friends</t>
        </is>
      </c>
    </row>
    <row r="2905">
      <c r="A2905" t="inlineStr">
        <is>
          <t>hoh5f9</t>
        </is>
      </c>
      <c r="B2905" t="inlineStr">
        <is>
          <t>How long did it take to get IgG test results?</t>
        </is>
      </c>
      <c r="C2905" t="inlineStr">
        <is>
          <t>I had blood drawn last week and was told I’d have results by Wed.  Is it normal for these tests to run long?</t>
        </is>
      </c>
      <c r="D2905" t="n">
        <v>1</v>
      </c>
      <c r="E2905" t="n">
        <v>3</v>
      </c>
      <c r="F2905">
        <f>HYPERLINK("https://www.reddit.com/r/COVID19positive/comments/hoh5f9/how_long_did_it_take_to_get_igg_test_results/")</f>
        <v/>
      </c>
      <c r="G2905" t="inlineStr">
        <is>
          <t>2020-07-09 19:54:35</t>
        </is>
      </c>
      <c r="H2905" t="inlineStr">
        <is>
          <t>Tested Positive - Family</t>
        </is>
      </c>
    </row>
    <row r="2906">
      <c r="A2906" t="inlineStr">
        <is>
          <t>hohjld</t>
        </is>
      </c>
      <c r="B2906" t="inlineStr">
        <is>
          <t>I'm not a doctor but I do not recommend people relying on phone apps to monitor their oxygen levels. Please if you can get a pulse oximeter online or at store.</t>
        </is>
      </c>
      <c r="C2906" t="inlineStr">
        <is>
          <t>Just my opinion. I don't think we should rely on phone apps for vitals.</t>
        </is>
      </c>
      <c r="D2906" t="n">
        <v>1</v>
      </c>
      <c r="E2906" t="n">
        <v>97</v>
      </c>
      <c r="F2906">
        <f>HYPERLINK("https://www.reddit.com/r/COVID19positive/comments/hohjld/im_not_a_doctor_but_i_do_not_recommend_people/")</f>
        <v/>
      </c>
      <c r="G2906" t="inlineStr">
        <is>
          <t>2020-07-09 20:21:50</t>
        </is>
      </c>
      <c r="H2906" t="inlineStr">
        <is>
          <t>Tested Positive - Me</t>
        </is>
      </c>
    </row>
    <row r="2907">
      <c r="A2907" t="inlineStr">
        <is>
          <t>hohr5y</t>
        </is>
      </c>
      <c r="B2907" t="inlineStr">
        <is>
          <t>Positive igg today!</t>
        </is>
      </c>
      <c r="C2907" t="inlineStr">
        <is>
          <t>Today I tested positive on my igg antibody test, negative for igm. The weird thing is I have had 2 pcr swabs while sick and both came back negative, June 19 and July 1. I had symptoms starting June 15 til about July 4th. I took my kids in for antibody tests and they both tested negative for both antibodies. Any thoughts on this? I was really hoping they had them even though they haven’t shown any symptoms. We all had bad uri’s and the kids had pneumonia in the spring.</t>
        </is>
      </c>
      <c r="D2907" t="n">
        <v>1</v>
      </c>
      <c r="E2907" t="n">
        <v>3</v>
      </c>
      <c r="F2907">
        <f>HYPERLINK("https://www.reddit.com/r/COVID19positive/comments/hohr5y/positive_igg_today/")</f>
        <v/>
      </c>
      <c r="G2907" t="inlineStr">
        <is>
          <t>2020-07-09 20:36:59</t>
        </is>
      </c>
      <c r="H2907" t="inlineStr">
        <is>
          <t>Presumed Positive - From Doctor</t>
        </is>
      </c>
    </row>
    <row r="2908">
      <c r="A2908" t="inlineStr">
        <is>
          <t>hohsfc</t>
        </is>
      </c>
      <c r="B2908" t="inlineStr">
        <is>
          <t>High resting heart rate</t>
        </is>
      </c>
      <c r="C2908" t="inlineStr">
        <is>
          <t>24M here, So it’s been about 5 days since I’ve had symptoms and 10 since I had a fever, I’ve felt pretty great but earlier tonight I walked around outside in the 80 degree weather for about two hours and my heart rate will not drop under 90bpm now even hours later. My normal testing heart rate is 55-62bpm, although this is the first time I’ve been up and out in about two weeks, is this abnormal?</t>
        </is>
      </c>
      <c r="D2908" t="n">
        <v>1</v>
      </c>
      <c r="E2908" t="n">
        <v>17</v>
      </c>
      <c r="F2908">
        <f>HYPERLINK("https://www.reddit.com/r/COVID19positive/comments/hohsfc/high_resting_heart_rate/")</f>
        <v/>
      </c>
      <c r="G2908" t="inlineStr">
        <is>
          <t>2020-07-09 20:39:29</t>
        </is>
      </c>
      <c r="H2908" t="inlineStr">
        <is>
          <t>Tested Positive - Me</t>
        </is>
      </c>
    </row>
    <row r="2909">
      <c r="A2909" t="inlineStr">
        <is>
          <t>hohuis</t>
        </is>
      </c>
      <c r="B2909" t="inlineStr">
        <is>
          <t>Yep... I feel like I’m dying now</t>
        </is>
      </c>
      <c r="C2909" t="inlineStr">
        <is>
          <t>Two days in a row I had to hold back my very large and healthy roommate from his girlfriend.
Now that I had to summon everything in me to put him in a lock while she escaped... yeah... I feel like I’m dying.
Felt like I literally had a heart attack... on the bright side she’s safe and sound.
This is gonna be one long recovery at this rate...</t>
        </is>
      </c>
      <c r="D2909" t="n">
        <v>1</v>
      </c>
      <c r="E2909" t="n">
        <v>8</v>
      </c>
      <c r="F2909">
        <f>HYPERLINK("https://www.reddit.com/r/COVID19positive/comments/hohuis/yep_i_feel_like_im_dying_now/")</f>
        <v/>
      </c>
      <c r="G2909" t="inlineStr">
        <is>
          <t>2020-07-09 20:43:38</t>
        </is>
      </c>
      <c r="H2909" t="inlineStr">
        <is>
          <t>Presumed Positive - From Test</t>
        </is>
      </c>
    </row>
    <row r="2910">
      <c r="A2910" t="inlineStr">
        <is>
          <t>hoits9</t>
        </is>
      </c>
      <c r="B2910" t="inlineStr">
        <is>
          <t>i’m pissed</t>
        </is>
      </c>
      <c r="C2910" t="inlineStr">
        <is>
          <t>so i haven’t been social distancing but out of all the ways I got exposed I got exposed in such an awful way. I have this friend and we haven’t talked in two weeks so I pulled up to his house to say hi. He gets in my car and hugs me. an hour after I hang out wit him I get a call that he is positive and that he went to get a test yesterday. IM SORRY WHAT. turns out the kid knew that he was exposed for the past week. when i got that call today my anxiety went through the roof. he never told me that he had been exposed or tested and hopped in my car. i know i wasn’t rlly social distancing but i wouldn’t have come to his house if he told me that he was exposed and got tested. I’m getting tested tmo morning. currently quarantining myself.</t>
        </is>
      </c>
      <c r="D2910" t="n">
        <v>1</v>
      </c>
      <c r="E2910" t="n">
        <v>9</v>
      </c>
      <c r="F2910">
        <f>HYPERLINK("https://www.reddit.com/r/COVID19positive/comments/hoits9/im_pissed/")</f>
        <v/>
      </c>
      <c r="G2910" t="inlineStr">
        <is>
          <t>2020-07-09 21:55:45</t>
        </is>
      </c>
      <c r="H2910" t="inlineStr">
        <is>
          <t>Presumed Positive - From Test</t>
        </is>
      </c>
    </row>
    <row r="2911">
      <c r="A2911" t="inlineStr">
        <is>
          <t>hoj2hk</t>
        </is>
      </c>
      <c r="B2911" t="inlineStr">
        <is>
          <t>I’m not having any symptoms.</t>
        </is>
      </c>
      <c r="C2911" t="inlineStr">
        <is>
          <t>It’s weird and I’m trying to find out if this is normal. I got tested just to know if I had it and I did. The only symptom I’m having is just a bit of phlegm that’s in my throat (I do smoke) but that’s it. Sometimes if I play with my dog too much I get short of breath easily (but that could be the cigarettes.) what’s also weird if my SO doesn’t have it and neither does my mother who I’ve had enormous contact with. It seems they both should have it if I do. The lost person I had contact with was a friend a who came over at the beginning of June and my SO does all the shopping. I’m confused. Is it possible to have a false positive?</t>
        </is>
      </c>
      <c r="D2911" t="n">
        <v>1</v>
      </c>
      <c r="E2911" t="n">
        <v>5</v>
      </c>
      <c r="F2911">
        <f>HYPERLINK("https://www.reddit.com/r/COVID19positive/comments/hoj2hk/im_not_having_any_symptoms/")</f>
        <v/>
      </c>
      <c r="G2911" t="inlineStr">
        <is>
          <t>2020-07-09 22:14:19</t>
        </is>
      </c>
      <c r="H2911" t="inlineStr">
        <is>
          <t>Tested Positive</t>
        </is>
      </c>
    </row>
    <row r="2912">
      <c r="A2912" t="inlineStr">
        <is>
          <t>hojdrl</t>
        </is>
      </c>
      <c r="B2912" t="inlineStr">
        <is>
          <t>Question for other positive cases..</t>
        </is>
      </c>
      <c r="C2912" t="inlineStr">
        <is>
          <t>Im sorry if ive posted here a lot. I really just like talking to people who know or have more insight. 
I tested positive the 7th have been having mild symptoms since the 3rd-4th. My question to other positive cases is.. have your symptoms started out mild and get worse? Im worried that since its mild it may get worse. Also, what helped you recover to those survivors?
I know everyone is different but any information is helpful</t>
        </is>
      </c>
      <c r="D2912" t="n">
        <v>1</v>
      </c>
      <c r="E2912" t="n">
        <v>12</v>
      </c>
      <c r="F2912">
        <f>HYPERLINK("https://www.reddit.com/r/COVID19positive/comments/hojdrl/question_for_other_positive_cases/")</f>
        <v/>
      </c>
      <c r="G2912" t="inlineStr">
        <is>
          <t>2020-07-09 22:39:45</t>
        </is>
      </c>
      <c r="H2912" t="inlineStr">
        <is>
          <t>Tested Positive - Me</t>
        </is>
      </c>
    </row>
    <row r="2913">
      <c r="A2913" t="inlineStr">
        <is>
          <t>hojjom</t>
        </is>
      </c>
      <c r="B2913" t="inlineStr">
        <is>
          <t>Neurological Symptoms During Recovery?</t>
        </is>
      </c>
      <c r="C2913" t="inlineStr">
        <is>
          <t>Hello everyone! First and foremost, I hope you're all doing well. As indicated by the title, has anyone that has tested positive for COVID-19 with mild to severe symptoms experience any sort of neurological symptoms such as loss of taste/smell, fatigue, headache, pressure, migraine, or dizziness during their experience and recovery process? 
I recently went to the doctor about 3 months after possible exposure, and the doctor judged me as a presumed positive. I was in contact with family members who have tested positive for COVID-19 and experienced the many symptoms it comes with. In the first 6 weeks, I experienced the typical symptoms: constant dry cough, muscle aches, low-grade fevers, chills, and headaches. After the coughing stopped, gradually everything else stopped. However, I developed a sort of dizziness that has been going on for 4+ weeks since I stopped coughing. The first two weeks were severe dizziness, but now in these past two weeks, it's decreased immensely and resulted in pressure in my forehead area and slight dizziness here and there. 
Has anyone been experiencing symptoms similar to this? If so, how long have you been dealing with it or have dealt with it?</t>
        </is>
      </c>
      <c r="D2913" t="n">
        <v>1</v>
      </c>
      <c r="E2913" t="n">
        <v>9</v>
      </c>
      <c r="F2913">
        <f>HYPERLINK("https://www.reddit.com/r/COVID19positive/comments/hojjom/neurological_symptoms_during_recovery/")</f>
        <v/>
      </c>
      <c r="G2913" t="inlineStr">
        <is>
          <t>2020-07-09 22:53:32</t>
        </is>
      </c>
      <c r="H2913" t="inlineStr">
        <is>
          <t>Presumed Positive - From Doctor</t>
        </is>
      </c>
    </row>
    <row r="2914">
      <c r="A2914" t="inlineStr">
        <is>
          <t>hokldc</t>
        </is>
      </c>
      <c r="B2914" t="inlineStr">
        <is>
          <t>What are your headaches like?</t>
        </is>
      </c>
      <c r="C2914" t="inlineStr">
        <is>
          <t>Okay so let’s see if I can get this all out clearly. 
I didn’t think I had covid. I was actually tested today and it came back negative. 3 others who I was in close contact with and actually shared a microphone with came back positive.
I feel like shit. I’ve been dealing with this burning headache since Saturday. I’ve also had body aches and a sore throat with slight congestion. I deal with migraines so I didn’t think to much about it but this has been like no other. Fatigue is there but I’m a sleepy girl so it’s not uncommon for me to fall asleep randomly. 
The 3 people who came back positive this week all had symptoms of allergies, bad headaches, fatigue, body aches, some had stomach issues also. So is there suck a thing as a false negative? I’ve never had a headache like this. Nothing really touches it, I’ll take Tylenol or excedrin and it does nothing. Anyone else experience this?</t>
        </is>
      </c>
      <c r="D2914" t="n">
        <v>1</v>
      </c>
      <c r="E2914" t="n">
        <v>11</v>
      </c>
      <c r="F2914">
        <f>HYPERLINK("https://www.reddit.com/r/COVID19positive/comments/hokldc/what_are_your_headaches_like/")</f>
        <v/>
      </c>
      <c r="G2914" t="inlineStr">
        <is>
          <t>2020-07-10 00:24:23</t>
        </is>
      </c>
      <c r="H2914" t="inlineStr">
        <is>
          <t>Tested Positive - Friends</t>
        </is>
      </c>
    </row>
    <row r="2915">
      <c r="A2915" t="inlineStr">
        <is>
          <t>hokpi0</t>
        </is>
      </c>
      <c r="B2915" t="inlineStr">
        <is>
          <t>18 Year Old Symptom Progression</t>
        </is>
      </c>
      <c r="C2915" t="inlineStr">
        <is>
          <t>I’m 18/M, 155 pounds, 5’11, very active. I have been participating in football practice and in my job all summer. I do vape. Posting this for people curious about how it affects young people. 
Friday - Sunday 6/26-28: I worked all three days 8-6 helping customers and running the cashier. I also attended get to together on friday. 
Monday 6/29: I woke up feeling like shit, had lots of mucous in throat and was very sluggish. I attended a football practice at 1:00, where I was spitting up mucous the entire time, and very tired. Post-practice I traveled home and immediately fell asleep in my car for two hours. I then moved inside to once again fall asleep at 6:00 to the following day. 
Tuesday 6/30: I woke up with a headache, nausea, and tiredness. I then proceeded to take a test that day for covid-19. Tuesday I began my self-isolation. Fell asleep very early. I tested my temperature multiple times and never once had a fever throughout my infection. As well as good oxygen levels. 
Wednesday 6/31: My mother scheduled a doctors appointment for me to get tested for strep, even though I didn’t have a sore through, she forced me to go. I went to the doctors appointment where they confirmed that I didn’t have strep (told you mom). I went and ate lunch after and noticed I couldn’t taste anything, however I could smell. This is where I realized I could have covid. This only lasted for a couple of hours. I had a large headache anytime I moved my head, and had a lot of fatigue. Fell asleep early once again. 
Thursday 7/1: I developed a cough that presented itself very rarely, and was not bad at all. My headaches were still constant but lightened up. Fell asleep early once again. I also had muscle pain whenever I used a muscle too much. 
Friday 7/2: Friday’s symptoms were very similar to the previous days however the headaches lightened once again. 
Saturday 7/3: Received results early morning that I had tested positive. Symptoms were basically gone by then however, headache was still there. 
Sunday 7/4 - Thursday 7/9: Throughout these days I have had basically no symptoms besides a cough and sometimes sneezes or a light headaches. Thursday I took a rapid test to see if I was negative and hopefully return to work soon. 
Take-away: I did have symptoms, however they were very minimal. The experience was less than a common cold, and I’m hoping to donate plasma to others who were not as fortunate as me. 
Open to questions!</t>
        </is>
      </c>
      <c r="D2915" t="n">
        <v>1</v>
      </c>
      <c r="E2915" t="n">
        <v>8</v>
      </c>
      <c r="F2915">
        <f>HYPERLINK("https://www.reddit.com/r/COVID19positive/comments/hokpi0/18_year_old_symptom_progression/")</f>
        <v/>
      </c>
      <c r="G2915" t="inlineStr">
        <is>
          <t>2020-07-10 00:34:39</t>
        </is>
      </c>
      <c r="H2915" t="inlineStr">
        <is>
          <t>Tested Positive - Me</t>
        </is>
      </c>
    </row>
    <row r="2916">
      <c r="A2916" t="inlineStr">
        <is>
          <t>hom06p</t>
        </is>
      </c>
      <c r="B2916" t="inlineStr">
        <is>
          <t>What do I do while I wait for my results?</t>
        </is>
      </c>
      <c r="C2916" t="inlineStr">
        <is>
          <t>I finally got my covid test today. It really wasn't that bad, I freaked out for nothing. My symptoms are very mild. Just a sore throat, headache, shortness of breath and a occasional cough. I'm also a 21F. I don't have a chronic illness, but my brother does. He has cerebral palsy. It'll take 7-10 days before I get my results and I'm not sure what to do between now and then. Do I quarantine myself in my room? Because I share a room with my sister. Or do I go to a hospital until then? My mom suggested a hotel room, but a hotel room for 10 days is pricey.</t>
        </is>
      </c>
      <c r="D2916" t="n">
        <v>1</v>
      </c>
      <c r="E2916" t="n">
        <v>11</v>
      </c>
      <c r="F2916">
        <f>HYPERLINK("https://www.reddit.com/r/COVID19positive/comments/hom06p/what_do_i_do_while_i_wait_for_my_results/")</f>
        <v/>
      </c>
      <c r="G2916" t="inlineStr">
        <is>
          <t>2020-07-10 02:36:20</t>
        </is>
      </c>
      <c r="H2916" t="inlineStr">
        <is>
          <t>Presumed Positive - From Test</t>
        </is>
      </c>
    </row>
    <row r="2917">
      <c r="A2917" t="inlineStr">
        <is>
          <t>hom10l</t>
        </is>
      </c>
      <c r="B2917" t="inlineStr">
        <is>
          <t>Anyone else feeling hopeless about the government's ability to support positive patients? I do and I'm pretty sad.</t>
        </is>
      </c>
      <c r="C2917" t="inlineStr">
        <is>
          <t>Losing 2/5 major senses has me depressed. I'm scared. I'm depressed. And I feel hopeless with no treatment suggestions. I can't think about anything else. I want to seek treatment for nasal steroids or olfactory therapy but everybody just says quarantine and pray for the best.</t>
        </is>
      </c>
      <c r="D2917" t="n">
        <v>1</v>
      </c>
      <c r="E2917" t="n">
        <v>18</v>
      </c>
      <c r="F2917">
        <f>HYPERLINK("https://www.reddit.com/r/COVID19positive/comments/hom10l/anyone_else_feeling_hopeless_about_the/")</f>
        <v/>
      </c>
      <c r="G2917" t="inlineStr">
        <is>
          <t>2020-07-10 02:38:20</t>
        </is>
      </c>
      <c r="H2917" t="inlineStr">
        <is>
          <t>Tested Positive</t>
        </is>
      </c>
    </row>
    <row r="2918">
      <c r="A2918" t="inlineStr">
        <is>
          <t>hom1ro</t>
        </is>
      </c>
      <c r="B2918" t="inlineStr">
        <is>
          <t>Lackluster symptoms</t>
        </is>
      </c>
      <c r="C2918" t="inlineStr">
        <is>
          <t>I started to feel a bit ill on Tuesday 07/07/2020.
My symptoms never got worse than very light flu symptoms.
I was tested on Tuesday 07/07/2020, as per doctor's instruction, and was confirmed positive yesterday 09/07/2020.
Any questions below welcome. I've got 2 weeks' time on my hands now.</t>
        </is>
      </c>
      <c r="D2918" t="n">
        <v>1</v>
      </c>
      <c r="E2918" t="n">
        <v>8</v>
      </c>
      <c r="F2918">
        <f>HYPERLINK("https://www.reddit.com/r/COVID19positive/comments/hom1ro/lackluster_symptoms/")</f>
        <v/>
      </c>
      <c r="G2918" t="inlineStr">
        <is>
          <t>2020-07-10 02:40:16</t>
        </is>
      </c>
      <c r="H2918" t="inlineStr">
        <is>
          <t>Tested Positive - Me</t>
        </is>
      </c>
    </row>
    <row r="2919">
      <c r="A2919" t="inlineStr">
        <is>
          <t>hon37e</t>
        </is>
      </c>
      <c r="B2919" t="inlineStr">
        <is>
          <t>My doctor think i have covid</t>
        </is>
      </c>
      <c r="C2919" t="inlineStr">
        <is>
          <t>I went to the doctor this morning because i have a cough and i assumed it was just my asthma because i ran out of inhalers and i didn't have fever or anything. My doctor told me to get testet so i did and i will get the results tomorrow. Right now im having shortness of breath and im scared. No fever yet, but im still worried</t>
        </is>
      </c>
      <c r="D2919" t="n">
        <v>1</v>
      </c>
      <c r="E2919" t="n">
        <v>2</v>
      </c>
      <c r="F2919">
        <f>HYPERLINK("https://www.reddit.com/r/COVID19positive/comments/hon37e/my_doctor_think_i_have_covid/")</f>
        <v/>
      </c>
      <c r="G2919" t="inlineStr">
        <is>
          <t>2020-07-10 04:13:47</t>
        </is>
      </c>
      <c r="H2919" t="inlineStr">
        <is>
          <t>Presumed Positive - From Doctor</t>
        </is>
      </c>
    </row>
    <row r="2920">
      <c r="A2920" t="inlineStr">
        <is>
          <t>honbjw</t>
        </is>
      </c>
      <c r="B2920" t="inlineStr">
        <is>
          <t>BioPanda Antibody Test in UK results - negative IgM, positive IgG, probably a month after serious effects</t>
        </is>
      </c>
      <c r="C2920" t="inlineStr">
        <is>
          <t>Didn't have a chance to get swabbed.  The whole family developed symptoms - i had a very, very, very bad cough for ages, shortness of breath, etc.  I assumed the IgG would be positive, but that was negative, with IgM positive?  Odd.  It's been easily a month since I started feeling much better, although I still get returning symptoms sometimes (like now, mild shortness of breath again and a mild cough again).
What does this mean?</t>
        </is>
      </c>
      <c r="D2920" t="n">
        <v>1</v>
      </c>
      <c r="E2920" t="n">
        <v>3</v>
      </c>
      <c r="F2920">
        <f>HYPERLINK("https://www.reddit.com/r/COVID19positive/comments/honbjw/biopanda_antibody_test_in_uk_results_negative_igm/")</f>
        <v/>
      </c>
      <c r="G2920" t="inlineStr">
        <is>
          <t>2020-07-10 04:33:10</t>
        </is>
      </c>
      <c r="H2920" t="inlineStr">
        <is>
          <t>Tested Positive - Me</t>
        </is>
      </c>
    </row>
    <row r="2921">
      <c r="A2921" t="inlineStr">
        <is>
          <t>honuky</t>
        </is>
      </c>
      <c r="B2921" t="inlineStr">
        <is>
          <t>Long hauler inhaled Lysol spray</t>
        </is>
      </c>
      <c r="C2921" t="inlineStr">
        <is>
          <t>What's the consequences of inhaling Lysol spray. I am a long hauler..I had shortness of breath before but it start again 2 days ago after I inhaled Lysol spray</t>
        </is>
      </c>
      <c r="D2921" t="n">
        <v>1</v>
      </c>
      <c r="E2921" t="n">
        <v>10</v>
      </c>
      <c r="F2921">
        <f>HYPERLINK("https://www.reddit.com/r/COVID19positive/comments/honuky/long_hauler_inhaled_lysol_spray/")</f>
        <v/>
      </c>
      <c r="G2921" t="inlineStr">
        <is>
          <t>2020-07-10 05:13:21</t>
        </is>
      </c>
      <c r="H2921" t="inlineStr">
        <is>
          <t>Tested Positive - Friends</t>
        </is>
      </c>
    </row>
    <row r="2922">
      <c r="A2922" t="inlineStr">
        <is>
          <t>hooepy</t>
        </is>
      </c>
      <c r="B2922" t="inlineStr">
        <is>
          <t>Deep breaths and sternum pain?</t>
        </is>
      </c>
      <c r="C2922" t="inlineStr">
        <is>
          <t>Since I tested positive, my breathing has been mostly find, with exception to a very fast, deep breath. I also haven't been coughing much, most fever like symptoms. But when I take a deep breath, it's almost like the bones at the front, center area of my chest hurt (right below pectorals in middle of chest). Has this happened to anyone else? Not a major problem at this point, but just trying to get a sense of what it could be.</t>
        </is>
      </c>
      <c r="D2922" t="n">
        <v>1</v>
      </c>
      <c r="E2922" t="n">
        <v>9</v>
      </c>
      <c r="F2922">
        <f>HYPERLINK("https://www.reddit.com/r/COVID19positive/comments/hooepy/deep_breaths_and_sternum_pain/")</f>
        <v/>
      </c>
      <c r="G2922" t="inlineStr">
        <is>
          <t>2020-07-10 05:52:48</t>
        </is>
      </c>
      <c r="H2922" t="inlineStr">
        <is>
          <t>Tested Positive - Me</t>
        </is>
      </c>
    </row>
    <row r="2923">
      <c r="A2923" t="inlineStr">
        <is>
          <t>hooia6</t>
        </is>
      </c>
      <c r="B2923" t="inlineStr">
        <is>
          <t>I’m so lucky to have friends like mine</t>
        </is>
      </c>
      <c r="C2923" t="inlineStr">
        <is>
          <t>Tested positive three days ago, and I’m still pretty shaken up. Physically I feel fine aside from a light cough, but mentally it’s a whole different story. I keep blaming myself for going out when I didn’t need to, for not taking the proper precautions. To make it worse, I’m going through a pretty messy divorce right now. 
I was at the bar last night to clear my mind when I ran into up my good buddy Tom. He asked if I wanted to go to his place on Sunday for his 83 year-old mother’s birthday. I said sure, and he asked if I was positive. I replied “Covid-19 positive.” It got a good laugh out of him, and we cheered to it. Seeing him smile at my dumb joke made me feel much better inside.
It’s the small things that brighten the day, you know? I owe it all to good friends to help me get through this difficult time. Thanks to them, I can safely say I’m excited for what tomorrow brings.</t>
        </is>
      </c>
      <c r="D2923" t="n">
        <v>1</v>
      </c>
      <c r="E2923" t="n">
        <v>3</v>
      </c>
      <c r="F2923">
        <f>HYPERLINK("https://www.reddit.com/r/COVID19positive/comments/hooia6/im_so_lucky_to_have_friends_like_mine/")</f>
        <v/>
      </c>
      <c r="G2923" t="inlineStr">
        <is>
          <t>2020-07-10 05:59:52</t>
        </is>
      </c>
      <c r="H2923" t="inlineStr">
        <is>
          <t>Tested Positive - Me</t>
        </is>
      </c>
    </row>
    <row r="2924">
      <c r="A2924" t="inlineStr">
        <is>
          <t>hooxy4</t>
        </is>
      </c>
      <c r="B2924" t="inlineStr">
        <is>
          <t>Rate of false negatives still high even after experiencing symptoms for 3 days?</t>
        </is>
      </c>
      <c r="C2924" t="inlineStr">
        <is>
          <t>I got tested on my 4th day of symptoms, last Thursday. Just got my results back and they were negative. I'm honestly shocked because I am still experiencing symptoms, one being extreme chest pain just last night. I would think that after 3 days, my chances would be slim to get a false negative. Can anyone weigh in on their experience with this?</t>
        </is>
      </c>
      <c r="D2924" t="n">
        <v>1</v>
      </c>
      <c r="E2924" t="n">
        <v>12</v>
      </c>
      <c r="F2924">
        <f>HYPERLINK("https://www.reddit.com/r/COVID19positive/comments/hooxy4/rate_of_false_negatives_still_high_even_after/")</f>
        <v/>
      </c>
      <c r="G2924" t="inlineStr">
        <is>
          <t>2020-07-10 06:28:39</t>
        </is>
      </c>
      <c r="H2924" t="inlineStr">
        <is>
          <t>Presumed Positive - From Test</t>
        </is>
      </c>
    </row>
    <row r="2925">
      <c r="A2925" t="inlineStr">
        <is>
          <t>hoqu3f</t>
        </is>
      </c>
      <c r="B2925" t="inlineStr">
        <is>
          <t>I tested positive</t>
        </is>
      </c>
      <c r="C2925" t="inlineStr">
        <is>
          <t>I should have known. I was exposed at work. My only symptoms thus far have been a headache that comes and goes(it does down alot, I couldn't even rub my eyes at first)and chest congestion that makes a crackling noise when I exhale hard. No other symptoms and they've been here since Thursday. I'm on day 9 and just scared out my mind. Was told to get back in touch with them in two weeks to go from there. My depression is in full gear now and I'm trying not to have a mental breakdown. I'm 32, a former smoker. I work out alot, I was eating only poultry and greens and berries sometimes. I have vitamin D, C, zinc, Mucinex and Gatorade mix all on deck. I'm just so scared because this thing can transform overnight. This sub has been great. I've been doing extensive walking and have had no SOB. I'm just so so scared. I don't want to die and leave my only child fatherless for him to grow up like I did</t>
        </is>
      </c>
      <c r="D2925" t="n">
        <v>1</v>
      </c>
      <c r="E2925" t="n">
        <v>72</v>
      </c>
      <c r="F2925">
        <f>HYPERLINK("https://www.reddit.com/r/COVID19positive/comments/hoqu3f/i_tested_positive/")</f>
        <v/>
      </c>
      <c r="G2925" t="inlineStr">
        <is>
          <t>2020-07-10 08:21:53</t>
        </is>
      </c>
      <c r="H2925" t="inlineStr">
        <is>
          <t>Tested Positive - Me</t>
        </is>
      </c>
    </row>
    <row r="2926">
      <c r="A2926" t="inlineStr">
        <is>
          <t>hoqv7m</t>
        </is>
      </c>
      <c r="B2926" t="inlineStr">
        <is>
          <t>21F - Daily Symptoms</t>
        </is>
      </c>
      <c r="C2926" t="inlineStr">
        <is>
          <t>Hi everyone, just thought I'd share some of my daily symptoms as well as seeking insight to determine how bad is too bad and when to get medical attention based on what I'm feeling since I feel bad enough to go, but know I shouldn't because there are many people experiencing worse than me (and I am in an area with an extremely high concentration of cases). I'm 21, F, no smoking/health conditions, extremely active. 
Day 1 (June 30): had a bad sore throat and nasal congestion, didn't have a fever but took DayQuil and Sudafed to relieve my symptoms
Day 2-6 (July 1-6): the sore throat subsided around July 3 along with the congestion and I thought it was just a minor cold
Day 7 (July 7): starting feeling an extreme SOB come in to the point where my hands and feet turned cold around 3pm. I knew it wasn't normal but I do believe the anxiety of it happening contributed since this was the worst of the SOB. I came home and checked my temperature and it was 99.4 and ended up fluctuating between 99-99.7 all day/night and I took Tylenol to control it. 
Day 8 (July 8): got tested this day, still a lot of SOB but not to the point of concern. Still could take deep breaths every few minutes and went to Walgreens for an oximeter and it never dipped below 97 with an average of 98-99. Didn't have a fever until later that night and it was minor at only 99.1. 
Day 9 (July 9): this is the day that was the worst so far (hopefully the worst overall). Around 6pm I felt really out of it and dizzy and decided to shower. I felt a little better but then got extremely tired. I checked my temperature and it was 99.3. I then proceeded to have possibly an anxiety attack but mimicked the symptoms of a heart attack which scared me. My heart was beating out of my chest, my heart rate was low, I was shaking, extremely out of it, dizzy, breathing was hard (SOB and throat was tight). However, I didn't have a fever and my oximeter read 98 although my heart rate was 53-60 when I felt anxious and scared. Also, I was nauseous. I fell asleep and woke up to a pool of sweat about an hour later with still a strange heartbeat and breathing difficulties. I couldn't get out of bed to even brush my teeth I felt so tired. 
Day 10 (July 10 - today): woke up VERY fatigued. Can barely get out of bed. I tried to eat but my nausea was so bad I ended up running to the bathroom. It subsided as of now and I had a few bites of breakfast. My SOB is still present but not as bad as before. Oximeter still reads an average of 98. I didn't have a temperature when I woke up but now it is at 99.2, again I took Tylenol. I can't explain it, as I'm sure many of you can't either, but I feel very strange and can't describe the fatigue and way I feel to anyone. It also takes effort to speak as I feel like I need to catch my breath after doing so. I'm trying to take Zinc and NAC and am laying out in the sun to get some Vitamin D as of now. 
Any insight, comments, or advice from anyone as to the severity of my symptoms would ease my anxiety and nerves over the situation. *Not seeking medical advice, just general insight from those who experienced it and what they did and whether or not they sought medical help.</t>
        </is>
      </c>
      <c r="D2926" t="n">
        <v>1</v>
      </c>
      <c r="E2926" t="n">
        <v>7</v>
      </c>
      <c r="F2926">
        <f>HYPERLINK("https://www.reddit.com/r/COVID19positive/comments/hoqv7m/21f_daily_symptoms/")</f>
        <v/>
      </c>
      <c r="G2926" t="inlineStr">
        <is>
          <t>2020-07-10 08:23:32</t>
        </is>
      </c>
      <c r="H2926" t="inlineStr">
        <is>
          <t>Presumed Positive - From Test</t>
        </is>
      </c>
    </row>
    <row r="2927">
      <c r="A2927" t="inlineStr">
        <is>
          <t>hore28</t>
        </is>
      </c>
      <c r="B2927" t="inlineStr">
        <is>
          <t>I tested positive but none of my closes contacts did.</t>
        </is>
      </c>
      <c r="C2927" t="inlineStr">
        <is>
          <t>So I believe I was exposed weekend of 6/13.  On june 18 I had a "i think I'm coming down with a cold" feeling and on Friday 6/19 I lost my taste. On Saturday 6/20 I got tested at two provides because the 1st one said it might take up to 10 days for results.  Also on Saturday I started having mild sore throat and headache in addition to loss of taste and Sunday i also had fatigue, mild cough and some shortness of breath. Never had fever (was checking) 
1st positive result came back on Tuesday 6/23, second positive on Saturday 6/27. All symptoms cleared by Thursday 6/25 inc loss of taste.  
My husband and young child tested negative.  Which seems unbelievable since we kiss, share drinks, food etc.
Family member (60+) who was visiting in days in between of my exposure and my symptomps also tested negative.  We hosted couple of friends and they also tested negative so did our next door neighbor and their child who plays with mine all the time.   Now I do wash my hands, wear mask when out but it still strikes me as very odd considering all the information about how contagious it is. I'm puzzled.. 
This week I also tested positive for antibiodies and my husband negative.  Anyone else in similar situation?</t>
        </is>
      </c>
      <c r="D2927" t="n">
        <v>1</v>
      </c>
      <c r="E2927" t="n">
        <v>12</v>
      </c>
      <c r="F2927">
        <f>HYPERLINK("https://www.reddit.com/r/COVID19positive/comments/hore28/i_tested_positive_but_none_of_my_closes_contacts/")</f>
        <v/>
      </c>
      <c r="G2927" t="inlineStr">
        <is>
          <t>2020-07-10 08:52:24</t>
        </is>
      </c>
      <c r="H2927" t="inlineStr">
        <is>
          <t>Tested Positive - Me</t>
        </is>
      </c>
    </row>
    <row r="2928">
      <c r="A2928" t="inlineStr">
        <is>
          <t>horobu</t>
        </is>
      </c>
      <c r="B2928" t="inlineStr">
        <is>
          <t>8 to 10 days out from symptoms feeling a little overwhelmed.</t>
        </is>
      </c>
      <c r="C2928" t="inlineStr">
        <is>
          <t>Let me preface this by saying I've been very blessed, and I have not had any severe symptoms; mostly fatigue, chest tightness, SOB, headache, and congestion.
I'm actually feeling pretty much better today, just a little nasal congestion (and 0 sense of smell, lost that one last night after dinner). However, my wife just called me that she is leaving work to go get tested because she has a cough and tightness in her chest. I haven't received my test results yet, but my doctor is fairly sure I'm positive, and I think I gave it to my wife in the few days before I got checked.
As long as my symptoms stay fine, I'll be cleared to go back to work Monday, but we're going to have to flip roles and I'll have to take care of my wife for a while.
I cannot state how done I am, I was so looking forward to cuddling on the couch with her and being done with this (though, we both work in the medical field, so i guess we'll never be done with it).</t>
        </is>
      </c>
      <c r="D2928" t="n">
        <v>1</v>
      </c>
      <c r="E2928" t="n">
        <v>6</v>
      </c>
      <c r="F2928">
        <f>HYPERLINK("https://www.reddit.com/r/COVID19positive/comments/horobu/8_to_10_days_out_from_symptoms_feeling_a_little/")</f>
        <v/>
      </c>
      <c r="G2928" t="inlineStr">
        <is>
          <t>2020-07-10 09:08:08</t>
        </is>
      </c>
      <c r="H2928" t="inlineStr">
        <is>
          <t>Presumed Positive - From Doctor</t>
        </is>
      </c>
    </row>
    <row r="2929">
      <c r="A2929" t="inlineStr">
        <is>
          <t>hortzr</t>
        </is>
      </c>
      <c r="B2929" t="inlineStr">
        <is>
          <t>Post Recovery Question</t>
        </is>
      </c>
      <c r="C2929" t="inlineStr">
        <is>
          <t>My self isolation has extended beyond two weeks. I’m getting tested tomorrow. My symptoms are gone for the most part.
My dr said it’s highly unlikely to be reinfected.
My question is, if Covid is community spread, how immune am I? 
I’ll still wear a mask in public and follow safety precautions. I’m just curious how susceptible I would be to catching another strain.</t>
        </is>
      </c>
      <c r="D2929" t="n">
        <v>1</v>
      </c>
      <c r="E2929" t="n">
        <v>13</v>
      </c>
      <c r="F2929">
        <f>HYPERLINK("https://www.reddit.com/r/COVID19positive/comments/hortzr/post_recovery_question/")</f>
        <v/>
      </c>
      <c r="G2929" t="inlineStr">
        <is>
          <t>2020-07-10 09:16:42</t>
        </is>
      </c>
      <c r="H2929" t="inlineStr">
        <is>
          <t>Tested Positive - Me</t>
        </is>
      </c>
    </row>
    <row r="2930">
      <c r="A2930" t="inlineStr">
        <is>
          <t>horztl</t>
        </is>
      </c>
      <c r="B2930" t="inlineStr">
        <is>
          <t>How likely are false positives?</t>
        </is>
      </c>
      <c r="C2930" t="inlineStr">
        <is>
          <t>So i got tested on the 30th as a formality before surgery. I have no symptoms and have felt good overall. The test came back positive and i got tested again this morning. The doctor said an employee at their clinic got a false positive, tested positive then negative two days later. She said that this possibly could’ve happened to me too. Has anyone had any experience with a false positive?</t>
        </is>
      </c>
      <c r="D2930" t="n">
        <v>1</v>
      </c>
      <c r="E2930" t="n">
        <v>3</v>
      </c>
      <c r="F2930">
        <f>HYPERLINK("https://www.reddit.com/r/COVID19positive/comments/horztl/how_likely_are_false_positives/")</f>
        <v/>
      </c>
      <c r="G2930" t="inlineStr">
        <is>
          <t>2020-07-10 09:25:26</t>
        </is>
      </c>
      <c r="H2930" t="inlineStr">
        <is>
          <t>Tested Positive - Me</t>
        </is>
      </c>
    </row>
    <row r="2931">
      <c r="A2931" t="inlineStr">
        <is>
          <t>hoswpc</t>
        </is>
      </c>
      <c r="B2931" t="inlineStr">
        <is>
          <t>Positive and asymptomatic</t>
        </is>
      </c>
      <c r="C2931" t="inlineStr">
        <is>
          <t>I'm a healthcare worker and had my first routine PCR test on Wednesday, which came back as positive today.
I've had no symptoms, and i'm very much hoping it stays that way! Not sure when I caught it. I'll be having a second PCR and an antibody screen on Monday.
Honestly, the worst thing so far is that I've forced the people in my contact "bubble" into 14 day isolation regardless of whether they now test positive or negative, which I feel really bad about.
It's cancelled my mum's birthday celebration, we were due to go get afternoon tea as hotels and restaurants are now open again for service where i live.
But obviously quarantine takes importance over everything.</t>
        </is>
      </c>
      <c r="D2931" t="n">
        <v>1</v>
      </c>
      <c r="E2931" t="n">
        <v>5</v>
      </c>
      <c r="F2931">
        <f>HYPERLINK("https://www.reddit.com/r/COVID19positive/comments/hoswpc/positive_and_asymptomatic/")</f>
        <v/>
      </c>
      <c r="G2931" t="inlineStr">
        <is>
          <t>2020-07-10 10:15:22</t>
        </is>
      </c>
      <c r="H2931" t="inlineStr">
        <is>
          <t>Tested Positive - Me</t>
        </is>
      </c>
    </row>
    <row r="2932">
      <c r="A2932" t="inlineStr">
        <is>
          <t>hotvuv</t>
        </is>
      </c>
      <c r="B2932" t="inlineStr">
        <is>
          <t>Tested positive 4 days ago. Today is my 24th birthday</t>
        </is>
      </c>
      <c r="C2932" t="inlineStr">
        <is>
          <t>I expected to be sad and quarantined for my birthday. My symptoms have been mild, I just have hella sinus pressure and occasional lightheadedness. Today is my 24th birthday, and my aunts planned a birthday caravan at my house. Complete surprise! I got cake, balloons, gifts, wine, and a bunch of food and groceries. I felt so lonely in isolation, and it feels amazing to be crying tears of gratitude and love instead of tears of anxiety and worry. I just want to share the love I feel today with everyone who has been in contact with this terrible disease. Sending virtual hugs and birthday gifts out to all of you. Much love, from Texas.</t>
        </is>
      </c>
      <c r="D2932" t="n">
        <v>1</v>
      </c>
      <c r="E2932" t="n">
        <v>136</v>
      </c>
      <c r="F2932">
        <f>HYPERLINK("https://www.reddit.com/r/COVID19positive/comments/hotvuv/tested_positive_4_days_ago_today_is_my_24th/")</f>
        <v/>
      </c>
      <c r="G2932" t="inlineStr">
        <is>
          <t>2020-07-10 11:08:14</t>
        </is>
      </c>
      <c r="H2932" t="inlineStr">
        <is>
          <t>Tested Positive - Me</t>
        </is>
      </c>
    </row>
    <row r="2933">
      <c r="A2933" t="inlineStr">
        <is>
          <t>hou3io</t>
        </is>
      </c>
      <c r="B2933" t="inlineStr">
        <is>
          <t>21 Year Old SUPER Healthy tested positive today!</t>
        </is>
      </c>
      <c r="C2933" t="inlineStr">
        <is>
          <t>I am a very healthy 21 year old male and I tested positive today. I want to emphasize healthy because I workout 6 times a week, I do triathlons, and eat very healthy (I am mentioning this because I think it boost my immune system which has caused very weak symptoms thus far, and maybe others might live a similar lifestyle and are curious). Luckily, I have very easy access to testing and results and I was planning on going out with 4 friends this weekend, but wanted to get tested before hand to play it safe (the only places I have been going out to are a couple of restaurants and the park). Came back positive, current symptoms: feels like morning allergies that I always get. Hopefully stays like this! Writing this up for us younger people that are scared. Although every case is unique and we should take it seriously, statistically speaking a lot of cases are mild so no need to be very paranoid. Stay safe, be healthy, and take responsibility.</t>
        </is>
      </c>
      <c r="D2933" t="n">
        <v>1</v>
      </c>
      <c r="E2933" t="n">
        <v>15</v>
      </c>
      <c r="F2933">
        <f>HYPERLINK("https://www.reddit.com/r/COVID19positive/comments/hou3io/21_year_old_super_healthy_tested_positive_today/")</f>
        <v/>
      </c>
      <c r="G2933" t="inlineStr">
        <is>
          <t>2020-07-10 11:19:21</t>
        </is>
      </c>
      <c r="H2933" t="inlineStr">
        <is>
          <t>Tested Positive - Me</t>
        </is>
      </c>
    </row>
    <row r="2934">
      <c r="A2934" t="inlineStr">
        <is>
          <t>houkxa</t>
        </is>
      </c>
      <c r="B2934" t="inlineStr">
        <is>
          <t>Was it a true false positive?</t>
        </is>
      </c>
      <c r="C2934" t="inlineStr">
        <is>
          <t>I know that the chances of this are super super low. I’m going to give all the details and I’m looking for other explanations for how this happened to my friend and to me.
My friend / potential romantic interest works for a company where they are required to get tested before beginning a new project. In order to get work he must always stay safe and test negative. He began a project about a month ago with a team of 25-30 confirmed negative people and made direct contact with maybe seven. They were so safe that he joked about almost tasting cleaning products in the food from the cook who also had to be negative. Upon leaving the project everyone did both an antibody test and a covid test. 
Instead of doing one in that city, he drove back home to his family and stayed at one hotel on the way for a night. He says he wore a mask, was solitary, washed his hands, and only exchanged his credit card with the lady at the desk which was guarded by a glass screen. He was sort of sketched out because the hotel had some graffiti on the walls but again, he was alone and cleaned surfaces. 
Upon arriving home, he visits his family and they foolishly have a family gathering. It happens mostly outdoors. But sometimes multiple family members come inside. They were not super cautious however and I was unaware of this fact. He hugged his family maskless, he stayed in his parents house, and was there for a couple days before getting tested again. 
He tells me his first test came in negative for antibodies. In addition, everyone in his company is also testing negative for antibodies and for covid upon leaving. I hear his family has been relatively safe outside of this gathering they had and agree to let him visit. 
We spend hours outside tubing in a very secluded area without masks. We go back to my place and my roommate agrees to let him stay over. The three of us watch movies for hours. On this day our furnace broke so it was very hot and he opened a window next to him but that didn’t help at all there wasn’t a breeze. We share food and double dip into hummus and I hold off on kissing him. He stays in my room that night and I refrain from intimacy because it’s too hot inside and our own complications. 
Next day we do kiss, several times, and spend half the day together. He leaves and I decide to social distance see my family for the 4th of July. I’m only within 6 feet of them once and I wear a mask unless I’m eating. It’s all outdoor. 
Next day of course I get the call that he was positive. And we assume I have it. I get tested on day 4 since exposure. Both of us have no symptoms. I had some gastrointestinal symptoms for a couple days but I’m also on my period and are bad leftover hummus so I don’t know. My test comes back negative. But of course I think it was a false negative. 
THEN his parents test negative. They’re in their mid 60s. The ones who have been living with him unguarded for 2 weeks. They also have no symptoms. No one in his family feels sick at all. No one in my family have symptoms. My roommate has no symptoms. 
In retrospect he remarks that the testing site was strange because they allowed all the patients to sit next to each other in an indoor waiting room. He was very sketched out so he waited outside. 
I still don’t know what to make of all of this. He’s getting another test and I am too. What could have caused me to be negative? It’s now day 6 and I still feel fine and so do we all. And I know that having no symptoms isn’t an indication young people don’t have it but shouldn’t his parents have felt at least something different? They were breathing near each other for weeks before the test. I kissed and slept with him in my bed. Shouldn’t even one person feel different if he’s positive?</t>
        </is>
      </c>
      <c r="D2934" t="n">
        <v>1</v>
      </c>
      <c r="E2934" t="n">
        <v>5</v>
      </c>
      <c r="F2934">
        <f>HYPERLINK("https://www.reddit.com/r/COVID19positive/comments/houkxa/was_it_a_true_false_positive/")</f>
        <v/>
      </c>
      <c r="G2934" t="inlineStr">
        <is>
          <t>2020-07-10 11:43:39</t>
        </is>
      </c>
      <c r="H2934" t="inlineStr">
        <is>
          <t>Tested Positive - Friends</t>
        </is>
      </c>
    </row>
    <row r="2935">
      <c r="A2935" t="inlineStr">
        <is>
          <t>houqra</t>
        </is>
      </c>
      <c r="B2935" t="inlineStr">
        <is>
          <t>33 male with family</t>
        </is>
      </c>
      <c r="C2935" t="inlineStr">
        <is>
          <t>Wrote one up the other day but I’ve gone a couple days without symptoms now and thought I’d do one a little differently. Here’s my day by day struggle with covid.
Day1: afternoon I started feeling very dizzy and fatigued so I fell asleep very early.
Day2: woke up still feeling the same way. Went to doc hoping I was just badly dehydrated. Gave me an IV and it helped a bit. Took the covid test for precaution.
Day3: developed a cough and congestion. Wasn’t dizzy or light headed anymore. Still fatigued
Day4: lost smell. Still had congestion and cough. Fatigue is beginning to diminish.
Day5: cough and congestion. No smell and taste is going away
Day6: felt overall good. Got tired a couple times doing mild work
Day7: cough came back for a bit. 
Day8: mild cough but mostly good.
Day9: finally had a full day feeling good
Day 11: smell started mildly coming back. 
And that’s where I am people. Hope this helps.</t>
        </is>
      </c>
      <c r="D2935" t="n">
        <v>1</v>
      </c>
      <c r="E2935" t="n">
        <v>9</v>
      </c>
      <c r="F2935">
        <f>HYPERLINK("https://www.reddit.com/r/COVID19positive/comments/houqra/33_male_with_family/")</f>
        <v/>
      </c>
      <c r="G2935" t="inlineStr">
        <is>
          <t>2020-07-10 11:52:06</t>
        </is>
      </c>
      <c r="H2935" t="inlineStr">
        <is>
          <t>Tested Positive - Me</t>
        </is>
      </c>
    </row>
    <row r="2936">
      <c r="A2936" t="inlineStr">
        <is>
          <t>hov7yi</t>
        </is>
      </c>
      <c r="B2936" t="inlineStr">
        <is>
          <t>On day 10 since symptoms started...</t>
        </is>
      </c>
      <c r="C2936" t="inlineStr">
        <is>
          <t>Healthy, 30 year old male.
Never had a fever... started with a slight sore throat and cough. A day or two later body aches started (tylenol helps)... 4 days in I completely lost smell and taste along with headache pain behind the eyes which lasted 2 days. Day 10 is here still have a rare cough, taste is back to 70% and smell is about 50% back... body aches stopped around day 7 or 8. Slight chest tightness when taking really deep breaths but I’m almost fully recovered. A lot of the fear mongering you read here is ridiculous. My dick works fine and nothing has shrunk. Going to wait another week then resume my normal life again. Screw all the health obsessed fear mongering people here who cause anxiety to those who will be just fine. This place is toxic to those genuinely curious about what covid was like. I’ve also had 5 other friends who have it now and one is 350 pounds and morbidly obese and he’s recovering just fine. Hopefully my experience can be a beacon of hope to calm some people down from all the crazy fear mongering and unproven medical assumptions being passed around in this sub.</t>
        </is>
      </c>
      <c r="D2936" t="n">
        <v>2</v>
      </c>
      <c r="E2936" t="n">
        <v>11</v>
      </c>
      <c r="F2936">
        <f>HYPERLINK("https://www.reddit.com/r/COVID19positive/comments/hov7yi/on_day_10_since_symptoms_started/")</f>
        <v/>
      </c>
      <c r="G2936" t="inlineStr">
        <is>
          <t>2020-07-10 12:17:20</t>
        </is>
      </c>
      <c r="H2936" t="inlineStr">
        <is>
          <t>Tested Positive - Me</t>
        </is>
      </c>
    </row>
    <row r="2937">
      <c r="A2937" t="inlineStr">
        <is>
          <t>hov8m1</t>
        </is>
      </c>
      <c r="B2937" t="inlineStr">
        <is>
          <t>How long were you positive until you were negative?</t>
        </is>
      </c>
      <c r="C2937" t="inlineStr">
        <is>
          <t>It’s really infuriating right now. I’ve done 6 tests already. First 3 were positive, 4th was negative, 5th and 6th were positive. I just don’t get it. I haven’t had symptoms in over 2 weeks and I’ve had this virus for exactly a month today. Can someone give me hope and let me know how many weeks you had the virus until you finally tested negative twice? I feel completely fine now but it’s definitely annoying that it won’t go away.</t>
        </is>
      </c>
      <c r="D2937" t="n">
        <v>1</v>
      </c>
      <c r="E2937" t="n">
        <v>4</v>
      </c>
      <c r="F2937">
        <f>HYPERLINK("https://www.reddit.com/r/COVID19positive/comments/hov8m1/how_long_were_you_positive_until_you_were_negative/")</f>
        <v/>
      </c>
      <c r="G2937" t="inlineStr">
        <is>
          <t>2020-07-10 12:18:16</t>
        </is>
      </c>
      <c r="H2937" t="inlineStr">
        <is>
          <t>Tested Positive - Me</t>
        </is>
      </c>
    </row>
    <row r="2938">
      <c r="A2938" t="inlineStr">
        <is>
          <t>hovvko</t>
        </is>
      </c>
      <c r="B2938" t="inlineStr">
        <is>
          <t>Should I get tested?</t>
        </is>
      </c>
      <c r="C2938" t="inlineStr">
        <is>
          <t>Was with someone on Friday and Saturday who just received a positive test. Drank out of their cup on Saturday (fucking stupid). On Sunday they lost sense of taste and smell, and got tested Monday. They have zero other symptoms, and their significant other has zero symptoms. It’s been 6 days, and I do not have any symptoms as of now. What’s my likelihood of getting it? Should I get tested?</t>
        </is>
      </c>
      <c r="D2938" t="n">
        <v>1</v>
      </c>
      <c r="E2938" t="n">
        <v>6</v>
      </c>
      <c r="F2938">
        <f>HYPERLINK("https://www.reddit.com/r/COVID19positive/comments/hovvko/should_i_get_tested/")</f>
        <v/>
      </c>
      <c r="G2938" t="inlineStr">
        <is>
          <t>2020-07-10 12:52:07</t>
        </is>
      </c>
      <c r="H2938" t="inlineStr">
        <is>
          <t>Tested Positive - Friends</t>
        </is>
      </c>
    </row>
    <row r="2939">
      <c r="A2939" t="inlineStr">
        <is>
          <t>hovwek</t>
        </is>
      </c>
      <c r="B2939" t="inlineStr">
        <is>
          <t>Quarantining at home w/ 55M Dad Who Tested Positive</t>
        </is>
      </c>
      <c r="C2939" t="inlineStr">
        <is>
          <t>My husband and I are heading to New York City this fall for my graduate school and we decided to come stay with my Dad and Stepmom for about 6 weeks to save money before we go to NYC. We’ve been here about 3.5 weeks and about a week ago my dad (an essential worker) got a cough. Today, he came back positive for COVID19. 
We don’t have any particularly unique experiences to share, but I’ve been lurking on this sub since March and just wanted to contribute our story. Dad is 55 and generally healthy. Blood type B-. He certainly doesn’t feel great, but in general it’s been only a cough, headache, and fatigue. No one else in the household has symptoms. 
I was pretty scared of someone I know getting it, but luckily it seems so far that our little Covid-positive household will be ok. 
In other news, my husband and I can’t get tested because we aren’t symptomatic or legal residents of this state. So that’s ~neat~. 
Thanks for reading. Hope all of you dealing with Covid in yourself or family get better soon.</t>
        </is>
      </c>
      <c r="D2939" t="n">
        <v>1</v>
      </c>
      <c r="E2939" t="n">
        <v>3</v>
      </c>
      <c r="F2939">
        <f>HYPERLINK("https://www.reddit.com/r/COVID19positive/comments/hovwek/quarantining_at_home_w_55m_dad_who_tested_positive/")</f>
        <v/>
      </c>
      <c r="G2939" t="inlineStr">
        <is>
          <t>2020-07-10 12:53:24</t>
        </is>
      </c>
      <c r="H2939" t="inlineStr">
        <is>
          <t>Tested Positive - Family</t>
        </is>
      </c>
    </row>
    <row r="2940">
      <c r="A2940" t="inlineStr">
        <is>
          <t>howb5m</t>
        </is>
      </c>
      <c r="B2940" t="inlineStr">
        <is>
          <t>Smell and taste completely gone -- please provide support stories</t>
        </is>
      </c>
      <c r="C2940" t="inlineStr">
        <is>
          <t>I could really stand to hear some stories regarding return of smell/taste -- I am fearing the worst right now (permanent loss).
It's been over a week since I lost my smell and taste (taste fades in and out on some days), how long did it take others to regain theirs?</t>
        </is>
      </c>
      <c r="D2940" t="n">
        <v>1</v>
      </c>
      <c r="E2940" t="n">
        <v>18</v>
      </c>
      <c r="F2940">
        <f>HYPERLINK("https://www.reddit.com/r/COVID19positive/comments/howb5m/smell_and_taste_completely_gone_please_provide/")</f>
        <v/>
      </c>
      <c r="G2940" t="inlineStr">
        <is>
          <t>2020-07-10 13:16:08</t>
        </is>
      </c>
      <c r="H2940" t="inlineStr">
        <is>
          <t>Tested Positive - Me</t>
        </is>
      </c>
    </row>
    <row r="2941">
      <c r="A2941" t="inlineStr">
        <is>
          <t>howfa4</t>
        </is>
      </c>
      <c r="B2941" t="inlineStr">
        <is>
          <t>Is anyone else nervous every time you see the news saying they've discovered another possible long term effect?</t>
        </is>
      </c>
      <c r="C2941" t="inlineStr">
        <is>
          <t>First it was brain damage and now blood clots?? It's so scary not knowing what's coming even though I've recovered</t>
        </is>
      </c>
      <c r="D2941" t="n">
        <v>1</v>
      </c>
      <c r="E2941" t="n">
        <v>18</v>
      </c>
      <c r="F2941">
        <f>HYPERLINK("https://www.reddit.com/r/COVID19positive/comments/howfa4/is_anyone_else_nervous_every_time_you_see_the/")</f>
        <v/>
      </c>
      <c r="G2941" t="inlineStr">
        <is>
          <t>2020-07-10 13:22:26</t>
        </is>
      </c>
      <c r="H2941" t="inlineStr">
        <is>
          <t>Tested Positive - Me</t>
        </is>
      </c>
    </row>
    <row r="2942">
      <c r="A2942" t="inlineStr">
        <is>
          <t>howfrw</t>
        </is>
      </c>
      <c r="B2942" t="inlineStr">
        <is>
          <t>What happened at the Covid testing centers?</t>
        </is>
      </c>
      <c r="C2942" t="inlineStr">
        <is>
          <t>I was wondering what happened to those of you who were tested for COVID? I called on the phone and took those prescreening forms and was advised to go to the emergency room and to be tested. I’m feeling really bad and even thought this could very well be the end of the line for me a few nights ago. I’m not allowed to go to the hospital or be tested because my mom says that they will probably put me in a camp and that I am endangering my family and they will be separated into camps. She says she will buy me an inhaler but I don’t have breathing issues.</t>
        </is>
      </c>
      <c r="D2942" t="n">
        <v>1</v>
      </c>
      <c r="E2942" t="n">
        <v>11</v>
      </c>
      <c r="F2942">
        <f>HYPERLINK("https://www.reddit.com/r/COVID19positive/comments/howfrw/what_happened_at_the_covid_testing_centers/")</f>
        <v/>
      </c>
      <c r="G2942" t="inlineStr">
        <is>
          <t>2020-07-10 13:23:12</t>
        </is>
      </c>
      <c r="H2942" t="inlineStr">
        <is>
          <t>Presumed Positive - From Doctor</t>
        </is>
      </c>
    </row>
    <row r="2943">
      <c r="A2943" t="inlineStr">
        <is>
          <t>hoxkea</t>
        </is>
      </c>
      <c r="B2943" t="inlineStr">
        <is>
          <t>TEST 1 NEGATIVE !</t>
        </is>
      </c>
      <c r="C2943" t="inlineStr">
        <is>
          <t>i went to to get tested on my 14th day today with no symptoms and fully recovered! i’m gonna make another appointment to see if my lungs or anything else got damaged when i was sick. also do you guys know when i can see my girlfriend and kiss her lol.</t>
        </is>
      </c>
      <c r="D2943" t="n">
        <v>1</v>
      </c>
      <c r="E2943" t="n">
        <v>2</v>
      </c>
      <c r="F2943">
        <f>HYPERLINK("https://www.reddit.com/r/COVID19positive/comments/hoxkea/test_1_negative/")</f>
        <v/>
      </c>
      <c r="G2943" t="inlineStr">
        <is>
          <t>2020-07-10 14:26:19</t>
        </is>
      </c>
      <c r="H2943" t="inlineStr">
        <is>
          <t>Tested Positive - Me</t>
        </is>
      </c>
    </row>
    <row r="2944">
      <c r="A2944" t="inlineStr">
        <is>
          <t>hoxqga</t>
        </is>
      </c>
      <c r="B2944" t="inlineStr">
        <is>
          <t>Lymph node still there after recovery plus mucus issues</t>
        </is>
      </c>
      <c r="C2944" t="inlineStr">
        <is>
          <t>Hello Everyone!
So it’s been 2 months since my symptoms began and they have long cleared though I still have mucus issues every other day (have to clear my throat, probably the rainy season over here) and my lymph nodes in the neck have greatly reduced and are currently about the size of a peanut. 
Is there anyone who has recovered but their lymph nodes are still just there? Also, any mucus issues?</t>
        </is>
      </c>
      <c r="D2944" t="n">
        <v>1</v>
      </c>
      <c r="E2944" t="n">
        <v>6</v>
      </c>
      <c r="F2944">
        <f>HYPERLINK("https://www.reddit.com/r/COVID19positive/comments/hoxqga/lymph_node_still_there_after_recovery_plus_mucus/")</f>
        <v/>
      </c>
      <c r="G2944" t="inlineStr">
        <is>
          <t>2020-07-10 14:35:37</t>
        </is>
      </c>
      <c r="H2944" t="inlineStr">
        <is>
          <t>Tested Positive</t>
        </is>
      </c>
    </row>
    <row r="2945">
      <c r="A2945" t="inlineStr">
        <is>
          <t>hoxsi5</t>
        </is>
      </c>
      <c r="B2945" t="inlineStr">
        <is>
          <t>What should I do? Am I positive or not?</t>
        </is>
      </c>
      <c r="C2945" t="inlineStr">
        <is>
          <t>I wanted to ask a question on this sub, perhaps you can give me an advice. 
My immune system is pretty great, flues never last more than 2 days, I rarely get fevers, last one I had was probably when I was 7 or 8 years old, I am 25 now. Two weeks ago I got a mild fever 37.5C (99.5F), which scared me since fevers are rare for me, when I woke up in the morning I had very bad muscle aches as well, so I decided to get tested. Then after a week I started getting a very itchy nose and mouth ulcers which indicate that my immune system was probably fighting something since I get these rarely as well. 
I live in a country with universal healthcare, but it's crap, had to wait 2 weeks to get tested. So I went to a private hospital and did a blood test the same day, the blood test tests IGM and IGG antibodies came positive for IGM but negative for IGG. Which according to my physician means that I may have been in contact with the virus. Based on this result I did a swab test, the swab test was negative. 
All of my contacts: parents, friends, relatives that got tested all had negative results.
Any advice what shall I do. Do you think I should do the blood test again to see if maybe IGG are present? I've read online that IGG antibodies usually come after the IGM ones, or should I do the</t>
        </is>
      </c>
      <c r="D2945" t="n">
        <v>1</v>
      </c>
      <c r="E2945" t="n">
        <v>3</v>
      </c>
      <c r="F2945">
        <f>HYPERLINK("https://www.reddit.com/r/COVID19positive/comments/hoxsi5/what_should_i_do_am_i_positive_or_not/")</f>
        <v/>
      </c>
      <c r="G2945" t="inlineStr">
        <is>
          <t>2020-07-10 14:38:52</t>
        </is>
      </c>
      <c r="H2945" t="inlineStr">
        <is>
          <t>Presumed Positive - From Test</t>
        </is>
      </c>
    </row>
    <row r="2946">
      <c r="A2946" t="inlineStr">
        <is>
          <t>hoxxpl</t>
        </is>
      </c>
      <c r="B2946" t="inlineStr">
        <is>
          <t>Husband waiting for results</t>
        </is>
      </c>
      <c r="C2946" t="inlineStr">
        <is>
          <t>He got tested today per his work bc of symptoms (headache, exhaustion, slight dizziness). No other symptoms. I’m kind of freaking out over here. I expect we won’t get results for at best a week.</t>
        </is>
      </c>
      <c r="D2946" t="n">
        <v>1</v>
      </c>
      <c r="E2946" t="n">
        <v>5</v>
      </c>
      <c r="F2946">
        <f>HYPERLINK("https://www.reddit.com/r/COVID19positive/comments/hoxxpl/husband_waiting_for_results/")</f>
        <v/>
      </c>
      <c r="G2946" t="inlineStr">
        <is>
          <t>2020-07-10 14:47:13</t>
        </is>
      </c>
      <c r="H2946" t="inlineStr">
        <is>
          <t>Presumed Positive - From Doctor</t>
        </is>
      </c>
    </row>
    <row r="2947">
      <c r="A2947" t="inlineStr">
        <is>
          <t>hoych2</t>
        </is>
      </c>
      <c r="B2947" t="inlineStr">
        <is>
          <t>If you’re antibodies are negative do a stool test!!!</t>
        </is>
      </c>
      <c r="C2947" t="inlineStr">
        <is>
          <t>Long-hauler (sick since end of March), my blood test antibodies were negative twice. Changed to a naturopathic doc and she ordered a stool test bc it all started with GI symptoms. I’m still sick, inflammation is wreaking havoc and some days now I have what feels like arthritis and an inability to walk without major fatigue. It’s been hell guys but  a positive finally! Now just someone solve the inflammation!</t>
        </is>
      </c>
      <c r="D2947" t="n">
        <v>1</v>
      </c>
      <c r="E2947" t="n">
        <v>9</v>
      </c>
      <c r="F2947">
        <f>HYPERLINK("https://www.reddit.com/r/COVID19positive/comments/hoych2/if_youre_antibodies_are_negative_do_a_stool_test/")</f>
        <v/>
      </c>
      <c r="G2947" t="inlineStr">
        <is>
          <t>2020-07-10 15:10:44</t>
        </is>
      </c>
      <c r="H2947" t="inlineStr">
        <is>
          <t>Tested Positive - Me</t>
        </is>
      </c>
    </row>
    <row r="2948">
      <c r="A2948" t="inlineStr">
        <is>
          <t>hoyhvh</t>
        </is>
      </c>
      <c r="B2948" t="inlineStr">
        <is>
          <t>Tested positive 6 days ago, felt weird since 10-11 days ago</t>
        </is>
      </c>
      <c r="C2948" t="inlineStr">
        <is>
          <t>23M, not sure if it's too early to feel safe, because it's been 6 days since I was tested positive and no serious symptoms. I first had a strange feeling in my throat almost two weeks ago (and still have it), like I had to cough but at the same time didn't really. Just felt a little burden a little under my throat, somewhere in-between that and my chest. Sometimes my neck and my arms hurt, but it could be because I'm mostly in my bed watching TV. In the last two days I had a little inconvenience where I needed to take air and basically yawn every few minutes or so, while not being really tired. Just because I need that extra air, it's like I forgot to breath from time to time. I also have this very small sharp pain in the left side of my chest from time to time, but it's not really serious. 
I mostly wonder if anyone experienced such mild symptoms and suddenly it hit him like a train? I'm worried that my condition might worsen.</t>
        </is>
      </c>
      <c r="D2948" t="n">
        <v>1</v>
      </c>
      <c r="E2948" t="n">
        <v>13</v>
      </c>
      <c r="F2948">
        <f>HYPERLINK("https://www.reddit.com/r/COVID19positive/comments/hoyhvh/tested_positive_6_days_ago_felt_weird_since_1011/")</f>
        <v/>
      </c>
      <c r="G2948" t="inlineStr">
        <is>
          <t>2020-07-10 15:19:21</t>
        </is>
      </c>
      <c r="H2948" t="inlineStr">
        <is>
          <t>Tested Positive - Me</t>
        </is>
      </c>
    </row>
    <row r="2949">
      <c r="A2949" t="inlineStr">
        <is>
          <t>hoyk86</t>
        </is>
      </c>
      <c r="B2949" t="inlineStr">
        <is>
          <t>Back Pain?</t>
        </is>
      </c>
      <c r="C2949" t="inlineStr">
        <is>
          <t>I'm self isolating on doctor's orders while waiting on a test but who knows how long that could be.  My symptoms don't....seem like Covid?   But I know it's weird so who knows.  
It all started with severe back pain, mid back.  I have had two back surgeries and immediately thought I had broken something again.  Scheduled appt with back DR, etc.   Doesn't look like anything major in the back so far.
Next day I was exhausted.  Completely.  As the back pain lessened over the past few days, the fatigue and headaches have not.  Had chills for one day, but no fever, no cough.
Back still hurting, still very very tired.  Still headache.  But nothing else.  
Does this sound anything like Covid?  Self isolating is very difficult in a small house.  Feels like the DR may just being overcautious.  I'd prefer to wait on my test but don't want to risk the family.</t>
        </is>
      </c>
      <c r="D2949" t="n">
        <v>1</v>
      </c>
      <c r="E2949" t="n">
        <v>4</v>
      </c>
      <c r="F2949">
        <f>HYPERLINK("https://www.reddit.com/r/COVID19positive/comments/hoyk86/back_pain/")</f>
        <v/>
      </c>
      <c r="G2949" t="inlineStr">
        <is>
          <t>2020-07-10 15:23:09</t>
        </is>
      </c>
      <c r="H2949" t="inlineStr">
        <is>
          <t>Presumed Positive - From Doctor</t>
        </is>
      </c>
    </row>
    <row r="2950">
      <c r="A2950" t="inlineStr">
        <is>
          <t>hoymch</t>
        </is>
      </c>
      <c r="B2950" t="inlineStr">
        <is>
          <t>Tested positive for antibodies finally. Can I still spread it?</t>
        </is>
      </c>
      <c r="C2950" t="inlineStr">
        <is>
          <t>I intend to wear a mask, but I was wondering if I can “catch” it and before my body can totally kill it again, if I can still spread it to other people. Does anybody know?</t>
        </is>
      </c>
      <c r="D2950" t="n">
        <v>1</v>
      </c>
      <c r="E2950" t="n">
        <v>4</v>
      </c>
      <c r="F2950">
        <f>HYPERLINK("https://www.reddit.com/r/COVID19positive/comments/hoymch/tested_positive_for_antibodies_finally_can_i/")</f>
        <v/>
      </c>
      <c r="G2950" t="inlineStr">
        <is>
          <t>2020-07-10 15:26:39</t>
        </is>
      </c>
      <c r="H2950" t="inlineStr">
        <is>
          <t>Tested Positive - Me</t>
        </is>
      </c>
    </row>
    <row r="2951">
      <c r="A2951" t="inlineStr">
        <is>
          <t>hozv2d</t>
        </is>
      </c>
      <c r="B2951" t="inlineStr">
        <is>
          <t>Asymptotic or false positive</t>
        </is>
      </c>
      <c r="C2951" t="inlineStr">
        <is>
          <t>I have read from many resources that there are 1-3 % false positives . It depends on the quality of the lab to ensure the samples are not contaminated . 
So I wonder if my asymptotic cases ( since some of my symptoms can be because of alergy , and anxiety  as well ) is a false positive . 
Any asymptotic cases out there that have done a second test or an anti body test ?</t>
        </is>
      </c>
      <c r="D2951" t="n">
        <v>1</v>
      </c>
      <c r="E2951" t="n">
        <v>14</v>
      </c>
      <c r="F2951">
        <f>HYPERLINK("https://www.reddit.com/r/COVID19positive/comments/hozv2d/asymptotic_or_false_positive/")</f>
        <v/>
      </c>
      <c r="G2951" t="inlineStr">
        <is>
          <t>2020-07-10 16:43:28</t>
        </is>
      </c>
      <c r="H2951" t="inlineStr">
        <is>
          <t>Tested Positive - Me</t>
        </is>
      </c>
    </row>
    <row r="2952">
      <c r="A2952" t="inlineStr">
        <is>
          <t>hp0540</t>
        </is>
      </c>
      <c r="B2952" t="inlineStr">
        <is>
          <t>Deep breaths don't feel satisfying anymore</t>
        </is>
      </c>
      <c r="C2952" t="inlineStr">
        <is>
          <t>I've had what seems like a minor case. 
Started on July 3-7 - no energy and fatigue
July 9 - pain in chest by right shoulder
The pain has gone away but I get winded so easily. I'm a fitness enthusiast who has abs year round and is always in great shape. All of the sudden I can't catch my breath during workouts and deep breaths don't feel satisfying. It's like nothing I've ever experienced before. I'm not worried or afraid because I can feel that I'm getting better but I've never had anything attack my lungs like this before. Covid is no joke.</t>
        </is>
      </c>
      <c r="D2952" t="n">
        <v>1</v>
      </c>
      <c r="E2952" t="n">
        <v>25</v>
      </c>
      <c r="F2952">
        <f>HYPERLINK("https://www.reddit.com/r/COVID19positive/comments/hp0540/deep_breaths_dont_feel_satisfying_anymore/")</f>
        <v/>
      </c>
      <c r="G2952" t="inlineStr">
        <is>
          <t>2020-07-10 17:01:24</t>
        </is>
      </c>
      <c r="H2952" t="inlineStr">
        <is>
          <t>Tested Positive - Me</t>
        </is>
      </c>
    </row>
    <row r="2953">
      <c r="A2953" t="inlineStr">
        <is>
          <t>hp089b</t>
        </is>
      </c>
      <c r="B2953" t="inlineStr">
        <is>
          <t>Day 2</t>
        </is>
      </c>
      <c r="C2953" t="inlineStr">
        <is>
          <t>Welp yesterday was my first post to the group, a bit of background 31 yo male with no major underlying health problems. Not in peak condition but not obese either. Symptoms started yesterday and came on like a freight train. Fever of 104 and was able to bring it down to 100ish with meds. Severe fatigue, body aches akin to a car accident mental fog, sore throat, very light cough and friggin rigors and some weird ass fever dreams and distorted sense of time when sleeping. Symptoms for day 2 remain largely the same though I did have some nausea today and vomited this morning after eating sense of smell and taste remain largely intact and my appetite comes and goes. Hoping that my test comes back negative tomorrow but the doctor doesn't seem to think so so here we are.</t>
        </is>
      </c>
      <c r="D2953" t="n">
        <v>1</v>
      </c>
      <c r="E2953" t="n">
        <v>14</v>
      </c>
      <c r="F2953">
        <f>HYPERLINK("https://www.reddit.com/r/COVID19positive/comments/hp089b/day_2/")</f>
        <v/>
      </c>
      <c r="G2953" t="inlineStr">
        <is>
          <t>2020-07-10 17:07:00</t>
        </is>
      </c>
      <c r="H2953" t="inlineStr">
        <is>
          <t>Presumed Positive - From Doctor</t>
        </is>
      </c>
    </row>
    <row r="2954">
      <c r="A2954" t="inlineStr">
        <is>
          <t>hp0jil</t>
        </is>
      </c>
      <c r="B2954" t="inlineStr">
        <is>
          <t>Do blood clots resolve on there own?</t>
        </is>
      </c>
      <c r="C2954" t="inlineStr">
        <is>
          <t>Do blood clots resolve naturally? Can we just sit tight, rest and relax and wait for them to resolve in there comfort of our homes?</t>
        </is>
      </c>
      <c r="D2954" t="n">
        <v>1</v>
      </c>
      <c r="E2954" t="n">
        <v>13</v>
      </c>
      <c r="F2954">
        <f>HYPERLINK("https://www.reddit.com/r/COVID19positive/comments/hp0jil/do_blood_clots_resolve_on_there_own/")</f>
        <v/>
      </c>
      <c r="G2954" t="inlineStr">
        <is>
          <t>2020-07-10 17:27:33</t>
        </is>
      </c>
      <c r="H2954" t="inlineStr">
        <is>
          <t>Presumed Positive - From Doctor</t>
        </is>
      </c>
    </row>
    <row r="2955">
      <c r="A2955" t="inlineStr">
        <is>
          <t>hp0toq</t>
        </is>
      </c>
      <c r="B2955" t="inlineStr">
        <is>
          <t>When should I worry about shortness of breath?</t>
        </is>
      </c>
      <c r="C2955" t="inlineStr">
        <is>
          <t>Sorry if anythings off I'm pretty tired rn.
Ive been feeling pretty winded and exhausted. I keep passing out in the middle of doing stuff and then waking up 30min-an hr later. I have some prior issues with sleep apnea found when I was in middle school(im 22) but its not too bad and has gone untreated. 
Basically right now if I take a breath and hold it takes 16 seconds before I get dizzy and have to breathe. And if I breathe out and hold it takes 7 seconds. Should I be worried? Or is this okay? I genuinely dont know at what point I should be getting nervous so im sorry if this is silly.</t>
        </is>
      </c>
      <c r="D2955" t="n">
        <v>1</v>
      </c>
      <c r="E2955" t="n">
        <v>10</v>
      </c>
      <c r="F2955">
        <f>HYPERLINK("https://www.reddit.com/r/COVID19positive/comments/hp0toq/when_should_i_worry_about_shortness_of_breath/")</f>
        <v/>
      </c>
      <c r="G2955" t="inlineStr">
        <is>
          <t>2020-07-10 17:46:31</t>
        </is>
      </c>
      <c r="H2955" t="inlineStr">
        <is>
          <t>Tested Positive - Me</t>
        </is>
      </c>
    </row>
    <row r="2956">
      <c r="A2956" t="inlineStr">
        <is>
          <t>hp13gr</t>
        </is>
      </c>
      <c r="B2956" t="inlineStr">
        <is>
          <t>Do we need to quarantine from each other?</t>
        </is>
      </c>
      <c r="C2956" t="inlineStr">
        <is>
          <t>Out of my 4 roommates 2 of us have tested positive and moved out. My other roommate and I tested negative today. We are self-quarantining from the world for 14 days but should we also be quarantining from each other (i.e. not being around each other in our apartment)? Or is it fine because  we both tested negative?</t>
        </is>
      </c>
      <c r="D2956" t="n">
        <v>1</v>
      </c>
      <c r="E2956" t="n">
        <v>3</v>
      </c>
      <c r="F2956">
        <f>HYPERLINK("https://www.reddit.com/r/COVID19positive/comments/hp13gr/do_we_need_to_quarantine_from_each_other/")</f>
        <v/>
      </c>
      <c r="G2956" t="inlineStr">
        <is>
          <t>2020-07-10 18:05:14</t>
        </is>
      </c>
      <c r="H2956" t="inlineStr">
        <is>
          <t>Tested Positive - Friends</t>
        </is>
      </c>
    </row>
    <row r="2957">
      <c r="A2957" t="inlineStr">
        <is>
          <t>hp206r</t>
        </is>
      </c>
      <c r="B2957" t="inlineStr">
        <is>
          <t>Getting a check up after COVID19</t>
        </is>
      </c>
      <c r="C2957" t="inlineStr">
        <is>
          <t>I have “recovered” from COVID19 and have now tested positive for antibodies. I’m still having strange symptoms like RLS and brain fog. I have a rare blood type (AB) and I’m worried I may have been effected beyond just two weeks of being ill. How do I go about getting checked out by my doctor? Can a general practitioner help me? What tests should be run?</t>
        </is>
      </c>
      <c r="D2957" t="n">
        <v>1</v>
      </c>
      <c r="E2957" t="n">
        <v>2</v>
      </c>
      <c r="F2957">
        <f>HYPERLINK("https://www.reddit.com/r/COVID19positive/comments/hp206r/getting_a_check_up_after_covid19/")</f>
        <v/>
      </c>
      <c r="G2957" t="inlineStr">
        <is>
          <t>2020-07-10 19:09:00</t>
        </is>
      </c>
      <c r="H2957" t="inlineStr">
        <is>
          <t>Tested Positive - Me</t>
        </is>
      </c>
    </row>
    <row r="2958">
      <c r="A2958" t="inlineStr">
        <is>
          <t>hp23au</t>
        </is>
      </c>
      <c r="B2958" t="inlineStr">
        <is>
          <t>We can overcome this pandemic.</t>
        </is>
      </c>
      <c r="C2958" t="inlineStr">
        <is>
          <t>July 3: Felt a bit feverish during the day
July 4: Low grade fever (99.8), took tylenol and it subsided.
July 5-6: Same as July 4
July 7: Started to have dry cough due to an inch on my throat which is normal everytime i have a fever. Sore throat in the morningbafter i wake up. After drinking water sore throat is gone. On/off fever (99.8 is my highest) still there.
July 8: Started to loss taste, i can only taste sweet,bitter and sour the flavor is gone. No fever for 15 hours. Got covid tested. Felt some SOB everytime i go to the bathroom and back to my room. My sp02 is around 93-94,  need couple seconds to breathe then my oxygen lvl is around 96-97.
July 9: Felt like crap the whole day, got lower back pain everytime i cough.  On/off fever still. Tried inhaling steam (boiled salt, lemon, ginger) it helps with my cough. SOB srill the same as July 9.
July 10: Tested positive, feeling better than yesterday but on/off fever still there. SOB still there. I can taste a bit of flavors now, no more back pain. Dr. prescribed some zpac for 5 days. I'm taking vitamin c since day one. I just started taking vit. D today and zinc will be tomorrow i just ordered one.</t>
        </is>
      </c>
      <c r="D2958" t="n">
        <v>1</v>
      </c>
      <c r="E2958" t="n">
        <v>12</v>
      </c>
      <c r="F2958">
        <f>HYPERLINK("https://www.reddit.com/r/COVID19positive/comments/hp23au/we_can_overcome_this_pandemic/")</f>
        <v/>
      </c>
      <c r="G2958" t="inlineStr">
        <is>
          <t>2020-07-10 19:15:08</t>
        </is>
      </c>
      <c r="H2958" t="inlineStr">
        <is>
          <t>Tested Positive - Me</t>
        </is>
      </c>
    </row>
    <row r="2959">
      <c r="A2959" t="inlineStr">
        <is>
          <t>hp2fwe</t>
        </is>
      </c>
      <c r="B2959" t="inlineStr">
        <is>
          <t>For Covid Long Haulers</t>
        </is>
      </c>
      <c r="C2959" t="inlineStr">
        <is>
          <t>Third week of March I had every symptom there was and even one that was not known yet; pink eye. I was tested the first 18 hours of my fever but my test came back negative. I was still diagnosed with Covid by three doctors. I started to feel better about three weeks fever finally went away. The next week I got a sore throat, was achy again and my fever came back. I was also really tired. My family physician did a whole slew of tests, throat culture, etc. and found out that, according to my antibody profile,  Epstein Barr virus was reactivated.  It was not a new case of mono but the Virus activated due to my illness and stress on my immune system. It has been three months and I still have my energy back completed listings are good but I still have the occasional down days.</t>
        </is>
      </c>
      <c r="D2959" t="n">
        <v>1</v>
      </c>
      <c r="E2959" t="n">
        <v>4</v>
      </c>
      <c r="F2959">
        <f>HYPERLINK("https://www.reddit.com/r/COVID19positive/comments/hp2fwe/for_covid_long_haulers/")</f>
        <v/>
      </c>
      <c r="G2959" t="inlineStr">
        <is>
          <t>2020-07-10 19:39:16</t>
        </is>
      </c>
      <c r="H2959" t="inlineStr">
        <is>
          <t>Presumed Positive - From Doctor</t>
        </is>
      </c>
    </row>
    <row r="2960">
      <c r="A2960" t="inlineStr">
        <is>
          <t>hp3f1s</t>
        </is>
      </c>
      <c r="B2960" t="inlineStr">
        <is>
          <t>Having headaches in evenings 3 months later. WTF is going on?</t>
        </is>
      </c>
      <c r="C2960" t="inlineStr">
        <is>
          <t>Any advice?</t>
        </is>
      </c>
      <c r="D2960" t="n">
        <v>1</v>
      </c>
      <c r="E2960" t="n">
        <v>5</v>
      </c>
      <c r="F2960">
        <f>HYPERLINK("https://www.reddit.com/r/COVID19positive/comments/hp3f1s/having_headaches_in_evenings_3_months_later_wtf/")</f>
        <v/>
      </c>
      <c r="G2960" t="inlineStr">
        <is>
          <t>2020-07-10 20:49:40</t>
        </is>
      </c>
      <c r="H2960" t="inlineStr">
        <is>
          <t>Presumed Positive - From Doctor</t>
        </is>
      </c>
    </row>
    <row r="2961">
      <c r="A2961" t="inlineStr">
        <is>
          <t>hp3lfb</t>
        </is>
      </c>
      <c r="B2961" t="inlineStr">
        <is>
          <t>Fighting a flare up after 4 months . Not sure if reinfected or part of the process .</t>
        </is>
      </c>
      <c r="C2961" t="inlineStr">
        <is>
          <t>I have poured all my time into researching various supplements and therapies to help with this long haul Covid syndrome . Recently I started taking a new supplement genestein. All of a sudden I’m feeling much much better. This supplement is a potent natural antiviral . I don’t want to say this did it but I will continue taking it and will report here for the next few days . I pray that maybe this brings relief to some of us long term sufferers . 🙏</t>
        </is>
      </c>
      <c r="D2961" t="n">
        <v>1</v>
      </c>
      <c r="E2961" t="n">
        <v>15</v>
      </c>
      <c r="F2961">
        <f>HYPERLINK("https://www.reddit.com/r/COVID19positive/comments/hp3lfb/fighting_a_flare_up_after_4_months_not_sure_if/")</f>
        <v/>
      </c>
      <c r="G2961" t="inlineStr">
        <is>
          <t>2020-07-10 21:02:45</t>
        </is>
      </c>
      <c r="H2961" t="inlineStr">
        <is>
          <t>Tested Positive - Me</t>
        </is>
      </c>
    </row>
    <row r="2962">
      <c r="A2962" t="inlineStr">
        <is>
          <t>hp3mxl</t>
        </is>
      </c>
      <c r="B2962" t="inlineStr">
        <is>
          <t>Just now feeling better from January. Read this for my experience</t>
        </is>
      </c>
      <c r="C2962" t="inlineStr">
        <is>
          <t>In January I got COVID. My family flew a crossed country twice and a week and a half after my flight sitting next to a California resident I got a fever and was very nauseous and weak.  It seemed to get better but then it moved to my lungs.  I felt like I had glass in my chest.  I couldn’t breathe... sometimes at all.  It crackled when I inhaled. I coughed up blood a couple times.  I could hardly sleep- never felt that before.  I’m in my mid thirties and in average shape.  Imagine going through this and then seeing the pandemic news break at the same time lol.  
It lasted for about a month. My fever lasted about a week... by the pains, weakness, dizziness and shit for breathing went on for.... months.  I feel like I started having normal deep breaths just about a month ago.. My wife thought I was exaggerating but I stayed upstairs for most of it.  I had crazy thoughts, I gave my wife the ‘If I die’ talk dozens of times.  
I only know I actually had COVID because I was able to get an antibody test a month ago.
Let’s just say you don’t want this and I can definitely see it being deadly to people that are older or compromised immune systems. It was the first time I was scared for my life from Illness.  
My thoughts are with you guys that are Ill! I hope my recovery can offer some optimism and hope for you!  I feel much better now, and I was lucky- but the odds are in your favor too!</t>
        </is>
      </c>
      <c r="D2962" t="n">
        <v>1</v>
      </c>
      <c r="E2962" t="n">
        <v>29</v>
      </c>
      <c r="F2962">
        <f>HYPERLINK("https://www.reddit.com/r/COVID19positive/comments/hp3mxl/just_now_feeling_better_from_january_read_this/")</f>
        <v/>
      </c>
      <c r="G2962" t="inlineStr">
        <is>
          <t>2020-07-10 21:05:57</t>
        </is>
      </c>
      <c r="H2962" t="inlineStr">
        <is>
          <t>Tested Positive - Me</t>
        </is>
      </c>
    </row>
    <row r="2963">
      <c r="A2963" t="inlineStr">
        <is>
          <t>hp3sst</t>
        </is>
      </c>
      <c r="B2963" t="inlineStr">
        <is>
          <t>I tested positive 2 weeks ago</t>
        </is>
      </c>
      <c r="C2963" t="inlineStr">
        <is>
          <t>My quarantine period is ending but I feel like my symptoms are getting worse. I only had the fever and chills for one to two days. Over the last week I’ve developed a bad cough. It sometimes feels like someone is sitting on my chest. These things happen mostly at night time when I’m headed to bed. I’m afraid I’ll need to quarantine a bit longer. Other strange things are happening in my knees and elbows also. Does anyone else still have or feel symptoms getting worse after the 14 days are up?</t>
        </is>
      </c>
      <c r="D2963" t="n">
        <v>1</v>
      </c>
      <c r="E2963" t="n">
        <v>6</v>
      </c>
      <c r="F2963">
        <f>HYPERLINK("https://www.reddit.com/r/COVID19positive/comments/hp3sst/i_tested_positive_2_weeks_ago/")</f>
        <v/>
      </c>
      <c r="G2963" t="inlineStr">
        <is>
          <t>2020-07-10 21:18:15</t>
        </is>
      </c>
      <c r="H2963" t="inlineStr">
        <is>
          <t>Tested Positive - Me</t>
        </is>
      </c>
    </row>
    <row r="2964">
      <c r="A2964" t="inlineStr">
        <is>
          <t>hp4wrz</t>
        </is>
      </c>
      <c r="B2964" t="inlineStr">
        <is>
          <t>Entire family has 7-8 days of 102-103 fever, what next?</t>
        </is>
      </c>
      <c r="C2964" t="inlineStr">
        <is>
          <t>My mom and aunt (both late 50s and early 60s) have been running a constant all day fever of constant 100-103, only dropping when she takes Tylenol.  Usually takes 1-3 hours before her temp goes down.  My mom also has dry throat / minor cough, chills, diarrhea, bad body and headaches.  oximeter is now around 95% (was 97%+ at beginning) and bpm ~90.
They both started having these symptoms around 7-8 ago, starting with the fever of then aches, then coughs.  They tested on day 2 and day 3 respectively and still haven’t heard back (was told test results take up to a week!!) but at this point everyone thinks it’s Covid.  They are quarantined in one house together with my uncle (who just started getting a fever yesterday too).  
I can’t believe everyone is getting sick, I know my family has been super careful, always wear mask/wash hands/never see other people.  They literally live pretty far from everyone in the suburbs and haven’t seen anyone apart from each other basically.  
I’m really worried and not sure what to tell them to expect or do other than try to stay healthy, lots of water and Gatorade, boost immune system, get vitamin C.  Nobody has gone to hospital but at what point should they?  I heard if oxygen levels around 90 then they should go.
How long should they be running fevers?  Anyone’s fever been this high for this long?  What’s mild vs moderate vs severe differences in symptoms? Any other symptoms or signs that it was getting worse/better?  Is there anything I can tell them to do?</t>
        </is>
      </c>
      <c r="D2964" t="n">
        <v>1</v>
      </c>
      <c r="E2964" t="n">
        <v>11</v>
      </c>
      <c r="F2964">
        <f>HYPERLINK("https://www.reddit.com/r/COVID19positive/comments/hp4wrz/entire_family_has_78_days_of_102103_fever_what/")</f>
        <v/>
      </c>
      <c r="G2964" t="inlineStr">
        <is>
          <t>2020-07-10 22:49:31</t>
        </is>
      </c>
      <c r="H2964" t="inlineStr">
        <is>
          <t>Presumed Positive - From Test</t>
        </is>
      </c>
    </row>
    <row r="2965">
      <c r="A2965" t="inlineStr">
        <is>
          <t>hp54af</t>
        </is>
      </c>
      <c r="B2965" t="inlineStr">
        <is>
          <t>Interpreting COVID-19 results?</t>
        </is>
      </c>
      <c r="C2965" t="inlineStr">
        <is>
          <t>So my friend got her test results back on her patient portal but hasn’t been called about her test yet. 
On her results it says that SARS-CoV-2 is “detected” and then next to that it says ABN. It says that detected means she’s positive, but does anyone know what the ABN means?</t>
        </is>
      </c>
      <c r="D2965" t="n">
        <v>1</v>
      </c>
      <c r="E2965" t="n">
        <v>3</v>
      </c>
      <c r="F2965">
        <f>HYPERLINK("https://www.reddit.com/r/COVID19positive/comments/hp54af/interpreting_covid19_results/")</f>
        <v/>
      </c>
      <c r="G2965" t="inlineStr">
        <is>
          <t>2020-07-10 23:07:50</t>
        </is>
      </c>
      <c r="H2965" t="inlineStr">
        <is>
          <t>Tested Positive - Friends</t>
        </is>
      </c>
    </row>
    <row r="2966">
      <c r="A2966" t="inlineStr">
        <is>
          <t>hp56db</t>
        </is>
      </c>
      <c r="B2966" t="inlineStr">
        <is>
          <t>Long term- five months- just ragged</t>
        </is>
      </c>
      <c r="C2966" t="inlineStr">
        <is>
          <t>After five months, I am just done in.
I'm better than I was but still getting knocked down by the smallest amount of activity. It's all so stupid. I keep hesitating to post here because I don't want to scare others. But I need support, I need to be able to talk about this.
A few days ago, I almost posted that I was !!!getting better omg!!! Today I'm back in bed. I moved to live with my adult kids and even though I'm not doing much, mostly sitting, I've been talking more, thinking more, having the stress of multiple interactions, adjusting to a new bed, whatever. And my youngest (18) keeps going out socializing with groups of other teens, nobody wearing masks or keeping distance. I finally had a breakdown about it last night and told him I cannot be around him if he is not going to take precautions.
- Removing a video link in case that's why my post didn't show up yesterday
For those interested, my current symptoms are fatigue, muscle/joint aches and pains, chest pressure/burning/pain (coughing up green mucus off &amp;amp; on still), headaches, numb hands, GI pain and bloating, brain fog, memory/word finding problems and dizziness. Drink at least a gallon a day and always feel dehydrated. Heartburn every time I eat no matter what it is.</t>
        </is>
      </c>
      <c r="D2966" t="n">
        <v>1</v>
      </c>
      <c r="E2966" t="n">
        <v>23</v>
      </c>
      <c r="F2966">
        <f>HYPERLINK("https://www.reddit.com/r/COVID19positive/comments/hp56db/long_term_five_months_just_ragged/")</f>
        <v/>
      </c>
      <c r="G2966" t="inlineStr">
        <is>
          <t>2020-07-10 23:13:09</t>
        </is>
      </c>
      <c r="H2966" t="inlineStr">
        <is>
          <t>Presumed Positive - From Doctor</t>
        </is>
      </c>
    </row>
    <row r="2967">
      <c r="A2967" t="inlineStr">
        <is>
          <t>hp57ev</t>
        </is>
      </c>
      <c r="B2967" t="inlineStr">
        <is>
          <t>Well the results are in and I tested positive, figured I'd share my quick non-horror story for the sub</t>
        </is>
      </c>
      <c r="C2967" t="inlineStr">
        <is>
          <t>I'm a 27 year old M who just got his results back and figured I'd share my relatively mild experience with covid;
Thursday - Friday 6/25-26: Woke up on Thursday morning with a slight scratchy throat and very mild nasal congestion, felt a little warm here and there but overall it felt just like my allergies were acting up which continued into Friday. Didn't feel "sick" yet, apart from maybe 10 total coughs between both days, which never ended up coming back
Saturday 6/27: Woke up with the same symptoms only I noticed my smell and taste were starting to decline but still didn't feel sick, the scratchy throat had went away by this point
Sunday 6/28: On Sunday, I noticed my taste and smell were completely gone and the congestion hadn't gone way but otherwise I felt fine, no fever or cough but I started monitoring my temperature which stayed in low to mid 98s for the next several days
Monday 6/29- Wednesday 7/1: Same symptoms as above, only with about 10% more fatigue but it was overall nothing debilitating. Roommate's gf's test came back positive on 6/30 (both of them and me had an almost identical experience except my roommate had much more of a cough)
Thursday 7/2: Got tested, felt fine until later that afternoon when I started briefly started running a 101 fever, which went down to 99.5 after Tylenol
Friday 7/3: Still mildly congested, I felt noticeably warmer most of the day and my temperature stayed in the mid to high 99's. 
Saturday 7/4: Same as the day before only I felt slightly cooler, but a little more tired. Ended up trying to use the day rest/recover
Sunday 7/5: Probably the most exhausted I felt during the whole illness, my fever came back and would rise into the low 100's but responded fairly okay to tylenol. Never got lower than 99.4. My taste started lightly coming back but I could only smell strong odors like cologne, bleach, etc.
Monday 7/6: The congestion had mostly went away by this point but the low grade fever was still hovering in the low 99's. Woke up that night/early Tuesday morning sweating for the first time, but didn't check my temperature. Felt like the low 100's.
Tuesday 7/7: Woke up feeling much better than the previous 4 days, and my temperature measured it's lowest at 97.7 that day and didn't rise beyond that. Taste and smell both nearly at 100%, just had a little lingering exhaustion but felt completely fine by the afternoon.
Wednesday 7/8-now: Woke up on Wednesday feeling 100% better with my taste and smell back and no hint of a fever
&amp;amp;#x200B;
And there you have it, had a  mild 13-14 day case of covid that felt kinda like allergies mixed with a little added fever/fatigue. It was uncomfortable for a few days, but tylenol seemed to work pretty well for the 4 main feverish days. For context I'm 27 and have no comorbidities, but it's probably worth mentioning that I'm severely vitamin d deficient and also have type A+ blood, which I know have been linked to severe illness so I guess I lucked out? Lol
I hope this is a somewhat hopeful read for anyone as freaked out about catching this as I was lol I'm open to questions if any of wanna ask away!</t>
        </is>
      </c>
      <c r="D2967" t="n">
        <v>1</v>
      </c>
      <c r="E2967" t="n">
        <v>125</v>
      </c>
      <c r="F2967">
        <f>HYPERLINK("https://www.reddit.com/r/COVID19positive/comments/hp57ev/well_the_results_are_in_and_i_tested_positive/")</f>
        <v/>
      </c>
      <c r="G2967" t="inlineStr">
        <is>
          <t>2020-07-10 23:15:45</t>
        </is>
      </c>
      <c r="H2967" t="inlineStr">
        <is>
          <t>Tested Positive - Me</t>
        </is>
      </c>
    </row>
    <row r="2968">
      <c r="A2968" t="inlineStr">
        <is>
          <t>hp61rz</t>
        </is>
      </c>
      <c r="B2968" t="inlineStr">
        <is>
          <t>I’m scared shitless</t>
        </is>
      </c>
      <c r="C2968" t="inlineStr">
        <is>
          <t>I just tested positive this evening, after 1-2 days of symptoms. I’ve been working in a grocery store throughout the pandemic, and all the anti mask Karens finally got me. I had actually put in my two weeks at aforementioned grocery store and was getting tested for clearance for my new job, and then it came back positive...
my symptoms have just been an intense sinus headache and mild congestion, but no fever. ever since I found out, I feel like I’ve been more self aware of my breathing and finding it harder. it’s currently 2AM and i’m sitting up, paranoid that if i lay down and sleep i’ll stop breathing in the middle of the night. 
additionally, i’m worried about my partner who lives with me in our 1 bedroom, 2 total rooms apartment. when he heard i tested positive, he just kissed me and told me that he definitely has it too then and will go get tested. i feel guilty for possibly infecting him and am paranoid that living with me will make his viral load worse. 
i just am terrified and scared for the worst, even though i’m a 20 year old with no pre-existing conditions except for being overweight (yet not obese).</t>
        </is>
      </c>
      <c r="D2968" t="n">
        <v>1</v>
      </c>
      <c r="E2968" t="n">
        <v>40</v>
      </c>
      <c r="F2968">
        <f>HYPERLINK("https://www.reddit.com/r/COVID19positive/comments/hp61rz/im_scared_shitless/")</f>
        <v/>
      </c>
      <c r="G2968" t="inlineStr">
        <is>
          <t>2020-07-11 00:33:56</t>
        </is>
      </c>
      <c r="H2968" t="inlineStr">
        <is>
          <t>Tested Positive - Me</t>
        </is>
      </c>
    </row>
    <row r="2969">
      <c r="A2969" t="inlineStr">
        <is>
          <t>hp6el0</t>
        </is>
      </c>
      <c r="B2969" t="inlineStr">
        <is>
          <t>From Negative to Positive</t>
        </is>
      </c>
      <c r="C2969" t="inlineStr">
        <is>
          <t>Hi everyone.
Im 23F and just found out I tested positive. I've never made a reddit post but wanted to come here to not only ask for a little reassurance that everything is going to be okay (as I am in shock and completely scared) but to also answer absolutely any questions someone has who thinks they might be positive.
Here was the experience of my symptoms and what led me to be tested:
I went to South Carolina the 25th-29th and returned home on the 30th. As soon as I returned back to Ohio I felt super tired the next day at work but figured it was just exhaustion from vacation. The following day on July 1st I was sent by my employer to have a Covid test done. They did a throat swab on me and called me by 8 A.M the next morning with Negative results. I still was not convinced though as something felt extremely off. I shouldn't still be THIS tired 3 days after returning from vacation. The week continues and I still felt tired every day but it was nothing I couldn't manage. Fast forward to Sunday, July 5th and I began having TERRIBLE muscle aches in the middle of the night. The aches were so bad that sleep just wasn't an option. I had these aches on Monday and Tuesday night as well until Wednesday my employer encouraged me go get tested again. The muscle aches were so bad that all the following days my body felt like I did a full body workout the days prior. Wednesday morning on July 8th I went to another location and got tested. This time I received a nasal swab. (It was not the painful nasal test, just a quick q-tip swab on both sides of my nostrils). Wednesday and Thursday were sleepless nights from the aches, and I lost my sense of taste and smell on Thursday morning. It was mind blowing to me that I could pick up my peppermint essential oil and smell nothing. I ended up doing the pickle juice test and grabbed a jar, drank it, and no taste at all. This is when I really began to worry. I never had much of a "dry cough" but did have a wet cough on Sunday, Monday and Tuesday. Fast Forward to Saturday, 6/11 at 2 in the morning and my Positive test results were posted on my Lab Portal. 
Again, I am 23F with no underlying health conditions at all. I had a Nissen surgery for Acid Reflux last summer but that is the extent of my health conditions. I'll break down my daily symptoms below.
Sunday, July 5th - Muscle aches (worse at night), Fatigue, Exhaustion, Wet Cough
Monday, July 6th - Muscle aches (worse at night), Fatigue, Exhaustion, Wet Cough
Tuesday, July 7th - Muscle aches, Extreme Fatigue from no sleep the previous nights, runny nose
Wednesday, July 8th - Fatigue, shortness of breath (wore out from walking up and down my stairs), muscle aches
On Wednesday night I began having an extreme ache in the back of my right thigh. It almost feels like a muscle strain. It is super tender to touch and is a constant throbbing pain and feels like it's bruised. I'm not sure if this is a result of the excruciating night time muscle aches. Please let me know if anyone else has had this happen. I'm keeping the back of my leg iced and elevated. 
Thursday, July 9th - Loss of Taste and Smell, Muscle Pain on my right thigh, Aching Knees, Shortness of Breath, Exhaustion, Fatigue
Friday, July 10th - No Taste or Smell, Pain on right thigh, Aching Legs, Shortness of Breath, Fatigue, Exhaustion, Diarrhea, and I started breaking a sweat in the middle of the day.
I just started checking my temperature on Friday and it was 99.3. I usually have a temperature around 97.7 so this is high for me. 
I am still in a numb state of shock that I tested positive and now am in a constant worry that I infected others since my first test was Negative and the second was Positive. This virus definitely does not discriminate and I wish all of the prayers and positive thoughts to everyone during this scary time!</t>
        </is>
      </c>
      <c r="D2969" t="n">
        <v>1</v>
      </c>
      <c r="E2969" t="n">
        <v>8</v>
      </c>
      <c r="F2969">
        <f>HYPERLINK("https://www.reddit.com/r/COVID19positive/comments/hp6el0/from_negative_to_positive/")</f>
        <v/>
      </c>
      <c r="G2969" t="inlineStr">
        <is>
          <t>2020-07-11 01:08:27</t>
        </is>
      </c>
      <c r="H2969" t="inlineStr">
        <is>
          <t>Tested Positive - Me</t>
        </is>
      </c>
    </row>
    <row r="2970">
      <c r="A2970" t="inlineStr">
        <is>
          <t>hp6key</t>
        </is>
      </c>
      <c r="B2970" t="inlineStr">
        <is>
          <t>What should I do if isolating fully isn’t possible? (As a positive)</t>
        </is>
      </c>
      <c r="C2970" t="inlineStr">
        <is>
          <t>So I’m 20F and tested positive yesterday. I kinda am concerned about my living situation and the risk it poses to others. I basically have 2 options. 
1). I have an apartment that I share with 3 other girls, with one shared bathroom. One of them has a severe auto immune disease, so when I tested positive I initially told them I wouldn’t be staying in the house. I would have my own bedroom, but all other space (kitchen/bathroom/etc) is shared. 
2). My long term boyfriend has a one bedroom, one bathroom apartment that I already spend 98% of my nights in. When I tested positive, he assumed that he has it too because i’ve been only staying with him and have been in extreme close contact for weeks before i ever tested positive. I was asymptomatic at the time of my test yesterday (I only got tested for work clearance) and we have been all over each other and exchanging all sorts of.... bodily fluids 😖 He wants me to stay here with him, but his apartment is only one room (with the kitchen in a sort of “hallway” connecting his bedroom and front door and we would also have to share a bathroom. 
My current train of thought is to stay with my boyfriend, because he is already exposed and doesn’t have an auto immune disorder like one of my housemates. But his apartment is so small that it isn’t possible to socially distance which I feel like could jeopardize my (and his!) recovery. 
Which is the lesser of two evils here?</t>
        </is>
      </c>
      <c r="D2970" t="n">
        <v>1</v>
      </c>
      <c r="E2970" t="n">
        <v>13</v>
      </c>
      <c r="F2970">
        <f>HYPERLINK("https://www.reddit.com/r/COVID19positive/comments/hp6key/what_should_i_do_if_isolating_fully_isnt_possible/")</f>
        <v/>
      </c>
      <c r="G2970" t="inlineStr">
        <is>
          <t>2020-07-11 01:24:10</t>
        </is>
      </c>
      <c r="H2970" t="inlineStr">
        <is>
          <t>Tested Positive - Me</t>
        </is>
      </c>
    </row>
    <row r="2971">
      <c r="A2971" t="inlineStr">
        <is>
          <t>hp8eta</t>
        </is>
      </c>
      <c r="B2971" t="inlineStr">
        <is>
          <t>Alright. Enough is enough. When will it end? Coronavirus. The gift that keeps on giving.</t>
        </is>
      </c>
      <c r="C2971" t="inlineStr">
        <is>
          <t>As you can see from my other posts, I’ve been on a long recovery since having Coronavirus in May with persistent albeit mild symptoms (I wasn’t hospitalized). Last week I began to develop some mild pain in my upper left abdominal area. I initially attributed this to a procedure I had done for unrelated health reasons (endoscopic manometry) and assumed it was normal and temporary. However, the pain became more severe and diffuse and started to move across my whole abdomen. So then my doctor and I suspected it may be side effects from the maintenance dose of prednisone I’ve been on to help with the covid symptoms. Eventually it became such a bad pain that I started going to the ER once again with repeated trips. On my most recent visit after a ct scan they found out that my large intestine was inflamed. In addition to this I’ve also began to experience extreme chest pain and back pain that feels like I’m being squeezed in a vice. This has also led to repeated trips to the ER. However bloodwork, ekg, imaging scans, never reflect a reason for the pain and then I’m discharged. I’ve also developed an odd skin rash that resembles chicken pox on my chest and arms. Once again I initially attributed this to something else too. Figuring it was just plain acne from sweating in the summer heat, irritation from ekg leads and tape placed on me in my many hospital visits, or skin irritation from being on the prednisone for so long. However, upon doing some further research, I discovered other people ran a similar course of illness as I did then developed these exact same problems later as I am now. What in the actual fuck? Is this a reinfection? A relapse or reactivation of the dormant virus? Just the typical course of the virus? Nobody knows obviously. Has anyone else experienced similar? I’m about at wits end with this whole thing and drowning in debt with medical bills from it.</t>
        </is>
      </c>
      <c r="D2971" t="n">
        <v>1</v>
      </c>
      <c r="E2971" t="n">
        <v>15</v>
      </c>
      <c r="F2971">
        <f>HYPERLINK("https://www.reddit.com/r/COVID19positive/comments/hp8eta/alright_enough_is_enough_when_will_it_end/")</f>
        <v/>
      </c>
      <c r="G2971" t="inlineStr">
        <is>
          <t>2020-07-11 04:22:06</t>
        </is>
      </c>
      <c r="H2971" t="inlineStr">
        <is>
          <t>Tested Positive - Me</t>
        </is>
      </c>
    </row>
    <row r="2972">
      <c r="A2972" t="inlineStr">
        <is>
          <t>hp8w5b</t>
        </is>
      </c>
      <c r="B2972" t="inlineStr">
        <is>
          <t>Long term effects?</t>
        </is>
      </c>
      <c r="C2972" t="inlineStr">
        <is>
          <t>This may or may not belong on this sub but I don't know where else to put this.
I'm a relatively healthy 23 year old male in the Pacific Northwest. I got the coronavirus on June 1st and successfully fought it off around June 20th. Recent studies have shown that people who have been affected by the coronavirus might have a decrease in their cognitive abilities. It may be too early to tell, and although my time with the coronavirus wasn't exactly fun it wasn't a super bad case of it. 
But I have noticed ever since I got out of quarantine that I find it hard to find the words while I am speaking them. While I was writing this post I had to stop a few times because I lost my train of thought. I'm a bachelor student at a local college so I consider myself fairly educated and I never noticed this issue before. It's the type of cloudiness that you have in your mind after you wake up from a deep sleep that was interrupted unexpectedly. I've noticed it in the past week or two because it's become more prevalent. Having conversations with someone over the phone, just talking to someone in person and little things that I shouldn't have an issue remembering. 
I'm just curious if anybody else who had the coronavirus, and beat it, or who currently have it notice the same issues. Thanks in advance.</t>
        </is>
      </c>
      <c r="D2972" t="n">
        <v>1</v>
      </c>
      <c r="E2972" t="n">
        <v>42</v>
      </c>
      <c r="F2972">
        <f>HYPERLINK("https://www.reddit.com/r/COVID19positive/comments/hp8w5b/long_term_effects/")</f>
        <v/>
      </c>
      <c r="G2972" t="inlineStr">
        <is>
          <t>2020-07-11 05:04:32</t>
        </is>
      </c>
      <c r="H2972" t="inlineStr">
        <is>
          <t>Tested Positive - Me</t>
        </is>
      </c>
    </row>
    <row r="2973">
      <c r="A2973" t="inlineStr">
        <is>
          <t>hpb6nr</t>
        </is>
      </c>
      <c r="B2973" t="inlineStr">
        <is>
          <t>My COVID-19 experience</t>
        </is>
      </c>
      <c r="C2973" t="inlineStr">
        <is>
          <t>I feel like I should share my experience after reading several posts on here. I'm 44, no where near in shape, non-smoker, non-drinker. I had my first symptom on 6/16 which was a fever and I tested positive on 6/18. Everything was going fine and I felt that I had a mild case and was planning on just riding it out. On around 6/24 I noticed that I couldn't take as deep a breath as I used to. I got a pulse oximeter and found I was getting about 92-94% saturation so I didn't panic and continued isolating at home. The next day I woke up with a headache and I noticed any little activity winded me like just walking 15 feet to my restroom would have me panting. I checked my saturation and was at 90-92% so I decided that I just needed to take it easy. Early in the morning I woke up with a massive headache and just feeling awful. I quickly checked my saturation and i was at 82%. I called my wife and told her that I needed to go to the ER. Got checked in and they immediately put me on oxygen. I got admitted and was there for 3 days. I got a steroid called Dexamethasone to help my lungs recover and I also got some Lovenox, a blood thinner because there's another symptom of COVID-19 that barely gets mentioned and that is your blood thickens and has been causing blood clots in some covid patients. On the 3rd day of my hospital stay I felt great. I could take deep breaths again, didn't have any fever, and I was back to 95% saturation without added oxygen. This virus is no joke. Please wear a mask and distance as much as you can from people. I was doing that and still got infected. Then again I am in Texas and we have our fair share of covidiots. Stay safe everyone!</t>
        </is>
      </c>
      <c r="D2973" t="n">
        <v>1</v>
      </c>
      <c r="E2973" t="n">
        <v>33</v>
      </c>
      <c r="F2973">
        <f>HYPERLINK("https://www.reddit.com/r/COVID19positive/comments/hpb6nr/my_covid19_experience/")</f>
        <v/>
      </c>
      <c r="G2973" t="inlineStr">
        <is>
          <t>2020-07-11 07:48:15</t>
        </is>
      </c>
      <c r="H2973" t="inlineStr">
        <is>
          <t>Tested Positive - Me</t>
        </is>
      </c>
    </row>
    <row r="2974">
      <c r="A2974" t="inlineStr">
        <is>
          <t>hpbdd5</t>
        </is>
      </c>
      <c r="B2974" t="inlineStr">
        <is>
          <t>What to eat?</t>
        </is>
      </c>
      <c r="C2974" t="inlineStr">
        <is>
          <t>Hey friends! So I found yesterday I tested positive for Covid. 
My cough isn’t too bad, no fever, oxygen levels are good. Little congestion. Sinus pressure here are there. I’m slightly nauseous this morning but it could be because I’ve only taken vitamins, Mucinex and drank water. 
So the question is: what are good foods to eat during this time to support my immune system?</t>
        </is>
      </c>
      <c r="D2974" t="n">
        <v>1</v>
      </c>
      <c r="E2974" t="n">
        <v>12</v>
      </c>
      <c r="F2974">
        <f>HYPERLINK("https://www.reddit.com/r/COVID19positive/comments/hpbdd5/what_to_eat/")</f>
        <v/>
      </c>
      <c r="G2974" t="inlineStr">
        <is>
          <t>2020-07-11 08:00:00</t>
        </is>
      </c>
      <c r="H2974" t="inlineStr">
        <is>
          <t>Tested Positive - Me</t>
        </is>
      </c>
    </row>
    <row r="2975">
      <c r="A2975" t="inlineStr">
        <is>
          <t>hpcbag</t>
        </is>
      </c>
      <c r="B2975" t="inlineStr">
        <is>
          <t>How do you cope with loss of sense/smell? Any strategies to share ?</t>
        </is>
      </c>
      <c r="C2975" t="inlineStr">
        <is>
          <t>Hi everyone ! I’m on Day 21 of recovery, and I’ve been feeling almost 100%, but I still do not have my sense of smell back. It’s been gone since Day 3. I was wondering how all of you have been coping with not being able to taste your food or even smell the air. 
Have you used any training methods to regain your sense of smell ? 
Please share if you have any thoughts/advice! 
Thanks, everyone !</t>
        </is>
      </c>
      <c r="D2975" t="n">
        <v>1</v>
      </c>
      <c r="E2975" t="n">
        <v>5</v>
      </c>
      <c r="F2975">
        <f>HYPERLINK("https://www.reddit.com/r/COVID19positive/comments/hpcbag/how_do_you_cope_with_loss_of_sensesmell_any/")</f>
        <v/>
      </c>
      <c r="G2975" t="inlineStr">
        <is>
          <t>2020-07-11 08:56:15</t>
        </is>
      </c>
      <c r="H2975" t="inlineStr">
        <is>
          <t>Tested Positive - Me</t>
        </is>
      </c>
    </row>
    <row r="2976">
      <c r="A2976" t="inlineStr">
        <is>
          <t>hpcxbk</t>
        </is>
      </c>
      <c r="B2976" t="inlineStr">
        <is>
          <t>Mother in COVID study- tests positive- now my whole family has it.</t>
        </is>
      </c>
      <c r="C2976" t="inlineStr">
        <is>
          <t>My mother is a healthcare worker and researcher at a large metropolitan hospital. She drops off a Covid test every week as a part of a back to work study. Last week she dropped off a sample (Tuesday June 30). Her test came back with one of the two markers needed to be a confirmed positive. The research is running the study we’re anxiously waiting her test drop off this week as they believed that she would be positive. They were correct in that assumption but NEVER TOLD HER and she spread the virus to myself and 5 of our family members (ages 1.5-58). This is a post for another time, but I cannot believe that they did not tell her that she was probably positive for the virus as all of this could’ve been avoided.
Anyway, my husband had to be hospitalized for a mental health crisis and as a preventative measure they tested him for COVID and he was positive (Monday). My daughter and I went ahead and got tested and so did my father Tuesday (all positive). We all caught our coronavirus so early that we all tested positive before symptoms started showing. As a preventative measure I began taking my inhaler at least two times a day, along with Zyrtec and Fluticasone nasal spray, a multi vitamin and 2 500 mg Tylenol a day. My first symptom was the loss of smell and a mild headache. I have now been showing symptoms for five whole days and I have never experienced anything like this before. 
This is my (and my family’s) experience with COVID so far. Husband remained asymptomatic throughout
Day 1 MONDAY- first positive test- NO symptoms for any family member.
Day 2 TUESDAY- my father (58 yrs) &amp;amp; daughter (1.5 yrs) have a mild fevers. I have a headache. My sense of smell is muted. I can only smell chemicals. Feeling sleepy. 
Day 3 WEDNESDAY- daughter has fever of 101.4 at its peak. Father has fever/headaches body aches. My sense of smell is GONE. 
Day 4 THURSDAY- Father/myself/daughter all have headaches. Daughter still has fever off and on. I cannot taste or smell. This is where it gets weird I start to feel my nasal cavity get smaller and smaller. Breathing through my nose is harder than usual. I double my dose of nasal spray. This helped a TON. My daughters fever comes and goes. Father and mother are both feeling pretty tired and rather ill at this point. Mother has been ok up until now. 
Day 5 FRIDAY- I can feel my nasal cavity opening back up (thank you nasal spray!). Daughters fever is more mild. All of us have the same lingering and mild headache. Father is very tired and sleeping a lot. Mom is trucking through but that’s what she does.
Day 6 SATURDAY- father sleeping all day. I feel fine except for a mild headache. My lymph nodes are swollen which I take as proof that my body’s immune system is working. Daughter no longer has fever. Mother is feeling better. Starting to worry about Dad, though. I experience phantom smells (not even kidding) of food that I wish I could eat. 
I have honestly never felt anything like this before. You can literally feel your nasal cavity and your body’s breathing apparatus tightening. The Fluticasone helped a ton. I am no doctor but with my personal issues with sinus trouble I felt like I needed to take that and I don’t regret it. Speak to your doctor before taking any meds. The distinct chemical smell that I experienced right before the complete loss of smell took me off guard. I am very in tune with my body and I’ve never felt it react to a virus in such away. I’m not a conspiracy theorist but I am a human being who has been sick many times in her life and this just did not feel like anything I have experienced before.
The situation is ongoing, but I thought it would be helpful to give a first hand account of a family who all tested positive together. We will all be part of a study at my mothers hospital on coronavirus and genetics. I will update with information about that as it becomes available.</t>
        </is>
      </c>
      <c r="D2976" t="n">
        <v>1</v>
      </c>
      <c r="E2976" t="n">
        <v>17</v>
      </c>
      <c r="F2976">
        <f>HYPERLINK("https://www.reddit.com/r/COVID19positive/comments/hpcxbk/mother_in_covid_study_tests_positive_now_my_whole/")</f>
        <v/>
      </c>
      <c r="G2976" t="inlineStr">
        <is>
          <t>2020-07-11 09:30:57</t>
        </is>
      </c>
      <c r="H2976" t="inlineStr">
        <is>
          <t>Tested Positive - Family</t>
        </is>
      </c>
    </row>
    <row r="2977">
      <c r="A2977" t="inlineStr">
        <is>
          <t>hpd6xa</t>
        </is>
      </c>
      <c r="B2977" t="inlineStr">
        <is>
          <t>Went to Doctor Yesterday. Waiting on Test Results</t>
        </is>
      </c>
      <c r="C2977" t="inlineStr">
        <is>
          <t>I’m a 24(F) living in Austin, TX. For the last week or two, I’ve felt extreme fatigue, brain fog, and had headaches behind my eyes and forehead. I recently moved and have just had a really stressful season, and I struggle with anxiety. Usually when I am really anxious, I get dizzy, tired, shortness of breath. So I’ve been assuming I’m just stressed af. Well I’ve had intense sinus pressure the last couple of days. No coughing, no fever, no body aches. Just crazy exhausted, headaches, and sinus pressure. Went to the doctor yesterday and she said my ears were congested (didn’t look at my nose) and that I could have a sinus infection and/or COVID. So they tested me and I have to wait 5 days for the results, since they are so backlogged with tests. If I was anxious before, I’m definitely anxious now. I am hoping my symptoms do not progress and that my husband (26) doesn’t get sick as well... he’s had a slight cough for a long time, and we both struggle with allergies. It’s so hard to tell what’s going on with all these ambiguous symptoms, especially since neither one of us has had the “staple” symptoms of COVID like fever, coughing, shortness of breath, etc.</t>
        </is>
      </c>
      <c r="D2977" t="n">
        <v>1</v>
      </c>
      <c r="E2977" t="n">
        <v>8</v>
      </c>
      <c r="F2977">
        <f>HYPERLINK("https://www.reddit.com/r/COVID19positive/comments/hpd6xa/went_to_doctor_yesterday_waiting_on_test_results/")</f>
        <v/>
      </c>
      <c r="G2977" t="inlineStr">
        <is>
          <t>2020-07-11 09:45:55</t>
        </is>
      </c>
      <c r="H2977" t="inlineStr">
        <is>
          <t>Presumed Positive - From Doctor</t>
        </is>
      </c>
    </row>
    <row r="2978">
      <c r="A2978" t="inlineStr">
        <is>
          <t>hpdd7y</t>
        </is>
      </c>
      <c r="B2978" t="inlineStr">
        <is>
          <t>Friend tested positive and is now cleared to resume her normal activities without a negative test.</t>
        </is>
      </c>
      <c r="C2978" t="inlineStr">
        <is>
          <t>My friend, M, tested positive 2 weeks ago and was around several family members in the week leading up to the positive test. She is pregnant. She is also married and has a daughter. Everyone else received negative test results.
Now, her ob/gyn requested that M have a negative test before coming to an appointment, as is expected. Her primary care provider, however, will not re-test her because, he states that since it has been 14 days, M is fine to do as she pleases.
Another friend tested positive and was cleared to go back to work after 10 days.
What. The. Hell? Why?
Does anyone understand this?</t>
        </is>
      </c>
      <c r="D2978" t="n">
        <v>1</v>
      </c>
      <c r="E2978" t="n">
        <v>10</v>
      </c>
      <c r="F2978">
        <f>HYPERLINK("https://www.reddit.com/r/COVID19positive/comments/hpdd7y/friend_tested_positive_and_is_now_cleared_to/")</f>
        <v/>
      </c>
      <c r="G2978" t="inlineStr">
        <is>
          <t>2020-07-11 09:55:58</t>
        </is>
      </c>
      <c r="H2978" t="inlineStr">
        <is>
          <t>Tested Positive - Friends</t>
        </is>
      </c>
    </row>
    <row r="2979">
      <c r="A2979" t="inlineStr">
        <is>
          <t>hpdf2o</t>
        </is>
      </c>
      <c r="B2979" t="inlineStr">
        <is>
          <t>Symptoms started 14 days ago, quarantine another 14 days?</t>
        </is>
      </c>
      <c r="C2979" t="inlineStr">
        <is>
          <t>So I definitely fell ill 14 days ago (28th) if not a few a week or two before since I had other mild symptoms I chalked up to allergies. It took forever to get tested and I’m still awaiting the brain tickler nose swab results. So if I just got my positive on a rapid test, do I have to quarantine another 14 days? Here’s my journey so far:
28th: Spent 5 hours at the beach (social distancing) and we had the Sahara dust cloud coming through. I felt super congested that night but blamed the dust cloud (I have bad allergies and mild asthma). No fever, mild cough. 
29th: Super stuffy and my head has so much sinus pressure, I thought I had a bad sinus infection. Did the teledoc to get a zpak to kick it. Started losing sense of smell/taste that night. No fever, mild cough.
30th: Definitely can’t smell or taste anything and am still stuffy in the sinuses. No fever, coughing a bit more but nothing extreme. I have a mild cough from asthma so it just feels like I was exposed to an allergen, nothing unusual. 
1st: Assuming I have covid because I still can’t taste or smell anything but sinuses are getting better so maybe it was just a sinus infection. Still have annoying allergy cough but no SOB or anything and still no fever. 
2nd: Still feel the same but sinuses get better each day. My taste/smell are starting to come back slowly. I try to schedule an appointment to get a test but with the holiday the soonest I can get is the 6th.
3rd through 6th: Feeling better each day but finally have my testing appointment on the 6th. This is the brain tickler test and not the funnest thing I’ve ever done. They say I’ll have results in 48-72 hours. 
Today: I feel almost completely normal except a bit of a nagging cough and a little stuffiness in my nose. We are supposed to go visit my in-laws but I still don’t have my results. I found out the local urgent care does the rapid test (finger prick) so I go just to be sure. It came back positive. 
TLDR: So here I sit, still waiting for the first test and with a rapid positive test. I’ve been self quarantining for the last 14 days and feel pretty good. I’ve never had a fever and I heard this little cough can linger for awhile. I’m researching and it’s all over the place on what the next steps are so I’m turning to reddit to get some opinions/advice. What would you do, quarantine another 14 days? I have two teenagers and a husband (he tested negative this morning) who are all symptom free and going crazy being stuck at home.</t>
        </is>
      </c>
      <c r="D2979" t="n">
        <v>1</v>
      </c>
      <c r="E2979" t="n">
        <v>3</v>
      </c>
      <c r="F2979">
        <f>HYPERLINK("https://www.reddit.com/r/COVID19positive/comments/hpdf2o/symptoms_started_14_days_ago_quarantine_another/")</f>
        <v/>
      </c>
      <c r="G2979" t="inlineStr">
        <is>
          <t>2020-07-11 09:59:01</t>
        </is>
      </c>
      <c r="H2979" t="inlineStr">
        <is>
          <t>Tested Positive - Me</t>
        </is>
      </c>
    </row>
    <row r="2980">
      <c r="A2980" t="inlineStr">
        <is>
          <t>hpdlmg</t>
        </is>
      </c>
      <c r="B2980" t="inlineStr">
        <is>
          <t>Wife is POSITIVE ... I don't know if i am or not .. and i can't find out</t>
        </is>
      </c>
      <c r="C2980" t="inlineStr">
        <is>
          <t>I'm a medical sales rep, i was in close contact with a known positive who died of COVID19 a week ago (i spoke to him face to face but we both wore masks a week prior to his death), my wife (despite being at home the whole time) have had the symptoms for 7 days now, i've had no symptoms what so ever.
Four days ago (back then she only had high fevers and felt abnormally tiered+ SOB at night) she got a PCR test (it came back positive) and since then the fevers became a little bit less but she lost the sense of smell and taste (the chest scan showed no abnormalities in the lungs)
Since i'm asymptomatic, the test center refuses to test me (they want to save tge test for someone who really needs it) they say that since i LIVE WITH HER there's a 95% chance that i'm positive too, but still, there's a 5% chance that i haven't caught it yet and that's why i'm healthy...
THE PROBLEM IS: 
i'm wearing a mask at home just in case i'm negative because if i start developing symptoms there would be no one else to care for us both ... the logical way of viewing things is : i got it first and gave it to her so there's no need to wear mask... but if i'm negative then get it and develop the fevers and SOB there would be no one else to make us food or care for us..
PS. before she tested positive (while she was symptomatic) we were so close, we even had intercourse regularly, we kissed every day (every hour) we slept together and we still sleep together because i need to keep a close eye on her (the SOB is really bad at night)
We're both doctors and sometimes it seems stupid for us to take precautions after being so close before the test results came but we can't risk being down both.
What are your thoughts ?</t>
        </is>
      </c>
      <c r="D2980" t="n">
        <v>2</v>
      </c>
      <c r="E2980" t="n">
        <v>23</v>
      </c>
      <c r="F2980">
        <f>HYPERLINK("https://www.reddit.com/r/COVID19positive/comments/hpdlmg/wife_is_positive_i_dont_know_if_i_am_or_not_and_i/")</f>
        <v/>
      </c>
      <c r="G2980" t="inlineStr">
        <is>
          <t>2020-07-11 10:09:06</t>
        </is>
      </c>
      <c r="H2980" t="inlineStr">
        <is>
          <t>Tested Positive - Family</t>
        </is>
      </c>
    </row>
    <row r="2981">
      <c r="A2981" t="inlineStr">
        <is>
          <t>hpdoet</t>
        </is>
      </c>
      <c r="B2981" t="inlineStr">
        <is>
          <t>Describe your prednisone experience please</t>
        </is>
      </c>
      <c r="C2981" t="inlineStr">
        <is>
          <t>How many rounds of prednisone did you take and did you get better? 
My doctor prescribed methylprednisolone and I’m on day 2. It’s only a 6 day tapered course and it seems like it will take at least 2-3 of these rounds to get to normal. 
I’m nearing day 90, and it’s gotten progressively worse even though I had a mild case. No antibodies yet.</t>
        </is>
      </c>
      <c r="D2981" t="n">
        <v>1</v>
      </c>
      <c r="E2981" t="n">
        <v>15</v>
      </c>
      <c r="F2981">
        <f>HYPERLINK("https://www.reddit.com/r/COVID19positive/comments/hpdoet/describe_your_prednisone_experience_please/")</f>
        <v/>
      </c>
      <c r="G2981" t="inlineStr">
        <is>
          <t>2020-07-11 10:13:24</t>
        </is>
      </c>
      <c r="H2981" t="inlineStr">
        <is>
          <t>Presumed Positive - From Doctor</t>
        </is>
      </c>
    </row>
    <row r="2982">
      <c r="A2982" t="inlineStr">
        <is>
          <t>hpead1</t>
        </is>
      </c>
      <c r="B2982" t="inlineStr">
        <is>
          <t>Actively Dying</t>
        </is>
      </c>
      <c r="C2982" t="inlineStr">
        <is>
          <t>That’s how the doctor described it. My 52 year old cousin  was airlifted to the hospital yesterday where it was discovered that she had pneumonia in both lungs. She had not been exhibiting any Covid symptoms before this. Sometime during the night her heart stopped, and the doctors revived her. Now they can’t bring her blood pressure down. The doctor says she won’t make it through the day. I’m angry and hurt. She didn’t deserve this.</t>
        </is>
      </c>
      <c r="D2982" t="n">
        <v>1</v>
      </c>
      <c r="E2982" t="n">
        <v>186</v>
      </c>
      <c r="F2982">
        <f>HYPERLINK("https://www.reddit.com/r/COVID19positive/comments/hpead1/actively_dying/")</f>
        <v/>
      </c>
      <c r="G2982" t="inlineStr">
        <is>
          <t>2020-07-11 10:47:27</t>
        </is>
      </c>
      <c r="H2982" t="inlineStr">
        <is>
          <t>Tested Positive</t>
        </is>
      </c>
    </row>
    <row r="2983">
      <c r="A2983" t="inlineStr">
        <is>
          <t>hperpx</t>
        </is>
      </c>
      <c r="B2983" t="inlineStr">
        <is>
          <t>Re-Tested Positive 2 Months Later</t>
        </is>
      </c>
      <c r="C2983" t="inlineStr">
        <is>
          <t>I wrote in this forum a couple days ago with concerns that I had covid again. 
I just got my results back and I tested positive again. I know some people have symptoms for weeks after, but that has not been my experience. Because it’s been 2 months, the doc is treating it like a new infection and myself, my fam, and the people I’ve been around now have to quarantine once again. 
While I wasn’t surprised 2 months ago when I got it, I’m pretty shocked now and frustrated by it all. While I think there are going to be some blessings in disguise, it’s still wrecking several important plans I had this summer, which is disappointing, on top of all the wrecking that covid has done, the world over. 
Two days ago I had some pretty bad lung pain which caused me to get tested again. Yesterday, that lung pain went away, but I had some moderate leg muscle aches that were kind of weird feeling, and they are still there today, but a bit milder. These are the only symptoms I’ve had this time around. Back when I had it originally, it was pretty mild, with some SOB for a few days, and body aches for a few days after that. 
I have not had a fever this time around, and only had one for an hour or two the first time. 
Anyway...just thought I’d post to see if anyone had anything similar. I feel pretty alone in my experience IRL.</t>
        </is>
      </c>
      <c r="D2983" t="n">
        <v>1</v>
      </c>
      <c r="E2983" t="n">
        <v>23</v>
      </c>
      <c r="F2983">
        <f>HYPERLINK("https://www.reddit.com/r/COVID19positive/comments/hperpx/retested_positive_2_months_later/")</f>
        <v/>
      </c>
      <c r="G2983" t="inlineStr">
        <is>
          <t>2020-07-11 11:15:09</t>
        </is>
      </c>
      <c r="H2983" t="inlineStr">
        <is>
          <t>Tested Positive - Me</t>
        </is>
      </c>
    </row>
    <row r="2984">
      <c r="A2984" t="inlineStr">
        <is>
          <t>hpeu4c</t>
        </is>
      </c>
      <c r="B2984" t="inlineStr">
        <is>
          <t>Just got the call, I’m positive. What should I expect?</t>
        </is>
      </c>
      <c r="C2984" t="inlineStr">
        <is>
          <t>So I think I got it last Friday. I’ve had mild symptoms all week. Cough...felt off. Friday I had a small fever. That’s when I got tested (yesterday). I’ve had just a headache and mild aches. I’m hoping I’m on the downhill side of the symptoms.</t>
        </is>
      </c>
      <c r="D2984" t="n">
        <v>1</v>
      </c>
      <c r="E2984" t="n">
        <v>6</v>
      </c>
      <c r="F2984">
        <f>HYPERLINK("https://www.reddit.com/r/COVID19positive/comments/hpeu4c/just_got_the_call_im_positive_what_should_i_expect/")</f>
        <v/>
      </c>
      <c r="G2984" t="inlineStr">
        <is>
          <t>2020-07-11 11:19:01</t>
        </is>
      </c>
      <c r="H2984" t="inlineStr">
        <is>
          <t>Tested Positive - Me</t>
        </is>
      </c>
    </row>
    <row r="2985">
      <c r="A2985" t="inlineStr">
        <is>
          <t>hpevct</t>
        </is>
      </c>
      <c r="B2985" t="inlineStr">
        <is>
          <t>Friend of mine tested positive and has been isolating for 15 days.</t>
        </is>
      </c>
      <c r="C2985" t="inlineStr">
        <is>
          <t>His fever broke probably 10 days ago. Am I safe to be around him? He has a very slight cough still lingering but it’s a dramatic improvement from how it was before. He said his doctor said he’s ok to be out as of yesterday...just want to be as safe as possible as I’m not educated on this part of the virus specifically. Any pointers or knowledge is greatly appreciated! Thanks!</t>
        </is>
      </c>
      <c r="D2985" t="n">
        <v>1</v>
      </c>
      <c r="E2985" t="n">
        <v>3</v>
      </c>
      <c r="F2985">
        <f>HYPERLINK("https://www.reddit.com/r/COVID19positive/comments/hpevct/friend_of_mine_tested_positive_and_has_been/")</f>
        <v/>
      </c>
      <c r="G2985" t="inlineStr">
        <is>
          <t>2020-07-11 11:21:00</t>
        </is>
      </c>
      <c r="H2985" t="inlineStr">
        <is>
          <t>Tested Positive - Friends</t>
        </is>
      </c>
    </row>
    <row r="2986">
      <c r="A2986" t="inlineStr">
        <is>
          <t>hpftkd</t>
        </is>
      </c>
      <c r="B2986" t="inlineStr">
        <is>
          <t>Returning to the world ....</t>
        </is>
      </c>
      <c r="C2986" t="inlineStr">
        <is>
          <t>I ( F/28) started feeling symptoms on June 21st, and my boyfriend ( M/28) tested positive on the 22nd. I had been with him the last few days before that so I assumed when I started to feel sick I was also positive and we both self- quarantined immediately after symptoms started. I didn’t get tested until that Friday the 26th, but felt like I had a cold all that week, but with more SOB and chest tightness than a usual cold. Once the runny nose stopped, I still felt like I was congested in my chest which is what was a main differentiation from when I have a cold. By July 1st I had basically no symptoms besides being tired/some muscle aches. I’m not sure about others but I wasn’t sure if the lingering muscle aches and fatigue were from being lazy for 2 weeks straight or from covid, since I usually exercise regularly. I also usually push through when I am sick so its hard to tell what was lingering sickness, or my allergies, which is one of the thousand frustrations with this illness. I’ve also been working my ass off since January and been exhausted all the time with more than usual brain fog by Friday after working all week, even before the pandemic so hard to tell what is due to COVID. 
Anyways, I tested negative on Wednesday July 8th which felt great. My boyfriend has been waiting over a week for results now from his tests ( had to take mutuel for work). He literally only lost his sense of taste on the 20th and would have no idea he had the virus unless that happened. He has his taste about 30% back now he says . Health dept. told us both we were good to stop isolating since we’re both about 3 weeks since his positive test, and haven’t had symptoms in over 10 days. 
It’s my birthday tomorrow and I’m conflicted because I  haven’t seen other people besides doctors and my BF in 3 weeks, and by the info given to me by doctors and cdc guidelines I should be non-contagious. Since I have a negative test from Wednesday , my friends are okay being around me, but since my boyfriend hasn’t gotten results back they don’t want him to be around. It’s been about 23 days since his symptoms appeared and he’s self isolated since then, If taste was his only symptom ( well “ side effect”) I would assume he’s done his due diligence by quarantining  this long? I can’t tell if I’m over reacting because I’m going stir crazy and want us both go back into world together, or if I should completely understand his friends who want to see the words “ negative” on a test. 
Just wondering if anyone has experienced something similar when trying to return from quarantining , and how things ended up going? 
Im in a hot spot, and a lot of the people who don’t want to see him yet are going to many places with a lot of people around so I just feel like they are putting themselves at risk a lot anyways, so it’s surprising they are being so cautious about him.</t>
        </is>
      </c>
      <c r="D2986" t="n">
        <v>1</v>
      </c>
      <c r="E2986" t="n">
        <v>3</v>
      </c>
      <c r="F2986">
        <f>HYPERLINK("https://www.reddit.com/r/COVID19positive/comments/hpftkd/returning_to_the_world/")</f>
        <v/>
      </c>
      <c r="G2986" t="inlineStr">
        <is>
          <t>2020-07-11 12:15:56</t>
        </is>
      </c>
      <c r="H2986" t="inlineStr">
        <is>
          <t>Tested Positive - Me</t>
        </is>
      </c>
    </row>
    <row r="2987">
      <c r="A2987" t="inlineStr">
        <is>
          <t>hpgamh</t>
        </is>
      </c>
      <c r="B2987" t="inlineStr">
        <is>
          <t>Question about positive test</t>
        </is>
      </c>
      <c r="C2987" t="inlineStr">
        <is>
          <t>Hello all, 13 days ago I tested positive for coronavirus. I had a fever for like the first 2 days, a mild cough for the next 3 ish, and I lost my smell and taste for around 3 days. It is the 13th day today, and I'm getting tested on Monday, it is currently Saturday.  I have felt completely normal for the past 4-5 days, I can smell and taste. Yesterday and today I've had anxiety that has prevented me from sleeping well. With this anxiety, whenever I think about it my heart races and I immediately start thinking about whether it is anxiety or coronavirus. Then I start to think about my breath and worry and it's an ongoing cycle. I'm just worried for no reason and I want the cycle to stop. I don't struggle to breathe or take deep breaths, I just have the feeling in my chest like I'm nervous to do something; for example, to give a speech. Any answers would be appreciated to help me with this. P.S. I am a 19 year old physically fit male.</t>
        </is>
      </c>
      <c r="D2987" t="n">
        <v>1</v>
      </c>
      <c r="E2987" t="n">
        <v>3</v>
      </c>
      <c r="F2987">
        <f>HYPERLINK("https://www.reddit.com/r/COVID19positive/comments/hpgamh/question_about_positive_test/")</f>
        <v/>
      </c>
      <c r="G2987" t="inlineStr">
        <is>
          <t>2020-07-11 12:42:56</t>
        </is>
      </c>
      <c r="H2987" t="inlineStr">
        <is>
          <t>Tested Positive - Me</t>
        </is>
      </c>
    </row>
    <row r="2988">
      <c r="A2988" t="inlineStr">
        <is>
          <t>hphcf6</t>
        </is>
      </c>
      <c r="B2988" t="inlineStr">
        <is>
          <t>I fucked up bad. My father tested positive today</t>
        </is>
      </c>
      <c r="C2988" t="inlineStr">
        <is>
          <t>My father tested positive today. He got the virus from hos collegue at work. He's 52 years old. He's been feeling sick for a whole week so my whole family probably has it by now. I hung out with some friends yesterday and went to work today. (Im 16) I underestimated the whole situation and my gut feeling told me to not go to work but i would lose my job if i didnt go. Im scared shitless of what will happen now. Have i infected my friends? Is my dad at a high risk of dying? What if i infected people at work? (Grocery store) i wore a mask the whole day at work. I'm just so confused and scared. I don't know what to do. I can't stop blaming myself for going to my friends and work.</t>
        </is>
      </c>
      <c r="D2988" t="n">
        <v>1</v>
      </c>
      <c r="E2988" t="n">
        <v>18</v>
      </c>
      <c r="F2988">
        <f>HYPERLINK("https://www.reddit.com/r/COVID19positive/comments/hphcf6/i_fucked_up_bad_my_father_tested_positive_today/")</f>
        <v/>
      </c>
      <c r="G2988" t="inlineStr">
        <is>
          <t>2020-07-11 13:42:52</t>
        </is>
      </c>
      <c r="H2988" t="inlineStr">
        <is>
          <t>Tested Positive - Family</t>
        </is>
      </c>
    </row>
    <row r="2989">
      <c r="A2989" t="inlineStr">
        <is>
          <t>hphoop</t>
        </is>
      </c>
      <c r="B2989" t="inlineStr">
        <is>
          <t>Has anyone had a CT that showed permanent scarring or abnormalities?</t>
        </is>
      </c>
      <c r="C2989" t="inlineStr">
        <is>
          <t>As we get six months into this pandemic, more information is emerging about long-term effects, including exercise limitations, shortness of breath, and reduced lung capacity.
I know this is scary and people navigate more towards hopeful content, but we need to take a sober look at this.
During the SARS outbreak back in the 2000s, clinical follow-ups showed reduced lung capacity and permanent imaging abnormalities, even two years after infection.
I would like to know how many of us “long haulers” have had C.T. evidence of scarring, “ground glass opacities”, or even just prolonged inflammation. Because I’m three months in and struggling to breathe even at rest, while my x-rays remain “clear.”
I’ve had one CT with contrast to rule out embolism and they note some scarring.</t>
        </is>
      </c>
      <c r="D2989" t="n">
        <v>1</v>
      </c>
      <c r="E2989" t="n">
        <v>9</v>
      </c>
      <c r="F2989">
        <f>HYPERLINK("https://www.reddit.com/r/COVID19positive/comments/hphoop/has_anyone_had_a_ct_that_showed_permanent/")</f>
        <v/>
      </c>
      <c r="G2989" t="inlineStr">
        <is>
          <t>2020-07-11 14:02:33</t>
        </is>
      </c>
      <c r="H2989" t="inlineStr">
        <is>
          <t>Tested Positive</t>
        </is>
      </c>
    </row>
    <row r="2990">
      <c r="A2990" t="inlineStr">
        <is>
          <t>hphpsw</t>
        </is>
      </c>
      <c r="B2990" t="inlineStr">
        <is>
          <t>I’ve had this for about 2 weeks. Tested positive after having it for 1 week. My very mild covid experience + a question!</t>
        </is>
      </c>
      <c r="C2990" t="inlineStr">
        <is>
          <t>Hello everyone, I am a very physically healthy and active 22F. My only preexisting condition (I guess) is Hashimoto’s Disease (hypothyroidism), which is an autoimmune disease.
I have been extremely careful since March, following all CDC guidelines. I washed my hands until the skin on my fingers peeled, I trained myself to never touch my face, I wore a mask everywhere, I wiped down everything when I went to work, &amp;amp; I limited my outings (except for going to work, my work never allowed us to work from home). I still got the virus from somewhere. Still don’t know where. Probably from work or from my fiancé, who also works in an office. 
I haven’t had a fever, cough, shortness of breath, or loss of taste &amp;amp; smell AT ALL the past 2 weeks I’ve had this. My only issue is constant, severe exhaustion. That is when I decided to get tested, because I just couldn’t get out of bed for work one day.
I shouldn’t be very contagious at the 2 week mark, I should be recovering now, right? If that’s the case, then why am I still so exhausted? Does anyone relate to the exhaustion and could share some wisdom with me? 
God bless all of you with worse symptoms than me. I wish all of you healing, energy, and normal breathing.</t>
        </is>
      </c>
      <c r="D2990" t="n">
        <v>1</v>
      </c>
      <c r="E2990" t="n">
        <v>17</v>
      </c>
      <c r="F2990">
        <f>HYPERLINK("https://www.reddit.com/r/COVID19positive/comments/hphpsw/ive_had_this_for_about_2_weeks_tested_positive/")</f>
        <v/>
      </c>
      <c r="G2990" t="inlineStr">
        <is>
          <t>2020-07-11 14:04:15</t>
        </is>
      </c>
      <c r="H2990" t="inlineStr">
        <is>
          <t>Tested Positive - Me</t>
        </is>
      </c>
    </row>
    <row r="2991">
      <c r="A2991" t="inlineStr">
        <is>
          <t>hpi4vd</t>
        </is>
      </c>
      <c r="B2991" t="inlineStr">
        <is>
          <t>At what point do I need an Oximeter?</t>
        </is>
      </c>
      <c r="C2991" t="inlineStr">
        <is>
          <t>Going into week 3 (29F) I am pretty sure I have a mild case, no fever, and very lite cough. Couple of days ago I felt some pain in my back and during that night I felt like I had bubbles in my chest and some slight burning sensation in my chest. By the next morning the pain is gone but it was replaced by small coughs.
I realize by now that it’s in my lungs but I haven’t felt out of breath since the cough started. Today, after some minor strenuous work, I felt like I was going to pass out. This has scared me shitless, I feel like now I should monitor my oxygen levels since my lungs might have taken severe damage. On the other hand I feel pretty good (no symptoms besides the cough) and think I might be over reacting.
I have been taking care of myself as much as possible.  I get plenty of rest and drink lots of fluids. 
At what point should I be watching my oxygen levels? and will it be very obvious when something is severely wrong with my body?</t>
        </is>
      </c>
      <c r="D2991" t="n">
        <v>1</v>
      </c>
      <c r="E2991" t="n">
        <v>15</v>
      </c>
      <c r="F2991">
        <f>HYPERLINK("https://www.reddit.com/r/COVID19positive/comments/hpi4vd/at_what_point_do_i_need_an_oximeter/")</f>
        <v/>
      </c>
      <c r="G2991" t="inlineStr">
        <is>
          <t>2020-07-11 14:28:39</t>
        </is>
      </c>
      <c r="H2991" t="inlineStr">
        <is>
          <t>Tested Positive - Me</t>
        </is>
      </c>
    </row>
    <row r="2992">
      <c r="A2992" t="inlineStr">
        <is>
          <t>hpimt4</t>
        </is>
      </c>
      <c r="B2992" t="inlineStr">
        <is>
          <t>DO NOT ignore minor symptoms. Isolate ASAP if you have any suspicions.</t>
        </is>
      </c>
      <c r="C2992" t="inlineStr">
        <is>
          <t>I tested positive in June and have just been given the go-ahead to stop self-isolating. I tracked my symptoms and some vitals and thought I'd share my experience:
25-ish male; no pertinent medical history; non-smoker; BMI ~23; moderately active.
6/23 (Day 0):
* Woke up and noticed I had an intermittent and very mild "tight" feeling deep towards the back of my throat. Seemed to be worsened by swallowing and walking around for a bit. It was so mild and somewhat different in character than any prior illness, so I did not think I was actually sick. I quarantined from work just in case.
* No fever, chills, cough, sneezing, congestion, loss of smell/taste, or any other symptoms.
* Temperature was &amp;lt;99.0F on multiple checks throughout the day. It seemed like my typical baseline range so I did not keep exact records most days.
6/24 (Day 1):
* Symptoms unchanged. Scheduled a COVID19 test for Friday.
* Temperature &amp;lt;99.0F
6/25 (Day 2):
* Sore throat is slightly more noticeable, still coming and going a few times per day.
* Temperature &amp;lt;99.0F
6/26 (Day 3):
* Onset of headache. Intermittent mild and dull pain around my temples bilaterally with a sort of mental 'foggy'/fatigued feeling.
* Sore throat unchanged. No other symptoms.
* Still isolating from work. Tested for COVID19 via nasopharyngeal swab.
* Temperature &amp;lt;99.0F
6/27 (Day 4):
* I begin to feel like my neck is swollen slightly, though I cannot identify any specific tender or enlarged lymph nodes (probably just bad at palpating). There is also a persistent "hot" feeling under my jaw around the submandibular salivary glands bilaterally. A bit worse on the left side.
* Other symptoms persist unchanged.
* Temperature reached 99.0F around 2100 (was &amp;lt;99.0F most of the day).
6/28 (Day 5):
* Sore throat has improved somewhat since yesterday. Headache unchanged. Neck still feels swollen.
* Received confirmation of positive COVID-19 test from Day 3.
* Temperature was 97.8F 1 hour after waking. 98.9F at 1300.
6/29 (Day 6):
* Two episodes of sudden non-radiating substernal chest pain lasting for several minutes each. Felt like tightness/squeezing. Had spicy Indian food earlier though.
* My neck and head feel hot most of the day. Very weird sensation.
* Sore throat worsening again but unchanged in character.
* Neck swelling feels worsened but still cannot palpate specific lymph nodes. Uncomfortable.
* Headache still intermittent and very mild. 'Foggy'/fatigued feeling worsened throughout the day.
* Temperature reached 99.3F at 1500. 98.8F at 1700
* Other vitals (1730): BP 130/70, rate 80 BPM, SpO2 98% (baseline 120/80, ~75 BPM, 98-99%)
6/30 (Day 7):
* Sore throat and headache significantly improved.
* No chest pain.
* Other symptoms unchanged in character but generally improved.
* Temperature &amp;lt;99.0F.
7/1 (Day 8):
* Coughed a couple of times. Felt need to clear throat. Nothing serious.
* No shortness of breath
* Sore throat and neck swelling worsened again. Character unchanged.
* Headache returned.
* Temperature &amp;lt;98F.
* Had a few of drinks at home later at night (very bad idea).
7/2 (Day 9):
* Sore throat, neck swelling, headache significantly worsened. 
* Feels like there is constant pressure all around my upper neck below my jaw.
* Head and neck still feel hot as if inflamed, but not hot to touch.
* Feels more difficult to focus but I'm not sure.
* Much of this is probably due to hangover.
* No coughing.
* Vitals at 1300: BP 115/70, Rate 85 BPM, SpO2 98%.
* Temperature 98.4F.
7/3 (Day 10):
* Symptoms improved from yesterday but sore throat, neck swelling headache, and 'fogginess' still present and unchanged in character.
* Temperature &amp;lt;99.0F.
7/4 (Day 11):
* All symptoms improved. Feeling almost normal.
* No headache today.
* Temperature &amp;lt;99.0F
7/5 (Day 12): 
* Sore throat, neck swelling, headache disappeared completely.
* Foggy feeling still persists. Definitely feels difficult to focus but it's possible that it is just psychosomatic or related to being cooped up for so long.
* Temperature &amp;lt;99.0F.
7/6 (Day 13):
* I feel fine.
* Temperature &amp;lt;99.0F.
7/7 (Day 14):
* I feel fine aside from some difficulty focusing.
* Temperature &amp;lt;99.0F.
7/8 (Day 15):
* Still feeling "foggy". No other symptoms.
* I stopped monitoring my temperature at this point because it seemed obvious I was not going to develop a fever.
7/9 (Day 16):
* Unchanged from yesterday. Feeling fine except for that damn weird foggy feeling.
7/10 (Day 17):
* Unchanged.
7/11 (Day 18 - today):
* Have not had any physical symptoms for 1 week.
* I still feel difficulty focusing every day. It seems to be waxing and waning. Maybe I'm getting depressed and that's contributing? Maybe it's a side-effect of binging Stargate and Family Guy? Maybe it's COVID19-related? I hope it is not permanent...
* Vitals at 1600: BP 120/80, rate 75 BPM, SpO2 98-99%.
* Temperature 98.8F right now.
Stuff I did while sick:
* I did not leave my room except for food and necessities. I carried a spray bottle of 70% alcohol with me and liberally sprayed everything I came into contact with.
* I took 50mg Zinc, 500mg Vitamin C, and a common multivitamin once daily starting at Day 0, and was taking these occasionally prior to Day 0. I gargled tonic water containing quinine a couple of times daily (I do not advise that anyone do any of this because I am not a doctor and as far as I know there is no proof that these have been effective in treating or preventing COVID19).
* I did not use any analgesics/anti-inflammatory drugs (Ibuprofen, Acetaminophen, opioid cough syrup, etc.) at any point.
* My diet and sleeping habits did not change significantly. I did spend much more time in bed though.
I am definitely lucky in that I did not develop severe symptoms. In fact, under normal circumstances I would not have believed I was sick for the first several days and could easily have infected my roommates, family, and coworkers. Luckily, all of my contacts tested negative after I began isolating and none have shown any symptoms, so **isolating as soon as any new symptoms appear is critical**.
Has anyone else felt like they have had lasting neurological problems? Has it improved?</t>
        </is>
      </c>
      <c r="D2992" t="n">
        <v>1</v>
      </c>
      <c r="E2992" t="n">
        <v>42</v>
      </c>
      <c r="F2992">
        <f>HYPERLINK("https://www.reddit.com/r/COVID19positive/comments/hpimt4/do_not_ignore_minor_symptoms_isolate_asap_if_you/")</f>
        <v/>
      </c>
      <c r="G2992" t="inlineStr">
        <is>
          <t>2020-07-11 14:58:13</t>
        </is>
      </c>
      <c r="H2992" t="inlineStr">
        <is>
          <t>Tested Positive</t>
        </is>
      </c>
    </row>
    <row r="2993">
      <c r="A2993" t="inlineStr">
        <is>
          <t>hpitoc</t>
        </is>
      </c>
      <c r="B2993" t="inlineStr">
        <is>
          <t>Day 4, no taste or smell... anyone else like me?</t>
        </is>
      </c>
      <c r="C2993" t="inlineStr">
        <is>
          <t>Hey y’all. So here is my potential covid story. On 7/2 I felt a little achy and rundown, but I assumed it was from doing so much hiking/beach walking the last few days, and assumed it was that. Afterwards my eyes began to be sore for about 3-4 days, it finally went back to normal yesterday. However, on 7/7 I noticed that my smell and taste had started to decline. I took my covid test yesterday but waiting for results (5-7 days they said). 
I feel completely fine. No cough. Fever. Aches. Sore eyes. Just the loss of smell and taste. It’s weird though because I can faintly smell certain candles and fragrances, while others I can’t smell anything. I’m not sure if that has improved from yesterday but will continue to monitor it. 
Has anyone else experienced mild symptoms like this? Did they stay mild? Or get worse? I’m worried about that. I’m a 32, moderately healthy male, but recently quit vaping once I started to feel this way...</t>
        </is>
      </c>
      <c r="D2993" t="n">
        <v>1</v>
      </c>
      <c r="E2993" t="n">
        <v>5</v>
      </c>
      <c r="F2993">
        <f>HYPERLINK("https://www.reddit.com/r/COVID19positive/comments/hpitoc/day_4_no_taste_or_smell_anyone_else_like_me/")</f>
        <v/>
      </c>
      <c r="G2993" t="inlineStr">
        <is>
          <t>2020-07-11 15:09:22</t>
        </is>
      </c>
      <c r="H2993" t="inlineStr">
        <is>
          <t>Presumed Positive - From Test</t>
        </is>
      </c>
    </row>
    <row r="2994">
      <c r="A2994" t="inlineStr">
        <is>
          <t>hpjwjc</t>
        </is>
      </c>
      <c r="B2994" t="inlineStr">
        <is>
          <t>Back again</t>
        </is>
      </c>
      <c r="C2994" t="inlineStr">
        <is>
          <t>Hi guys! So just wanted ti make a post because I’m getting SUPER ANXIOUS about the test coming back. Got tested the 6th of July, should be here tomorrow or Monday. I think my wife is going to test positive and we were together before we got tested (obviously) but they are the only one showing symptoms. My throat is starting to hurt, but I have been heavily smoking because of anxiety and I’m just losing my mind at this point</t>
        </is>
      </c>
      <c r="D2994" t="n">
        <v>1</v>
      </c>
      <c r="E2994" t="n">
        <v>12</v>
      </c>
      <c r="F2994">
        <f>HYPERLINK("https://www.reddit.com/r/COVID19positive/comments/hpjwjc/back_again/")</f>
        <v/>
      </c>
      <c r="G2994" t="inlineStr">
        <is>
          <t>2020-07-11 16:14:21</t>
        </is>
      </c>
      <c r="H2994" t="inlineStr">
        <is>
          <t>Presumed Positive - From Test</t>
        </is>
      </c>
    </row>
    <row r="2995">
      <c r="A2995" t="inlineStr">
        <is>
          <t>hpki9r</t>
        </is>
      </c>
      <c r="B2995" t="inlineStr">
        <is>
          <t>For those anxious to hit the gym...</t>
        </is>
      </c>
      <c r="C2995" t="inlineStr">
        <is>
          <t>I was one of those people who was a little cautious about hitting the gym once it reopened. They reopened here in Florida in May and I waited a good 2-3 weeks to see how things went before returning. At first things seemed ok, except they were not taking temps and maybe 3 people would wear masks. Even employees were barefaced. About two weeks ago, they started doing temp checks and all employees started wearing masks, so I felt a little more secure. I would go in wearing a mask, but would eventually overheat and cave into peer pressure, so it would be completely off my face by the time I hit my second exercise. Last Saturday, I got extremely nauseated, migraine, headache and woke up with a 102 fever. By Wednesday the fever and headaches and nausea went away. I was completely in denial, telling myself it was just a migraine causing all of this, but in reality I knew it was Covid. On Wednesday night I completely lost my sense of smell and about 60% of taste. Everything tastes like it’s watered down. Right now I have a bit of a runny nose, but otherwise feeling completely normal. Thankfully I’m young and have no underlying issues, so I’m sure I’m past the worse of it.  Just counting the 10 days down since my first symptom and waiting for smell/taste to return. I want to get tested, but I’m like what’s the point? I know it’s positive and by the time I get results, I’ll be over this thing. 
I know I could’ve been more careful at the gym, but honestly I find it impossible to work out with a mask, so I’m going to stick to home workouts until there’s a vaccine at least. 
My advice to those anxious to get back in the gym - be extremely careful or just don’t do it. It’s not worth it. My gym wasn’t even crowded and I still picked this bug up.  The sweating, heavy breathing and lack of open windows makes it so easy to pick up the virus there. Also, the young guys in there think they’re invincible. There’s no social distancing at all.</t>
        </is>
      </c>
      <c r="D2995" t="n">
        <v>1</v>
      </c>
      <c r="E2995" t="n">
        <v>20</v>
      </c>
      <c r="F2995">
        <f>HYPERLINK("https://www.reddit.com/r/COVID19positive/comments/hpki9r/for_those_anxious_to_hit_the_gym/")</f>
        <v/>
      </c>
      <c r="G2995" t="inlineStr">
        <is>
          <t>2020-07-11 16:51:37</t>
        </is>
      </c>
      <c r="H2995" t="inlineStr">
        <is>
          <t>Presumed Positive - From Doctor</t>
        </is>
      </c>
    </row>
    <row r="2996">
      <c r="A2996" t="inlineStr">
        <is>
          <t>hpl0t6</t>
        </is>
      </c>
      <c r="B2996" t="inlineStr">
        <is>
          <t>Tested positive</t>
        </is>
      </c>
      <c r="C2996" t="inlineStr">
        <is>
          <t>I got tested on Thursday because the day before I lost my sense of taste and smell. I knew once that happened the test would be positive. I have a little bit of stuffiness in my nose but that’s it. I don’t have a fever or any other related symptoms. I don’t know how long it’ll take for those senses to come back. It sucks because everything taste like nothing. I can only tell if something is sweet, spicy, bitter, etc..
I wish everyone a fast road to recovery.</t>
        </is>
      </c>
      <c r="D2996" t="n">
        <v>1</v>
      </c>
      <c r="E2996" t="n">
        <v>5</v>
      </c>
      <c r="F2996">
        <f>HYPERLINK("https://www.reddit.com/r/COVID19positive/comments/hpl0t6/tested_positive/")</f>
        <v/>
      </c>
      <c r="G2996" t="inlineStr">
        <is>
          <t>2020-07-11 17:24:19</t>
        </is>
      </c>
      <c r="H2996" t="inlineStr">
        <is>
          <t>Tested Positive</t>
        </is>
      </c>
    </row>
    <row r="2997">
      <c r="A2997" t="inlineStr">
        <is>
          <t>hpl6gc</t>
        </is>
      </c>
      <c r="B2997" t="inlineStr">
        <is>
          <t>Tested positive for antibodies 4 months later</t>
        </is>
      </c>
      <c r="C2997" t="inlineStr">
        <is>
          <t>Tested positive for covid in March and was waiting until my symptoms completely subsided before I took the antibody test. Guess I shouldn’t be surprised I have antibodies but it makes me to happy see that my body finally fought off the virus. Am I safe to assume that I’m immune from getting the virus again unless it mutates? Obviously still going to take precautions / wear a mask / social distance because covid SUCKED and I don’t wish that on anyone nor do I want it again, but just curious.</t>
        </is>
      </c>
      <c r="D2997" t="n">
        <v>1</v>
      </c>
      <c r="E2997" t="n">
        <v>6</v>
      </c>
      <c r="F2997">
        <f>HYPERLINK("https://www.reddit.com/r/COVID19positive/comments/hpl6gc/tested_positive_for_antibodies_4_months_later/")</f>
        <v/>
      </c>
      <c r="G2997" t="inlineStr">
        <is>
          <t>2020-07-11 17:34:18</t>
        </is>
      </c>
      <c r="H2997" t="inlineStr">
        <is>
          <t>Tested Positive - Me</t>
        </is>
      </c>
    </row>
    <row r="2998">
      <c r="A2998" t="inlineStr">
        <is>
          <t>hplrwh</t>
        </is>
      </c>
      <c r="B2998" t="inlineStr">
        <is>
          <t>I’m positive. My fiancée probably is too.</t>
        </is>
      </c>
      <c r="C2998" t="inlineStr">
        <is>
          <t>My fiancée began having symptoms 3 days ago. She’s 25 years old. Her symptoms are fatigue, chills, headache, lost of taste/smell, and cough. 
I’m 2 days in. 27 yo. I have body aches, fatigue, and very infrequent and small coughs.</t>
        </is>
      </c>
      <c r="D2998" t="n">
        <v>1</v>
      </c>
      <c r="E2998" t="n">
        <v>3</v>
      </c>
      <c r="F2998">
        <f>HYPERLINK("https://www.reddit.com/r/COVID19positive/comments/hplrwh/im_positive_my_fiancée_probably_is_too/")</f>
        <v/>
      </c>
      <c r="G2998" t="inlineStr">
        <is>
          <t>2020-07-11 18:14:24</t>
        </is>
      </c>
      <c r="H2998" t="inlineStr">
        <is>
          <t>Tested Positive - Me</t>
        </is>
      </c>
    </row>
    <row r="2999">
      <c r="A2999" t="inlineStr">
        <is>
          <t>hplyh7</t>
        </is>
      </c>
      <c r="B2999" t="inlineStr">
        <is>
          <t>Anyone develop tingling feeling during COVID and still have it?</t>
        </is>
      </c>
      <c r="C2999" t="inlineStr">
        <is>
          <t>I had it for 5 weeks March-April.  Somewhere in there I noticed I developed this tingling sensation in my one thigh that comes and goes.  It’s not painful, there is no  numbness.  It’s almost like a rush of tingles that goes down the front of one thigh and last 10-20 seconds maybe?  Happens I would guess at least a few times an hour I would guess throughout the day.  During COVID I feel like it happened more and I didn’t think much of it because I had so many other odd symptoms.  
I do have issues with chronic pain (back, hip, neck, migraines) stemming from an accident and I would probably chalk it up to that if it didn’t start during covid.  And maybe it is but I’m curious if anyone else is experiencing it.</t>
        </is>
      </c>
      <c r="D2999" t="n">
        <v>1</v>
      </c>
      <c r="E2999" t="n">
        <v>18</v>
      </c>
      <c r="F2999">
        <f>HYPERLINK("https://www.reddit.com/r/COVID19positive/comments/hplyh7/anyone_develop_tingling_feeling_during_covid_and/")</f>
        <v/>
      </c>
      <c r="G2999" t="inlineStr">
        <is>
          <t>2020-07-11 18:27:29</t>
        </is>
      </c>
      <c r="H2999" t="inlineStr">
        <is>
          <t>Presumed Positive - From Doctor</t>
        </is>
      </c>
    </row>
    <row r="3000">
      <c r="A3000" t="inlineStr">
        <is>
          <t>hpm401</t>
        </is>
      </c>
      <c r="B3000" t="inlineStr">
        <is>
          <t>Is this legal?</t>
        </is>
      </c>
      <c r="C3000" t="inlineStr">
        <is>
          <t>Hi everyone, I'm not sure where to ask this. I looked at the nurses subreddit but didnt have a text option. So a close friend of mine is presumed positive. Classic symptoms, loss of taste, smell, body aches, headache, throat pain etc. Her husband works at a hospital in Florida and her doctor assumes she got it from him. He is only showing symptoms of body aches and dizziness. I live in another state so I wouldn't know but her doctor claims there is a week wait to have a test done and then another 2 weeks for results. But my true question is here... I asked if her husband is still working bc hes presumed positive also and is a nurse. The hospital told him he can and will continue to work as long as he wears a mask and isnt running a fever and he can be Asymptomatic and also still work... with patients. Is this allowed??</t>
        </is>
      </c>
      <c r="D3000" t="n">
        <v>1</v>
      </c>
      <c r="E3000" t="n">
        <v>9</v>
      </c>
      <c r="F3000">
        <f>HYPERLINK("https://www.reddit.com/r/COVID19positive/comments/hpm401/is_this_legal/")</f>
        <v/>
      </c>
      <c r="G3000" t="inlineStr">
        <is>
          <t>2020-07-11 18:38:16</t>
        </is>
      </c>
      <c r="H3000" t="inlineStr">
        <is>
          <t>Presumed Positive - From Doctor</t>
        </is>
      </c>
    </row>
    <row r="3001">
      <c r="A3001" t="inlineStr">
        <is>
          <t>hpm5qo</t>
        </is>
      </c>
      <c r="B3001" t="inlineStr">
        <is>
          <t>I feel like I’m dying, and I’m so scared.</t>
        </is>
      </c>
      <c r="C3001" t="inlineStr">
        <is>
          <t>My chest feels like it’s caving in every time I cough. I’m sleeping all the time. I’m only 23 but I’m a bit overweight and have high blood pressure. I’m really scared because I know there’s nothing I can do about it. I’m not even sure how I caught it since I work from home and only left the house to go to the grocery store. I’d love to talk to someone who’s going through the same thing to ease my mind. Sorry for the depressing post 😞</t>
        </is>
      </c>
      <c r="D3001" t="n">
        <v>1</v>
      </c>
      <c r="E3001" t="n">
        <v>39</v>
      </c>
      <c r="F3001">
        <f>HYPERLINK("https://www.reddit.com/r/COVID19positive/comments/hpm5qo/i_feel_like_im_dying_and_im_so_scared/")</f>
        <v/>
      </c>
      <c r="G3001" t="inlineStr">
        <is>
          <t>2020-07-11 18:41:53</t>
        </is>
      </c>
      <c r="H3001" t="inlineStr">
        <is>
          <t>Tested Positive - Me</t>
        </is>
      </c>
    </row>
    <row r="3002">
      <c r="A3002" t="inlineStr">
        <is>
          <t>hpmcz0</t>
        </is>
      </c>
      <c r="B3002" t="inlineStr">
        <is>
          <t>nausea</t>
        </is>
      </c>
      <c r="C3002" t="inlineStr">
        <is>
          <t>my dad tested positive on Thursday and the rest of my family got tested this morning, I had a mild
fever after the test so we are assuming my entire family will have it. It has been pretty mild so far, with low fever-normal temp. i am struggling the most with stomach issues, however. i’m wondering if it’s just my anxiety though, because my stress has always coincided with my stomach. Has anyone else experienced mostly stomach issues with covid?</t>
        </is>
      </c>
      <c r="D3002" t="n">
        <v>1</v>
      </c>
      <c r="E3002" t="n">
        <v>4</v>
      </c>
      <c r="F3002">
        <f>HYPERLINK("https://www.reddit.com/r/COVID19positive/comments/hpmcz0/nausea/")</f>
        <v/>
      </c>
      <c r="G3002" t="inlineStr">
        <is>
          <t>2020-07-11 18:56:29</t>
        </is>
      </c>
      <c r="H3002" t="inlineStr">
        <is>
          <t>Presumed Positive - From Test</t>
        </is>
      </c>
    </row>
    <row r="3003">
      <c r="A3003" t="inlineStr">
        <is>
          <t>hpn4rd</t>
        </is>
      </c>
      <c r="B3003" t="inlineStr">
        <is>
          <t>Just got my results. 10 days after my CVS self-administered test</t>
        </is>
      </c>
      <c r="C3003" t="inlineStr">
        <is>
          <t>As the flair says, it's positive. I've isolated as much as possible from my husband and kids but it sounds like they should be tested since I'm positive. None of them have had any symptoms, thankfully.
My symptoms started on Monday June 29 and I thought I felt a bit better today but now I'm a little scared. I am still having symptoms but no longer have respiratory symptoms so I'm trying to remind myself that the odds are high that I'll have no problems recovering fully at home with no need for medical intervention or hospitalization.
I'm 38 and healthy, but I'm still technically diabetic (Type 2). I say technically because I am considered to be in diabetic remission for over a year now. I'll chat with my doctor on Monday for more information and hopefully reassurance.</t>
        </is>
      </c>
      <c r="D3003" t="n">
        <v>1</v>
      </c>
      <c r="E3003" t="n">
        <v>12</v>
      </c>
      <c r="F3003">
        <f>HYPERLINK("https://www.reddit.com/r/COVID19positive/comments/hpn4rd/just_got_my_results_10_days_after_my_cvs/")</f>
        <v/>
      </c>
      <c r="G3003" t="inlineStr">
        <is>
          <t>2020-07-11 19:50:25</t>
        </is>
      </c>
      <c r="H3003" t="inlineStr">
        <is>
          <t>Tested Positive - Me</t>
        </is>
      </c>
    </row>
    <row r="3004">
      <c r="A3004" t="inlineStr">
        <is>
          <t>hpn890</t>
        </is>
      </c>
      <c r="B3004" t="inlineStr">
        <is>
          <t>Anyone else experienced back pain?</t>
        </is>
      </c>
      <c r="C3004" t="inlineStr">
        <is>
          <t>I’m 16 years old and was told I have covid three days 
ago, the test hasn’t come back yet but my doctor said even if it is negative, it’s likely a false negative. My cough and shortness of breath have gotten worse everyday but last night I started to get a sharp pain in my back right above my left lung. It’s so bad I can barely move. My mom thinks it could be because I sprained a rib due to how much I’ve been coughing, I was wondering if anyone else has experienced this?</t>
        </is>
      </c>
      <c r="D3004" t="n">
        <v>1</v>
      </c>
      <c r="E3004" t="n">
        <v>8</v>
      </c>
      <c r="F3004">
        <f>HYPERLINK("https://www.reddit.com/r/COVID19positive/comments/hpn890/anyone_else_experienced_back_pain/")</f>
        <v/>
      </c>
      <c r="G3004" t="inlineStr">
        <is>
          <t>2020-07-11 19:57:20</t>
        </is>
      </c>
      <c r="H3004" t="inlineStr">
        <is>
          <t>Presumed Positive - From Doctor</t>
        </is>
      </c>
    </row>
    <row r="3005">
      <c r="A3005" t="inlineStr">
        <is>
          <t>hpnj7v</t>
        </is>
      </c>
      <c r="B3005" t="inlineStr">
        <is>
          <t>Nausea the main symptom?</t>
        </is>
      </c>
      <c r="C3005" t="inlineStr">
        <is>
          <t>I got tested for COVID last Monday but am still waiting on the results. I presume they'll be positive since my sister tested positive and I've had contact with her. 
I've had a couple days of other symptoms, but my main and sometimes only symptom is terrible nausea now. Is anybody else feeling this as the primary symptom?  No fever, no cough, no loss of smell/taste.</t>
        </is>
      </c>
      <c r="D3005" t="n">
        <v>2</v>
      </c>
      <c r="E3005" t="n">
        <v>14</v>
      </c>
      <c r="F3005">
        <f>HYPERLINK("https://www.reddit.com/r/COVID19positive/comments/hpnj7v/nausea_the_main_symptom/")</f>
        <v/>
      </c>
      <c r="G3005" t="inlineStr">
        <is>
          <t>2020-07-11 20:20:32</t>
        </is>
      </c>
      <c r="H3005" t="inlineStr">
        <is>
          <t>Presumed Positive - From Doctor</t>
        </is>
      </c>
    </row>
    <row r="3006">
      <c r="A3006" t="inlineStr">
        <is>
          <t>hpnlqu</t>
        </is>
      </c>
      <c r="B3006" t="inlineStr">
        <is>
          <t>(17 M) Freaking out a lot and regretting life choices that lead me to this point.</t>
        </is>
      </c>
      <c r="C3006" t="inlineStr">
        <is>
          <t>So I recently got sick and it's been freaking me out. I'm a 17 year old male who is well overweight, weighed around 256 pounds the last time I weighed myself but I might be lower than that now. I haven't had any serious health conditions but the "obesity" is what's triggering alarms for me. 
So I'd say 6 days ago I first felt a discomfort on the left side of my stomach and didn't think much of it, claiming it as my health anxiety just acting up again. 3 days later I got hit with stomach pains, lower back pain, leg pain chills, and a strong headache, as well as an itchy throat and a cough that only presented itself like twice and that persisted for about a day. That same night I was waking up every couple of hours either crying or in a sweat because of the dreams I was having. The next day I felt a little better, the body aches that I was having were gone and only get stomach cramps every once in a while. Thing is, when I would stand up, I would get very nauseous and kind of dizzy have the need to either quickly sit down or lay down. I've tried my best to eat as many healthy foods to supply myself as I can, like vitamin c and zinc. Overall I have felt so drained and just wanted this to get over with. That same day I got a call from my dad saying that he was in the hospital and came out positive from Covid-19. At that point I was certain that I had covid and and currently trying my best to support my immune system by eating healthy. It's just I don't feel right. It could be mostly due to high stress and anxiety but I'm not 100% confident about it. I've been surfing this sub and I know it's a bad idea but I did it anyway, and I've taken many things to heart. The thing that worries me the most is my blood saturation levels and I don't have a blood oximeter at the moment. So this all leads me to today. As of now I don't feel like doing much. I don't feel any flu like symptoms like i did 3 days ago and the only thing that has been bothering me is the constant nausea that won't go away. Otherwise I've also felt like I have been drained of my energy? And that freaks me out. Lately I haven't been talking as much for some reason and I'm scared that I may have low oxygen saturation. With that being said I also feel like I'm going to meet my end soon enough and that I could've changed that if I just stook to having a healthy diet a long time ago. I know I'm young but it still doesn't change the fact that I'm overweight and feel as if I could have something worse from this virus. And it's only been day 3 since the flu symptoms first appeared. From what I've seen the symptoms that others have been having aren't related to mine as much besides. I started out with a low grade fever off the start. Others started with other symptoms and it got worse day by day. The day I got the fever heavily I was constantly checking my temperature and it only reached at a peak of 100.5 F°. Now it's been at a constant temp of 98. Others in this sub have been saying that it gets worse by the second week and I'm over here thinking that I already had it badly from that disgusting fever. As I said its calmed down now but I'm left with stomach pain and nausea but because of this I'm thinking that I might have some type of kidney issue.
I also gotta mention that my mom doesnt want to bring me to a doctor or ER because of financial issues and it's hard to persuade her and its understandable. 
 I know this post is kind of messy but if you took your time to read all of this I appreciate you so much! ❤ I just wanted to let out some steam and thoughts on how I'm currently feeling and not have it bottled up inside me.</t>
        </is>
      </c>
      <c r="D3006" t="n">
        <v>1</v>
      </c>
      <c r="E3006" t="n">
        <v>12</v>
      </c>
      <c r="F3006">
        <f>HYPERLINK("https://www.reddit.com/r/COVID19positive/comments/hpnlqu/17_m_freaking_out_a_lot_and_regretting_life/")</f>
        <v/>
      </c>
      <c r="G3006" t="inlineStr">
        <is>
          <t>2020-07-11 20:25:45</t>
        </is>
      </c>
      <c r="H3006" t="inlineStr">
        <is>
          <t>Tested Positive - Family</t>
        </is>
      </c>
    </row>
    <row r="3007">
      <c r="A3007" t="inlineStr">
        <is>
          <t>hpnp7j</t>
        </is>
      </c>
      <c r="B3007" t="inlineStr">
        <is>
          <t>Any alcoholics and positives here?</t>
        </is>
      </c>
      <c r="C3007" t="inlineStr">
        <is>
          <t>I drink a good amount of alcohol. 
I’m thinking my weekend hangover hid my first mild symptoms of Covid last Monday/Tuesday. Lost my taste/smell Wednesday. Tested positive yesterday (Friday). 
Anyways I’ve continued drinking everyday since having these symptoms. Just wondering if there’s anyone else doing the same? Not sure if the massive alcohol withdrawals would be worth it vs continued drinking.</t>
        </is>
      </c>
      <c r="D3007" t="n">
        <v>1</v>
      </c>
      <c r="E3007" t="n">
        <v>5</v>
      </c>
      <c r="F3007">
        <f>HYPERLINK("https://www.reddit.com/r/COVID19positive/comments/hpnp7j/any_alcoholics_and_positives_here/")</f>
        <v/>
      </c>
      <c r="G3007" t="inlineStr">
        <is>
          <t>2020-07-11 20:33:14</t>
        </is>
      </c>
      <c r="H3007" t="inlineStr">
        <is>
          <t>Tested Positive</t>
        </is>
      </c>
    </row>
    <row r="3008">
      <c r="A3008" t="inlineStr">
        <is>
          <t>hpnwbj</t>
        </is>
      </c>
      <c r="B3008" t="inlineStr">
        <is>
          <t>Azithromycin Covid 19</t>
        </is>
      </c>
      <c r="C3008" t="inlineStr">
        <is>
          <t>Anyone take Azithromycin for covid 19?</t>
        </is>
      </c>
      <c r="D3008" t="n">
        <v>1</v>
      </c>
      <c r="E3008" t="n">
        <v>13</v>
      </c>
      <c r="F3008">
        <f>HYPERLINK("https://www.reddit.com/r/COVID19positive/comments/hpnwbj/azithromycin_covid_19/")</f>
        <v/>
      </c>
      <c r="G3008" t="inlineStr">
        <is>
          <t>2020-07-11 20:48:35</t>
        </is>
      </c>
      <c r="H3008" t="inlineStr">
        <is>
          <t>Tested Positive - Friends</t>
        </is>
      </c>
    </row>
    <row r="3009">
      <c r="A3009" t="inlineStr">
        <is>
          <t>hpnxwm</t>
        </is>
      </c>
      <c r="B3009" t="inlineStr">
        <is>
          <t>Scared about post viral symptoms</t>
        </is>
      </c>
      <c r="C3009" t="inlineStr">
        <is>
          <t>I had covid and I’ve been sick since may 4. Tested positive twice then negative twice in June. Going into week 10 and I have bad muscle aches / mentally not good / walking in a daze / rapid heart rate resting / out of breath easily upon tasks. I’m so scared I’m going to die. I’m a healthy 30 year old female. Why is it lingering so long? I had clear blood work except for reactivation of Epstein-Barr and low vitamin d and my chest x ray came back fine and ekg. Just feel like I’m going to die and I “beat it”. Someone help me with this scared feeling</t>
        </is>
      </c>
      <c r="D3009" t="n">
        <v>1</v>
      </c>
      <c r="E3009" t="n">
        <v>9</v>
      </c>
      <c r="F3009">
        <f>HYPERLINK("https://www.reddit.com/r/COVID19positive/comments/hpnxwm/scared_about_post_viral_symptoms/")</f>
        <v/>
      </c>
      <c r="G3009" t="inlineStr">
        <is>
          <t>2020-07-11 20:52:01</t>
        </is>
      </c>
      <c r="H3009" t="inlineStr">
        <is>
          <t>Tested Positive - Me</t>
        </is>
      </c>
    </row>
    <row r="3010">
      <c r="A3010" t="inlineStr">
        <is>
          <t>hpoak0</t>
        </is>
      </c>
      <c r="B3010" t="inlineStr">
        <is>
          <t>Months after recovery, bad circulation in arms?</t>
        </is>
      </c>
      <c r="C3010" t="inlineStr">
        <is>
          <t>I was sick mid-March with mild Covid, confirmed by antibodies. I felt fully recovered after 2 weeks, though I did get a random positive result in late July during a work-mandated swab. Within 1 week, however, that was followed by 3 negative tests and I was not experiencing symptoms. (Only the last of the 4 swabs showed positive for antibodies but that's a whole 'nother discussion.) I feel like the positive result was a false positive and I have not had Covid for months, but who even knows anymore?
Anyway, in the past week or so I am noticing my arms both feel like they have bad circulation when I'm laying down. They don't quite feel like they are falling asleep, but they feel like the mildly warm and pre-tingly. I would compare it to the feeling of laying on your arm and adjusting off of it before your arm fell asleep. To be honest, it's not intruding on anything, but it's easy to get freaked out about your health these days. Now that we are learning more about the vascular effects of C19, I was wondering of this is related or if anyone else has experienced something similar.
Other possibilities I have considered are that I've been laying in bed with my phone for an unprecedented number of hours due to not working for months, so it might have to do with holding my arms in those particular positions, like some kind of carpal tunnel but in my whole arm. It's also hot in my room now that it's summer, so I wonder if my blood pressure is just dipping down too low in the heat. I really only notice the sensation in my arms when I'm laying or sitting still. They don't feel weak, just flushed.
I'm 32/f with no other health conditions. Except migraines. Migraines can cause freaky sensations too, I suppose.</t>
        </is>
      </c>
      <c r="D3010" t="n">
        <v>1</v>
      </c>
      <c r="E3010" t="n">
        <v>16</v>
      </c>
      <c r="F3010">
        <f>HYPERLINK("https://www.reddit.com/r/COVID19positive/comments/hpoak0/months_after_recovery_bad_circulation_in_arms/")</f>
        <v/>
      </c>
      <c r="G3010" t="inlineStr">
        <is>
          <t>2020-07-11 21:19:31</t>
        </is>
      </c>
      <c r="H3010" t="inlineStr">
        <is>
          <t>Tested Positive - Me</t>
        </is>
      </c>
    </row>
    <row r="3011">
      <c r="A3011" t="inlineStr">
        <is>
          <t>hpobvn</t>
        </is>
      </c>
      <c r="B3011" t="inlineStr">
        <is>
          <t>Horror story with a (hopefully) happy ending?</t>
        </is>
      </c>
      <c r="C3011" t="inlineStr">
        <is>
          <t>I’ll start this by saying that I live in Central America, and our health system collapsed a few weeks ago. Hospitals are at 120% and can not accept anymore patients unless someone heals/dies
So my mother in law (63, overweight and high blood pressure) started feeling fever-ish on Wednesday 01/07
Day 1 through 4
Fever, mostly 
Day 4 
Fever and chest pain, difficulty breathing. Oxygen saturation at 89-90
Day 5
Fever, difficulty breathing. We managed to get an oxygen tank to keep her on intermittent supply. Saturation on 86-88
Day 6
Symptoms persist, doctor visited at the house and recommended to do an x-ray of lungs. 
Day 7
Pneumonia diagnose. Several doctors recommend in house treatment due to the health care system status. “It’s not ideal but is the way to go”. Oxygen saturation at 76 without external supply. Decided to keep her on permanent oxygen therapy 
Day 8 - 10
She’s not getting any worse. At this point that’s a win for everyone. 
Day 11 (today) 
Overall condition improves a little, she can get up by herself, she’s eating more. Still not out of danger but, again, not getting worse. She got a bacteria in her mouth that needs to be treated as well. 
She has been on a lot of medications, from antibiotics, steroids, blood thinners. She’s on her 3rd oxygen tank now. 
It has been a massive endeavor, from getting meds, getting the tank, the regulator, the accessories, everything is beyond short supply and on top of that we have to deal with my father in law who’s not helping and does not follow instructions. Thinking about hiring a nurse for the next 5-10 days so she can take over during the day.     
Me and my wife cannot risk getting sick, since we are making the rational decisions, we’re relying on my brother in law and my wife’s dad to take care of her. 
Going into the next 5 days I’m trying to be positive that she can beat this.</t>
        </is>
      </c>
      <c r="D3011" t="n">
        <v>1</v>
      </c>
      <c r="E3011" t="n">
        <v>11</v>
      </c>
      <c r="F3011">
        <f>HYPERLINK("https://www.reddit.com/r/COVID19positive/comments/hpobvn/horror_story_with_a_hopefully_happy_ending/")</f>
        <v/>
      </c>
      <c r="G3011" t="inlineStr">
        <is>
          <t>2020-07-11 21:22:18</t>
        </is>
      </c>
      <c r="H3011" t="inlineStr">
        <is>
          <t>Tested Positive - Family</t>
        </is>
      </c>
    </row>
    <row r="3012">
      <c r="A3012" t="inlineStr">
        <is>
          <t>hpoox5</t>
        </is>
      </c>
      <c r="B3012" t="inlineStr">
        <is>
          <t>Covid-19 update - advice ?</t>
        </is>
      </c>
      <c r="C3012" t="inlineStr">
        <is>
          <t>Hey all, I recently posted asking if I may have had coronavirus. Now, I am SURE I have it. I am scheduled to take a test for the 21st, however my symptoms are pretty obvious. So far, my symptoms are: fever that spikes to 101, extreme muscle/body aches &amp;amp; headache, a tiny bit of tightness on my chest that is hardly noticeable. I have been trying to eat well and stay hydrated but as soon as I begin eating,  I get full or simply lose my appetite. My symptoms started 07/09 evening. My bf and I live together but we are staying in separate bedrooms and I’ve been isolating as much as possible. He does come in the room occasionally to check my temp or give me food/water. He says that he feels fine and has no symptoms. I have no idea how that’s possible if we had been fairly close up until recently. Do y’all think he will get sick? I’m really worried and honestly feel horrible (I’ve cried a few times from pain and discomfort). Any advice?</t>
        </is>
      </c>
      <c r="D3012" t="n">
        <v>1</v>
      </c>
      <c r="E3012" t="n">
        <v>8</v>
      </c>
      <c r="F3012">
        <f>HYPERLINK("https://www.reddit.com/r/COVID19positive/comments/hpoox5/covid19_update_advice/")</f>
        <v/>
      </c>
      <c r="G3012" t="inlineStr">
        <is>
          <t>2020-07-11 21:51:07</t>
        </is>
      </c>
      <c r="H3012" t="inlineStr">
        <is>
          <t>Tested Positive - Me</t>
        </is>
      </c>
    </row>
    <row r="3013">
      <c r="A3013" t="inlineStr">
        <is>
          <t>hpp8ga</t>
        </is>
      </c>
      <c r="B3013" t="inlineStr">
        <is>
          <t>Back Pain like someone fckin punched me</t>
        </is>
      </c>
      <c r="C3013" t="inlineStr">
        <is>
          <t>28m normal built non smoker. 
Hi guys. Lately I have been feeling some serious back pain. I know it's not some muscle pain coz I can feel the pain is coming inside. At first I thought the pain was coming from my chest but after I observed further it is actually coming from my back. It's also been weeks since I got phlegm on my throat. The doctor prescribed me some anti inflammatory and antibiotics but it seems like it's not going away. No cough, though.
The pain on my back is familiar. Iirc I last felt this way when we were kids and my sister punched me so hard at the back.
Anyone else got this symptom?</t>
        </is>
      </c>
      <c r="D3013" t="n">
        <v>1</v>
      </c>
      <c r="E3013" t="n">
        <v>8</v>
      </c>
      <c r="F3013">
        <f>HYPERLINK("https://www.reddit.com/r/COVID19positive/comments/hpp8ga/back_pain_like_someone_fckin_punched_me/")</f>
        <v/>
      </c>
      <c r="G3013" t="inlineStr">
        <is>
          <t>2020-07-11 22:37:30</t>
        </is>
      </c>
      <c r="H3013" t="inlineStr">
        <is>
          <t>Presumed Positive - From Test</t>
        </is>
      </c>
    </row>
    <row r="3014">
      <c r="A3014" t="inlineStr">
        <is>
          <t>hppffb</t>
        </is>
      </c>
      <c r="B3014" t="inlineStr">
        <is>
          <t>False negative</t>
        </is>
      </c>
      <c r="C3014" t="inlineStr">
        <is>
          <t>Those who had false negatives or believe they had false negative, was your nose super dry when you tested? I'm wondering if I just didn't have any secretions, I have had a fever cough shortness of breath and live with 3 covid pos people. However I tested negative. I'm wondering if it was because my nose has been extremely dry.</t>
        </is>
      </c>
      <c r="D3014" t="n">
        <v>1</v>
      </c>
      <c r="E3014" t="n">
        <v>6</v>
      </c>
      <c r="F3014">
        <f>HYPERLINK("https://www.reddit.com/r/COVID19positive/comments/hppffb/false_negative/")</f>
        <v/>
      </c>
      <c r="G3014" t="inlineStr">
        <is>
          <t>2020-07-11 22:54:44</t>
        </is>
      </c>
      <c r="H3014" t="inlineStr">
        <is>
          <t>Presumed Positive - From Doctor</t>
        </is>
      </c>
    </row>
    <row r="3015">
      <c r="A3015" t="inlineStr">
        <is>
          <t>hppxwn</t>
        </is>
      </c>
      <c r="B3015" t="inlineStr">
        <is>
          <t>Exercise and covid</t>
        </is>
      </c>
      <c r="C3015" t="inlineStr">
        <is>
          <t>So I have tested positive and so far only symptoms are mostly just being sleepy sometimes and feeling winded easily. Do you think something like a gentle bike ride or casual strolls would be safe forms of exercise?
 When you had it, if you were mild enough to continue on mostly unimpeded, was exercise safe for you?
 Has anyone seen any research on if it's safe to do stuff like mentioned above?</t>
        </is>
      </c>
      <c r="D3015" t="n">
        <v>1</v>
      </c>
      <c r="E3015" t="n">
        <v>21</v>
      </c>
      <c r="F3015">
        <f>HYPERLINK("https://www.reddit.com/r/COVID19positive/comments/hppxwn/exercise_and_covid/")</f>
        <v/>
      </c>
      <c r="G3015" t="inlineStr">
        <is>
          <t>2020-07-11 23:41:15</t>
        </is>
      </c>
      <c r="H3015" t="inlineStr">
        <is>
          <t>Tested Positive - Me</t>
        </is>
      </c>
    </row>
    <row r="3016">
      <c r="A3016" t="inlineStr">
        <is>
          <t>hpq76f</t>
        </is>
      </c>
      <c r="B3016" t="inlineStr">
        <is>
          <t>My Experience Thus Far [32 Male]</t>
        </is>
      </c>
      <c r="C3016" t="inlineStr">
        <is>
          <t>**General Information About Me:**
* Male
* Age 32
* No underlying health problems, but I do smoke cigarettes (Roughly 16 years now). I don't drink alcohol, nor do I take any drugs, whether that be to get high or medically.
* Not tested, but presumed positive from a doctor.
**Symptom List:**
**July 1st (Day 1)**
* I started sneezing at night.
**July 2nd**
* The back of my throat tickled.
* Sneezing once again at night.
* My body felt "off" as if I was going to get sick.
* Runny nose.
**July 3rd**
* That tickling sensation turned into a sore throat.
* Persistent and harsh dry coughing throughout the day.
* A strong pressure located in the head (between the eyes and forehead area).
* Dry nose.
**July 4th**
* The sore throat continued.
* Persistent and harsh dry coughing throughout the day.
* The pressure in my head continued.
* Headache throughout the entire day.
* At night, it felt like I was going to break out into a severe flu.
* This day, I slept more than 10+ hours.
* Started to obtain a "pinching" feeling in my left lung.
* Slightly hard of breathing upon waking.
* Dry nose.
* The back of neck was sore.
**July 5th**
* The sore throat continued.
* Coughing on &amp;amp; off throughout the day, but not as persistent as previously.
* The pressure in my head continued.
* Felt less flu-like, but still felt "crummy".
* Pinching feeling in my left lung continued.
* Slightly hard of breathing upon waking.
* Numbness in my left leg, left arm, the left side of my face, and tingling lips. I called the ambulance to get checked out, and all of my vitals came back normal. They suggested I was having a panic attack. Once I calmed down, the tingling in my toes and finger tips remained.
* Dry nose.
**July 6th**
* Sneezing throughout the day (heavy sneezing at night).
* Extremely runny nose compared to the dry nose I had prior. A bit of a side note, when I started sneezing is when I knew my congestion would release through my nose and become runny.
* Sore through continued, but less painful this day.
* Coughing continued, but on and off (More raspy than dry sounding now).
* Felt flu-like on/off throughout the day.
* Helped move a pool liner in my backyard, and felt winded for about 3 minutes.
* Burning sensation throughout my nose.
* Slight inner ear pain (suspect it was coming from the head pressure).
**July 7th**
* Sneezing heavily at night.
* Sore throat continued.
* Runny nose continued.
* Coughing on &amp;amp; off.
* Woke up hard of breathing.
* I didn't lose my sense of taste or smell, but food started to taste salty. It was like I was eating a spoon full of sea salt.
* Feeling flu-like throughout the day.
**July 8th**
* Hard of breathing throughout the entire day. Speaking or doing light actively made me pretty winded. It almost felt like having a wet towel covering my face all day.
* Lightheartedness and dizziness (suspect anxiety).
* Slight discomfort located in the middle of my chest when breathing.
* Sore throat went away.
* Coughing less throughout the day.
* Less congestion pain, but still slightly congested.
* No runny or dry nose.
* Pinching sensation in my left lung went away.
**July 9th**
* Hard of breathing throughout the entire day. Speaking or doing light actively became uncomfortable. Not severe enough to need hospitalization, but enough to be uncomfortable and cause anxiousness at night (when my hard of breathing felt the worse).
* No sore throat.
* Less coughing.
* No congested feeling.
* No runny or dry nose.
* Pinching sensation still gone.
**July 10th**
* Hard of breathing continues.
* Anxiety at an all-time high. Had a panic attack.
* Tickle sensation in the back of my throat.
* Slight coughing.
**July 11th**
* Breathing improves greatly this day.
* Anxiety seems to be less.
* Tickle sensation in the back of my throat.
* Slight coughing.
* Taste returning back to normal, things taste less salty.
July 12th
* Breathing about the same as July 11th, improving. Talking too much or light activity results in being being "breathy".
* Anxiety seems to be less.
* Tickle sensation in the back of my throat.
* Slight coughing.
\- - - - -
**Symptoms I never had:**
* Fever
* Stomach issues.
* Loss of taste/smell, besides everything for a bit of time there tasting super salty.
\- - - - -
**Testing:**
I don't drive, so I'm unable to get testing at the moment (Don't want to get my family or friends sick). I have to wait until my doctor thinks I'm not sympathetic, and then come in to likely get antibody testing done.</t>
        </is>
      </c>
      <c r="D3016" t="n">
        <v>1</v>
      </c>
      <c r="E3016" t="n">
        <v>13</v>
      </c>
      <c r="F3016">
        <f>HYPERLINK("https://www.reddit.com/r/COVID19positive/comments/hpq76f/my_experience_thus_far_32_male/")</f>
        <v/>
      </c>
      <c r="G3016" t="inlineStr">
        <is>
          <t>2020-07-12 00:05:53</t>
        </is>
      </c>
      <c r="H3016" t="inlineStr">
        <is>
          <t>Presumed Positive - From Doctor</t>
        </is>
      </c>
    </row>
    <row r="3017">
      <c r="A3017" t="inlineStr">
        <is>
          <t>hpqc7l</t>
        </is>
      </c>
      <c r="B3017" t="inlineStr">
        <is>
          <t>25/M Tobacco smoker for 8 years here, tested positive two weeks ago. Hoping to quit after COVID for good.</t>
        </is>
      </c>
      <c r="C3017" t="inlineStr">
        <is>
          <t>Just wanted to share my short COVID-19 journey. When I received my positive test I became exasperated because I though that my smoking habit would make it worse. I experienced mild SOB for about 1 week. Didn’t feel completely out of breath, but it was very uncomfortable. Just felt like I couldn’t put my lungs on autopilot and had to be reminded at every moment to breathe. It really affected my sleep. 
The other symptoms were not as severe. Headaches and general body aches. I’m on my second day of feeling relatively normal, though the SOB and body aches come back occasionally. I’m tryin to use this experience to stop smoking for good. Even these mild symptoms gave me a hint of what’s to come down the road if I keep going. So, goodbye to that nasty habit.</t>
        </is>
      </c>
      <c r="D3017" t="n">
        <v>1</v>
      </c>
      <c r="E3017" t="n">
        <v>2</v>
      </c>
      <c r="F3017">
        <f>HYPERLINK("https://www.reddit.com/r/COVID19positive/comments/hpqc7l/25m_tobacco_smoker_for_8_years_here_tested/")</f>
        <v/>
      </c>
      <c r="G3017" t="inlineStr">
        <is>
          <t>2020-07-12 00:19:30</t>
        </is>
      </c>
      <c r="H3017" t="inlineStr">
        <is>
          <t>Tested Positive - Me</t>
        </is>
      </c>
    </row>
    <row r="3018">
      <c r="A3018" t="inlineStr">
        <is>
          <t>hpqu6d</t>
        </is>
      </c>
      <c r="B3018" t="inlineStr">
        <is>
          <t>54 yr old dad. diabetic + hypertension. On ventilator for 12 days now. Any hope on weaning off?</t>
        </is>
      </c>
      <c r="C3018" t="inlineStr">
        <is>
          <t>Hi all. First off, I just want to thank you for even taking a moment to read this. I appreciate the ongoing discussion and support for each other on  here... as it allows me to feel the solidarity when we some of us can feel so alone when no one else I know is going through this with their family. covid 19 is scary and such a strange thing.
My father has been on a ventilator for 12 days now due to Covid-19. The last two days, they have attempted to wean him off the vent but he becomes “agitated”, so they have to put him back on? ....Is this normal?
The first day he went in, the dr said he was “far from” needing a ventilator and within hours, he was hooked up to one.
Everything is uncertain with covid-19 and that’s why it’s even scarier. It appeared that we kept getting better and better updates after day one, his levels always fine, his organs all functioning properly despite all the medications and nurses sounded happy over the phone, but for the most part has been “stable”.
I’m the oldest sibling and our family just feels on edge, everyday looking forward to the next day’s update despite the hesitation to answer their call. (The medical professionals at the hospital have been so generous with their communication. Bless them.) 
What is normal? does weaning take a lot of time? anyone else been scared of their loved ones fate to then be pleasantly surprised to see they survived and it was just all part of the fight for life?
I am looking for a sense of relief for myself and my family and hope through this thread if possible. I am exhausted from googling everything and finding all kinds of information that counters each other. I just need a tinge of hope.
Thank you again for your time. Sending so much love to the rest of you with this covid-19 cloud floating over your heads too. So much love</t>
        </is>
      </c>
      <c r="D3018" t="n">
        <v>1</v>
      </c>
      <c r="E3018" t="n">
        <v>39</v>
      </c>
      <c r="F3018">
        <f>HYPERLINK("https://www.reddit.com/r/COVID19positive/comments/hpqu6d/54_yr_old_dad_diabetic_hypertension_on_ventilator/")</f>
        <v/>
      </c>
      <c r="G3018" t="inlineStr">
        <is>
          <t>2020-07-12 01:08:21</t>
        </is>
      </c>
      <c r="H3018" t="inlineStr">
        <is>
          <t>Tested Positive - Family</t>
        </is>
      </c>
    </row>
    <row r="3019">
      <c r="A3019" t="inlineStr">
        <is>
          <t>hpr1ya</t>
        </is>
      </c>
      <c r="B3019" t="inlineStr">
        <is>
          <t>Got Tested positive, infected by my family, mild symptoms. what am I in for?</t>
        </is>
      </c>
      <c r="C3019" t="inlineStr">
        <is>
          <t>I have no breathing problems, no smell problems, but yesterday I had diarrhea and extreme headache and shivering , hot body temperature. feels just like regular flu at the moment, I'm in bed all day relaxing. 
My dad has it too but he has zero symptoms, he is normal. My mom had same problems as me but she feels better now. I'm also feeling a bit better but body my temperature at 38.9 celsius. We all live in the same house but I locked myself in my room. I'm just eating chicken, banana, lots of fresh juice and sleep. What should I do during recovery? Any special advice? I'm in my late 20s.</t>
        </is>
      </c>
      <c r="D3019" t="n">
        <v>1</v>
      </c>
      <c r="E3019" t="n">
        <v>4</v>
      </c>
      <c r="F3019">
        <f>HYPERLINK("https://www.reddit.com/r/COVID19positive/comments/hpr1ya/got_tested_positive_infected_by_my_family_mild/")</f>
        <v/>
      </c>
      <c r="G3019" t="inlineStr">
        <is>
          <t>2020-07-12 01:28:23</t>
        </is>
      </c>
      <c r="H3019" t="inlineStr">
        <is>
          <t>Tested Positive - Me</t>
        </is>
      </c>
    </row>
    <row r="3020">
      <c r="A3020" t="inlineStr">
        <is>
          <t>hpr8rw</t>
        </is>
      </c>
      <c r="B3020" t="inlineStr">
        <is>
          <t>Which one do you prefer, a zombie virus or the coronavirus?</t>
        </is>
      </c>
      <c r="C3020" t="inlineStr">
        <is>
          <t>Personally I feel like corona is worst because it's invisible. I feel like I could have avoided zombies better....not sure.</t>
        </is>
      </c>
      <c r="D3020" t="n">
        <v>1</v>
      </c>
      <c r="E3020" t="n">
        <v>2</v>
      </c>
      <c r="F3020">
        <f>HYPERLINK("https://www.reddit.com/r/COVID19positive/comments/hpr8rw/which_one_do_you_prefer_a_zombie_virus_or_the/")</f>
        <v/>
      </c>
      <c r="G3020" t="inlineStr">
        <is>
          <t>2020-07-12 01:46:33</t>
        </is>
      </c>
      <c r="H3020" t="inlineStr">
        <is>
          <t>Tested Positive - Me</t>
        </is>
      </c>
    </row>
    <row r="3021">
      <c r="A3021" t="inlineStr">
        <is>
          <t>hps819</t>
        </is>
      </c>
      <c r="B3021" t="inlineStr">
        <is>
          <t>Tested Positive in March and recovered in April. Sometimes I still suffer with SOB</t>
        </is>
      </c>
      <c r="C3021" t="inlineStr">
        <is>
          <t>I recovered from COVID after about 4-5 weeks of shortness of breath and fatigue, and slowly I was able to start doing house work. I was still short of breath and struggled to even pick up socks off the floor. Apart from little to no recovery in my sense of taste and smell, I got over all the other symptoms just fine apart from shortness of breath. I’m back to work bartending now, and whilst it’s not that labour intensive (and I may be a little out of shape from lockdown) I still feel like I’m suffering with the squeezing shortness of breath feeling I had whilst I was ill, sometimes even when I’m lying in bed or sat on the sofa. I’m going to make an appointment to speak to my GP when I can, however does anybody have any advice? Does anybody else still struggle with breathing? Thank you in advance</t>
        </is>
      </c>
      <c r="D3021" t="n">
        <v>1</v>
      </c>
      <c r="E3021" t="n">
        <v>14</v>
      </c>
      <c r="F3021">
        <f>HYPERLINK("https://www.reddit.com/r/COVID19positive/comments/hps819/tested_positive_in_march_and_recovered_in_april/")</f>
        <v/>
      </c>
      <c r="G3021" t="inlineStr">
        <is>
          <t>2020-07-12 03:21:24</t>
        </is>
      </c>
      <c r="H3021" t="inlineStr">
        <is>
          <t>Tested Positive - Me</t>
        </is>
      </c>
    </row>
    <row r="3022">
      <c r="A3022" t="inlineStr">
        <is>
          <t>hpsbrf</t>
        </is>
      </c>
      <c r="B3022" t="inlineStr">
        <is>
          <t>Is anybody here having problems with speech?</t>
        </is>
      </c>
      <c r="C3022" t="inlineStr">
        <is>
          <t>No, im not talking about stroke level problems with speech where what im saying sounds like:
'Wjwiwjiwm2hwikajwiakkak'
but more like...i mess about words more often than usual.
like for instance for the word 'cat', i might say 'zat' or 'bat' by mistake. 
Some tongue foolery and its been happening a LOT.
and b4 y'all tell me im having a stroke, im not. My memory is more or less the same and my face is perfectly fine and not getting asymmetrical
Did any of y'all share this symptom of mine?
Alongside cognitive confusion as well.</t>
        </is>
      </c>
      <c r="D3022" t="n">
        <v>1</v>
      </c>
      <c r="E3022" t="n">
        <v>67</v>
      </c>
      <c r="F3022">
        <f>HYPERLINK("https://www.reddit.com/r/COVID19positive/comments/hpsbrf/is_anybody_here_having_problems_with_speech/")</f>
        <v/>
      </c>
      <c r="G3022" t="inlineStr">
        <is>
          <t>2020-07-12 03:31:18</t>
        </is>
      </c>
      <c r="H3022" t="inlineStr">
        <is>
          <t>Tested Positive - Me</t>
        </is>
      </c>
    </row>
    <row r="3023">
      <c r="A3023" t="inlineStr">
        <is>
          <t>hpt9ex</t>
        </is>
      </c>
      <c r="B3023" t="inlineStr">
        <is>
          <t>What day did you start to feel better, and did you then relapse back into symptoms?</t>
        </is>
      </c>
      <c r="C3023" t="inlineStr">
        <is>
          <t>Today is day 5 for me and I feel mildly better but I know how quickly that can turn around. I’m presumed positive until my test results come in. How has everyone else’s experiences been?</t>
        </is>
      </c>
      <c r="D3023" t="n">
        <v>1</v>
      </c>
      <c r="E3023" t="n">
        <v>16</v>
      </c>
      <c r="F3023">
        <f>HYPERLINK("https://www.reddit.com/r/COVID19positive/comments/hpt9ex/what_day_did_you_start_to_feel_better_and_did_you/")</f>
        <v/>
      </c>
      <c r="G3023" t="inlineStr">
        <is>
          <t>2020-07-12 04:56:25</t>
        </is>
      </c>
      <c r="H3023" t="inlineStr">
        <is>
          <t>Presumed Positive - From Doctor</t>
        </is>
      </c>
    </row>
    <row r="3024">
      <c r="A3024" t="inlineStr">
        <is>
          <t>hpul82</t>
        </is>
      </c>
      <c r="B3024" t="inlineStr">
        <is>
          <t>COVID progression</t>
        </is>
      </c>
      <c r="C3024" t="inlineStr">
        <is>
          <t>Just found out my mom tested positive for COVID. My dad will be tested tomorrow. She started feeling sick a week ago, and both had a low grade fever starting on Tuesday the 7th. Symptoms have been mild so far, luckily, and they said they're feeling better today.
My question...is it likely to stay this way, with mild symptoms? Or does it typically start out slowly and continue to worsen?
They're in their mid-late 60s; my dad had a heart attack and both are overweight (but not obese).
I'm just so scared that this is only the beginning, and things are going to get worse for them...</t>
        </is>
      </c>
      <c r="D3024" t="n">
        <v>1</v>
      </c>
      <c r="E3024" t="n">
        <v>10</v>
      </c>
      <c r="F3024">
        <f>HYPERLINK("https://www.reddit.com/r/COVID19positive/comments/hpul82/covid_progression/")</f>
        <v/>
      </c>
      <c r="G3024" t="inlineStr">
        <is>
          <t>2020-07-12 06:42:49</t>
        </is>
      </c>
      <c r="H3024" t="inlineStr">
        <is>
          <t>Tested Positive - Family</t>
        </is>
      </c>
    </row>
    <row r="3025">
      <c r="A3025" t="inlineStr">
        <is>
          <t>hpvd0r</t>
        </is>
      </c>
      <c r="B3025" t="inlineStr">
        <is>
          <t>25 days 25y/o male</t>
        </is>
      </c>
      <c r="C3025" t="inlineStr">
        <is>
          <t>Running on 25 days of fairly mild symptoms. The first 5-10 days consisted of fatigue, low fever, snuffy nose, diarrhea and mild cough. The majority of those went away - leaving me with fatigue, brain fog and an on/off low grade fever. 
I am a healthy 25 year old. Wondering if my immune system just isn’t as strong or if it’s due to my blood type (which I’m not sure what that is). 
Thoughts? Anyone in a similar position?</t>
        </is>
      </c>
      <c r="D3025" t="n">
        <v>1</v>
      </c>
      <c r="E3025" t="n">
        <v>3</v>
      </c>
      <c r="F3025">
        <f>HYPERLINK("https://www.reddit.com/r/COVID19positive/comments/hpvd0r/25_days_25yo_male/")</f>
        <v/>
      </c>
      <c r="G3025" t="inlineStr">
        <is>
          <t>2020-07-12 07:36:36</t>
        </is>
      </c>
      <c r="H3025" t="inlineStr">
        <is>
          <t>Tested Positive - Me</t>
        </is>
      </c>
    </row>
    <row r="3026">
      <c r="A3026" t="inlineStr">
        <is>
          <t>hpvlkx</t>
        </is>
      </c>
      <c r="B3026" t="inlineStr">
        <is>
          <t>Should I isolate myself from my family or treat it as if we are all positive? COVID19 Question</t>
        </is>
      </c>
      <c r="C3026" t="inlineStr">
        <is>
          <t>My sister and her husband got tested a week ago, found out yesterday that their results are positive. i live with my parents and nephew (who has been staying with us while his parents were waiting for test results, he is 10 mo old) just went and got tested yesterday.
My mom and nephew tested negative, and my dad and I are still awaiting results. If we test positive, should we keep away from my mom and nephew? Or should we treat it as if we are all positive, taking into account how fast it spreads and the incubation period? The ladies who tested us yesterday said that if one is positive in the household treat everyone as if they’re positive, where as everything I’ve read said to stay away and quarintine in a seperate room of the house, or in my case I’d go &amp;amp; stay with my sister and brother-in-law to keep them from being exposed further.</t>
        </is>
      </c>
      <c r="D3026" t="n">
        <v>1</v>
      </c>
      <c r="E3026" t="n">
        <v>5</v>
      </c>
      <c r="F3026">
        <f>HYPERLINK("https://www.reddit.com/r/COVID19positive/comments/hpvlkx/should_i_isolate_myself_from_my_family_or_treat/")</f>
        <v/>
      </c>
      <c r="G3026" t="inlineStr">
        <is>
          <t>2020-07-12 07:52:02</t>
        </is>
      </c>
      <c r="H3026" t="inlineStr">
        <is>
          <t>Tested Positive - Family</t>
        </is>
      </c>
    </row>
    <row r="3027">
      <c r="A3027" t="inlineStr">
        <is>
          <t>hpvmk4</t>
        </is>
      </c>
      <c r="B3027" t="inlineStr">
        <is>
          <t>Am I the ONLY one in this world having this single post-COVID symptom for a continuous 55 days?</t>
        </is>
      </c>
      <c r="C3027" t="inlineStr">
        <is>
          <t>Am on day 118 now from first symptoms having fully recovered around day 22 (or so I thought) from COVID (tested +ve). Am a pre-diabetic/mildly diabetic, generally fit and healthy with no other co-morbidities and not taking any medications. During my COVID phase, which lasted 2 to 3 weeks, my symptoms were relatively mild - diarrhea on the first or second day, mild cough, mild fever for 10 days, mild nausea, body pain, etc. There was no SOB and I did not have any skin conditions. I did not need hospitalization or any special medications. 60M, O+ve.
Since recovery, I felt almost completely normal. I resumed normal activities and tennis, without experiencing significant loss of stamina.
After a walk in the hot sun one time 55 days ago (and a plasma donation), I started experiencing a burning sensation on my skin, which continues till date. I discovered from other redditors that this type of sensation is not uncommon during COVID and in post-COVID inflammation sometimes for a few days for some people. However, for me, this sensation has persisted almost CONTINUOUSLY all over the body without any letdown in the trend line for the past 55 days, though there can be more or less flareup on some days and during some times!
It is somewhat like sunburn, which seems to persist for most of the day and night. The sensation is at an outer level and there is no underlying redness or rash or burn. There is no noticeable numbness or tingling. The burning sensation is more intense at certain times of the day, and distinctly felt in the upper and lower limbs, but is all over the body. When I rub my skin with my palm, there is a distinct "prickly" feeling experienced at the contact region. There are no other accompanying symptoms. I feel fine otherwise - have normal energy levels, appetite, etc and have no anxieties or any other issues. (This sensation first appeared around the time I donated plasma at a local plasma center, though I am told there is no connection there.) My blood tests don't show anything out of the ordinary - normal B12, D3, WBC, RBC, etc, though my blood sugar is borderline diabetic (HbA1c 6.54).
This sensation is more than annoying. Nowadays, there is nothing I love more than a cold water bath, which along with minimal clothing and AC+fan are really soothing to my burning skin. I don't have a clue why my skin is burning. My internist put me through a 6 day low-dose course of methylprednisolone, but there was no effect, good or bad. It seems my immune system or my circulatory system or my nervous system is playing tricks on my skin.
What could be happening and what can one do about it? What other things can I try medically or otherwise? I am at my wit's end. COVID is a \*mysterious\* disease.
Thank you in advance for suggestions, comments, and approaches.</t>
        </is>
      </c>
      <c r="D3027" t="n">
        <v>1</v>
      </c>
      <c r="E3027" t="n">
        <v>63</v>
      </c>
      <c r="F3027">
        <f>HYPERLINK("https://www.reddit.com/r/COVID19positive/comments/hpvmk4/am_i_the_only_one_in_this_world_having_this/")</f>
        <v/>
      </c>
      <c r="G3027" t="inlineStr">
        <is>
          <t>2020-07-12 07:53:55</t>
        </is>
      </c>
      <c r="H3027" t="inlineStr">
        <is>
          <t>Tested Positive - Me</t>
        </is>
      </c>
    </row>
    <row r="3028">
      <c r="A3028" t="inlineStr">
        <is>
          <t>hpvquh</t>
        </is>
      </c>
      <c r="B3028" t="inlineStr">
        <is>
          <t>Symptom flare after no symptoms in June</t>
        </is>
      </c>
      <c r="C3028" t="inlineStr">
        <is>
          <t>Hello,
I was very sick from March to May. But for all of June I thought I was recovered, other than fatigue. 
In the last few days I’ve had a flare of symptoms again. I’ve started coughing, been even more fatigued, my chest hurts, had some SOB and on Friday I had a fever. This is nowhere near as bad as when I was sick in the spring, but it is scaring me. And I’m worried that I’ll get worse. 
I’m waiting on my covid test result now. And my chest X-ray was clean just like it was before. 
Has anyone else experienced something like this?</t>
        </is>
      </c>
      <c r="D3028" t="n">
        <v>1</v>
      </c>
      <c r="E3028" t="n">
        <v>8</v>
      </c>
      <c r="F3028">
        <f>HYPERLINK("https://www.reddit.com/r/COVID19positive/comments/hpvquh/symptom_flare_after_no_symptoms_in_june/")</f>
        <v/>
      </c>
      <c r="G3028" t="inlineStr">
        <is>
          <t>2020-07-12 08:01:59</t>
        </is>
      </c>
      <c r="H3028" t="inlineStr">
        <is>
          <t>Presumed Positive - From Doctor</t>
        </is>
      </c>
    </row>
    <row r="3029">
      <c r="A3029" t="inlineStr">
        <is>
          <t>hpw472</t>
        </is>
      </c>
      <c r="B3029" t="inlineStr">
        <is>
          <t>I tested positive on 6/19. I have quarantined since. My symptoms lasted for a week. I just tested positive again on 7/10. No symptoms. Am I still contagious?</t>
        </is>
      </c>
      <c r="C3029" t="inlineStr">
        <is>
          <t xml:space="preserve"> 
I know the CDC says 10 days... I'm still testing positive though. I don't want to be responsible for infecting others at work.
Thoughts?</t>
        </is>
      </c>
      <c r="D3029" t="n">
        <v>1</v>
      </c>
      <c r="E3029" t="n">
        <v>13</v>
      </c>
      <c r="F3029">
        <f>HYPERLINK("https://www.reddit.com/r/COVID19positive/comments/hpw472/i_tested_positive_on_619_i_have_quarantined_since/")</f>
        <v/>
      </c>
      <c r="G3029" t="inlineStr">
        <is>
          <t>2020-07-12 08:25:18</t>
        </is>
      </c>
      <c r="H3029" t="inlineStr">
        <is>
          <t>Tested Positive - Me</t>
        </is>
      </c>
    </row>
    <row r="3030">
      <c r="A3030" t="inlineStr">
        <is>
          <t>hpw51r</t>
        </is>
      </c>
      <c r="B3030" t="inlineStr">
        <is>
          <t>Light hearted post, please take it as such</t>
        </is>
      </c>
      <c r="C3030" t="inlineStr">
        <is>
          <t>I tested positive; symptoms have been very mild and really began resolving a few days ago. 
My wife started getting sick Friday, her symptoms have been similar to mine but a little worse (she has a much more pronounced cough and chest tightness, whereas mine was much heavier in fatigue and body aches).
I told my wife it made sense given our personalities, she's an overachiever and I'm too lazy to bother getting sick.</t>
        </is>
      </c>
      <c r="D3030" t="n">
        <v>1</v>
      </c>
      <c r="E3030" t="n">
        <v>6</v>
      </c>
      <c r="F3030">
        <f>HYPERLINK("https://www.reddit.com/r/COVID19positive/comments/hpw51r/light_hearted_post_please_take_it_as_such/")</f>
        <v/>
      </c>
      <c r="G3030" t="inlineStr">
        <is>
          <t>2020-07-12 08:26:50</t>
        </is>
      </c>
      <c r="H3030" t="inlineStr">
        <is>
          <t>Tested Positive - Me</t>
        </is>
      </c>
    </row>
    <row r="3031">
      <c r="A3031" t="inlineStr">
        <is>
          <t>hpwcrt</t>
        </is>
      </c>
      <c r="B3031" t="inlineStr">
        <is>
          <t>Question about NAC</t>
        </is>
      </c>
      <c r="C3031" t="inlineStr">
        <is>
          <t>I’ve taken NAC off and on for years. I was pounding it in early February and March when this all started. 
At some point I spooked myself about it causing a Cytokine Storm so I stopped taking it. 
This week I’ve had very minor symptoms, cough, sinus pressure, etc. waiting on my test to come back. 
I’ve been taking Vitamin D and Zinc because I see some research suggest direct benefit. Was wondering if it’s safe to incorporate NAC back into my regime without triggering some COVID specific reaction. I know NAC is super beneficial against flu symptoms. 
I’ve got 600mg NOW brand with selenium and Molybdenum. Then another straight up NOW brand 1000mg.</t>
        </is>
      </c>
      <c r="D3031" t="n">
        <v>1</v>
      </c>
      <c r="E3031" t="n">
        <v>5</v>
      </c>
      <c r="F3031">
        <f>HYPERLINK("https://www.reddit.com/r/COVID19positive/comments/hpwcrt/question_about_nac/")</f>
        <v/>
      </c>
      <c r="G3031" t="inlineStr">
        <is>
          <t>2020-07-12 08:40:09</t>
        </is>
      </c>
      <c r="H3031" t="inlineStr">
        <is>
          <t>Presumed Positive - From Test</t>
        </is>
      </c>
    </row>
    <row r="3032">
      <c r="A3032" t="inlineStr">
        <is>
          <t>hpwmey</t>
        </is>
      </c>
      <c r="B3032" t="inlineStr">
        <is>
          <t>Dangers of inaccurate testing</t>
        </is>
      </c>
      <c r="C3032" t="inlineStr">
        <is>
          <t>I’m male, 51 who tested positive for igg and igm antibodies on 7/4.  Starting around 6/17, i had three days of malaise followed by four days with an intermittent fever of 101, chills and a thick feeling neck so I got tested at center that seemed a little profit oriented:  no insurance allowed and they were charging $150/test.  The place had long lines, probably processed 100 people an our.
I Tested negative, it was a rapid finger prick blood test.
Fever and fatigue continued, sleeping 12 hours a day, so I went to a more reputable clinic and got another test:  rapid nasal swab variety.  It showed negative too!
For another week my symptoms were to feel ok during the day, although I was mentally very slow, and then each evening around six I’d get a fever (101) and a splitting head ache.  Also I hated breathing air conditioned air, it felt sharp on intake, so I breathed through a blanket or outside to feel more comfortable.
Anyway went back to get tested again on 7/3 and it was negative again!!!  Third time.  The doctor said that my symptoms seems like covid so ordered blood drawn and they sent it to a lab to check for anti bodies.  That showed the presence of the igm and igg.
My cousin is an er nurse and says her hospital stats show that the rapid tests are only 48% accurate.
That seems dangerous to me, to have testing that tells people they are negative when they were positive.  Statistically I guess there is a 15%  chance that one can get three false negatives, so this could happen to 1 in every seven cases!!
So, be cautious in relying on test results and trust what your body is telling you!!!
I’ve felt fine now since around 7/4</t>
        </is>
      </c>
      <c r="D3032" t="n">
        <v>1</v>
      </c>
      <c r="E3032" t="n">
        <v>12</v>
      </c>
      <c r="F3032">
        <f>HYPERLINK("https://www.reddit.com/r/COVID19positive/comments/hpwmey/dangers_of_inaccurate_testing/")</f>
        <v/>
      </c>
      <c r="G3032" t="inlineStr">
        <is>
          <t>2020-07-12 08:55:07</t>
        </is>
      </c>
      <c r="H3032" t="inlineStr">
        <is>
          <t>Tested Positive - Me</t>
        </is>
      </c>
    </row>
    <row r="3033">
      <c r="A3033" t="inlineStr">
        <is>
          <t>hpxlfq</t>
        </is>
      </c>
      <c r="B3033" t="inlineStr">
        <is>
          <t>I've come to the realization that I'm embarrassed of my diagnosis</t>
        </is>
      </c>
      <c r="C3033" t="inlineStr">
        <is>
          <t>I feel like I didn't try hard enough NOT to get sick. (Symptoms started 6/29, tested 7/1, positive result received 7/11.)
My state never fully locked down but our family did for many weeks (we're homebodies so we are built for lockdown!) but as the state and county eased what few restrictions were in place, we tested the waters a couple of times before deciding we still weren't personally comfortable with the local guidelines. (Didn't feel they were strict enough.) 
But here we are. Well, here I am, anyway. The rest of the family is good so far, knock on wood.
I've notified the few people I've been with physically, which was weirdly embarrassing (everyone was totally cool and supportive) but what I'm most embarrassed about is telling the parents of the few friends I've allowed one of my children to play with in the neighborhood.
I'm not even sure how to word it without making it sound like we were careless and now I'm sick and your kid could potentially have been exposed through my kid. My kid is NOT showing symptoms, but we know asymptomatic people are a thing. 
While we took this seriously (more seriously than our state and local health department did) I still feel like I didn't try hard enough and I will be horrified if one of my kid's friends gets sick. We haven't allowed anyone in our house since I've had symptoms, and I've isolated from my kids as much as possible since having symptoms, but the one kid in particular has been to a few houses.
I'm embarrassed and mad at myself and scared of being a spreader.</t>
        </is>
      </c>
      <c r="D3033" t="n">
        <v>1</v>
      </c>
      <c r="E3033" t="n">
        <v>35</v>
      </c>
      <c r="F3033">
        <f>HYPERLINK("https://www.reddit.com/r/COVID19positive/comments/hpxlfq/ive_come_to_the_realization_that_im_embarrassed/")</f>
        <v/>
      </c>
      <c r="G3033" t="inlineStr">
        <is>
          <t>2020-07-12 09:51:47</t>
        </is>
      </c>
      <c r="H3033" t="inlineStr">
        <is>
          <t>Tested Positive - Me</t>
        </is>
      </c>
    </row>
    <row r="3034">
      <c r="A3034" t="inlineStr">
        <is>
          <t>hpy6dp</t>
        </is>
      </c>
      <c r="B3034" t="inlineStr">
        <is>
          <t>Wife and I got tested. Hers was positive and mine was negative</t>
        </is>
      </c>
      <c r="C3034" t="inlineStr">
        <is>
          <t>My wife started showing symptoms on 6/26. Mild cough and fatigue. I had a mild fever on 6/29 and body aches. We both got tested on 7/3. She got her results on 7/10 which were positive, and i just got mine an hour ago saying I was negative. Mind you she lost taste and smell on 6/29 and I lost mine on 7/4. Could it be that i got the virus before her but symptoms took longer to show which is why i got the negative results? If so, would it be possible to loose smell and taste after the initial 14 days? Should we both test for antibodies and get teated again?</t>
        </is>
      </c>
      <c r="D3034" t="n">
        <v>1</v>
      </c>
      <c r="E3034" t="n">
        <v>3</v>
      </c>
      <c r="F3034">
        <f>HYPERLINK("https://www.reddit.com/r/COVID19positive/comments/hpy6dp/wife_and_i_got_tested_hers_was_positive_and_mine/")</f>
        <v/>
      </c>
      <c r="G3034" t="inlineStr">
        <is>
          <t>2020-07-12 10:25:40</t>
        </is>
      </c>
      <c r="H3034" t="inlineStr">
        <is>
          <t>Tested Positive - Family</t>
        </is>
      </c>
    </row>
    <row r="3035">
      <c r="A3035" t="inlineStr">
        <is>
          <t>hpyfpw</t>
        </is>
      </c>
      <c r="B3035" t="inlineStr">
        <is>
          <t>Tested positive, no real symptoms</t>
        </is>
      </c>
      <c r="C3035" t="inlineStr">
        <is>
          <t>Hi all, I (23F) got tested on 7/7 and confirmed on 7/10. I live with my partner (24M) who is getting tested tomorrow 7/13. We presume that we contracted it on 4th of July, so we are likely 7 days in. Neither of us have underlying conditions. 
Thus far, we don’t have any real symptoms (I was getting tested regularly for work, which is why we found out). My partner has coughed a bit here and there, but also coughs semi-regularly due to smoking/vape. I’ve also coughed a handful of times, but nothing that would have triggered “this might be COVID” thoughts. Today my chest is feeling slightly heavy, but can’t tell if it’s anxiety and stress, or actual covid symptom. No fevers yet. 
I’m curious at what point people generally started to feel symptoms? What were the first symptoms to occur?</t>
        </is>
      </c>
      <c r="D3035" t="n">
        <v>1</v>
      </c>
      <c r="E3035" t="n">
        <v>7</v>
      </c>
      <c r="F3035">
        <f>HYPERLINK("https://www.reddit.com/r/COVID19positive/comments/hpyfpw/tested_positive_no_real_symptoms/")</f>
        <v/>
      </c>
      <c r="G3035" t="inlineStr">
        <is>
          <t>2020-07-12 10:40:46</t>
        </is>
      </c>
      <c r="H3035" t="inlineStr">
        <is>
          <t>Tested Positive - Me</t>
        </is>
      </c>
    </row>
    <row r="3036">
      <c r="A3036" t="inlineStr">
        <is>
          <t>hpyv6p</t>
        </is>
      </c>
      <c r="B3036" t="inlineStr">
        <is>
          <t>Nurse called today, 2 weeks after my test. Here’s my symptoms [34/F TX US]</t>
        </is>
      </c>
      <c r="C3036" t="inlineStr">
        <is>
          <t>Since March, I’ve had the most insane sinus pressure, sore throat, uncomfortable popping joints, inflamed tendons and muscle knots, gastrointestinal issues,  shortness of breath, and tingling fingers/toes.
We didn’t have testing available then, and the symptoms subsided. I lost taste and smell two weeks ago and was finally able to test. Same symptoms listed above returned. I’m able to work out at about 70% of what I’d do in a pre-covid world. 
So, I guess I have a mild strain with persistent annoying symptoms. The pressure that feels like it’s moving through my whole body is the worst, for me. Hopefully, that stays the worst of it. Teledoc is tomorrow evening. 
I haven’t seen my kids in person for over two weeks. My daughter is a cancer survivor, so her dad and I are being cautious. Perks of divorce, I guess.
Hang in there.</t>
        </is>
      </c>
      <c r="D3036" t="n">
        <v>1</v>
      </c>
      <c r="E3036" t="n">
        <v>6</v>
      </c>
      <c r="F3036">
        <f>HYPERLINK("https://www.reddit.com/r/COVID19positive/comments/hpyv6p/nurse_called_today_2_weeks_after_my_test_heres_my/")</f>
        <v/>
      </c>
      <c r="G3036" t="inlineStr">
        <is>
          <t>2020-07-12 11:05:18</t>
        </is>
      </c>
      <c r="H3036" t="inlineStr">
        <is>
          <t>Tested Positive - Me</t>
        </is>
      </c>
    </row>
    <row r="3037">
      <c r="A3037" t="inlineStr">
        <is>
          <t>hpz2b9</t>
        </is>
      </c>
      <c r="B3037" t="inlineStr">
        <is>
          <t>Finally lost my sense of smell</t>
        </is>
      </c>
      <c r="C3037" t="inlineStr">
        <is>
          <t>and I only realized it because I know my pits are stinky but I can’t smell it at all. Tested with a room spray and confirmed that I can’t smell anything. Luckily I can still taste a little, but hoping that doesn’t change.</t>
        </is>
      </c>
      <c r="D3037" t="n">
        <v>1</v>
      </c>
      <c r="E3037" t="n">
        <v>2</v>
      </c>
      <c r="F3037">
        <f>HYPERLINK("https://www.reddit.com/r/COVID19positive/comments/hpz2b9/finally_lost_my_sense_of_smell/")</f>
        <v/>
      </c>
      <c r="G3037" t="inlineStr">
        <is>
          <t>2020-07-12 11:16:43</t>
        </is>
      </c>
      <c r="H3037" t="inlineStr">
        <is>
          <t>Tested Positive - Me</t>
        </is>
      </c>
    </row>
    <row r="3038">
      <c r="A3038" t="inlineStr">
        <is>
          <t>hpzduz</t>
        </is>
      </c>
      <c r="B3038" t="inlineStr">
        <is>
          <t>When to take my girlfriend to the hospital</t>
        </is>
      </c>
      <c r="C3038" t="inlineStr">
        <is>
          <t>23M here. My gf (23F) has had about every symptom. I am starting to get worried because yesterday she was having trouble breathing, but it calmed down as the day progressed. Today, she got up out of bed and immediately went back to bed because she felt as if she was going to pass out. I don’t want to wait until its dire need that she needs assistance and she also doesnt want to go because she doesnt want to be quarantined alone. It has been 7 days since she tested positive and I tested negative 6 days ago with mild symptoms that I have not felt in over 3 days. Anyone have any advice?</t>
        </is>
      </c>
      <c r="D3038" t="n">
        <v>1</v>
      </c>
      <c r="E3038" t="n">
        <v>14</v>
      </c>
      <c r="F3038">
        <f>HYPERLINK("https://www.reddit.com/r/COVID19positive/comments/hpzduz/when_to_take_my_girlfriend_to_the_hospital/")</f>
        <v/>
      </c>
      <c r="G3038" t="inlineStr">
        <is>
          <t>2020-07-12 11:34:35</t>
        </is>
      </c>
      <c r="H3038" t="inlineStr">
        <is>
          <t>Tested Positive - Friends</t>
        </is>
      </c>
    </row>
    <row r="3039">
      <c r="A3039" t="inlineStr">
        <is>
          <t>hpzg1h</t>
        </is>
      </c>
      <c r="B3039" t="inlineStr">
        <is>
          <t>Still covid positive a month later</t>
        </is>
      </c>
      <c r="C3039" t="inlineStr">
        <is>
          <t>Hi! I came into contact with someone who tested positive for covid on June 11th, and I tested positive for covid on June 16th. It has been 26 days since my first positive test and I am STILL testing positive. I went on a trip with friends for the 4th of July and was in very close quarters with them, 18 days out from my first positive test. Neither of them tested positive for covid after the trip. My family is still making me isolate from them after my second positive test. How long did you guys test positive for covid? It’s definitely more than 14 days for me... I’m extremely frustrated to be treated like a leper in my own house, as it seems a positive covid test almost a month out didn’t spread it to people I was with. I’ll stay in my room for the comfort of my family, but i’m losing my mind and cannot do another two weeks if I test positive again.</t>
        </is>
      </c>
      <c r="D3039" t="n">
        <v>1</v>
      </c>
      <c r="E3039" t="n">
        <v>18</v>
      </c>
      <c r="F3039">
        <f>HYPERLINK("https://www.reddit.com/r/COVID19positive/comments/hpzg1h/still_covid_positive_a_month_later/")</f>
        <v/>
      </c>
      <c r="G3039" t="inlineStr">
        <is>
          <t>2020-07-12 11:37:54</t>
        </is>
      </c>
      <c r="H3039" t="inlineStr">
        <is>
          <t>Tested Positive</t>
        </is>
      </c>
    </row>
    <row r="3040">
      <c r="A3040" t="inlineStr">
        <is>
          <t>hq0elm</t>
        </is>
      </c>
      <c r="B3040" t="inlineStr">
        <is>
          <t>County Covid Results</t>
        </is>
      </c>
      <c r="C3040" t="inlineStr">
        <is>
          <t>I took a covid test through a drive thru the county built in my area. I did a self nose swab and finally two weeks later got a result of positive. What’s the chance my test was a false positive, I live with my 2 other people and they had no signs but didn’t test for it. No one had symptoms, I’m aware some people are Asymptotic but I have doubt just because I did the test and I guess it’s just me doubting my own ability to follow instructions and take any test lol</t>
        </is>
      </c>
      <c r="D3040" t="n">
        <v>1</v>
      </c>
      <c r="E3040" t="n">
        <v>3</v>
      </c>
      <c r="F3040">
        <f>HYPERLINK("https://www.reddit.com/r/COVID19positive/comments/hq0elm/county_covid_results/")</f>
        <v/>
      </c>
      <c r="G3040" t="inlineStr">
        <is>
          <t>2020-07-12 12:30:58</t>
        </is>
      </c>
      <c r="H3040" t="inlineStr">
        <is>
          <t>Tested Positive</t>
        </is>
      </c>
    </row>
    <row r="3041">
      <c r="A3041" t="inlineStr">
        <is>
          <t>hq0uaf</t>
        </is>
      </c>
      <c r="B3041" t="inlineStr">
        <is>
          <t>I have just tested positive for COVID and I have a lot of questions, would appreciate some input</t>
        </is>
      </c>
      <c r="C3041" t="inlineStr">
        <is>
          <t>Is it true that the virus can remain "dormant" in the system despite "recovering" initially and reactivate later (like shingles)? Or does the research suggest that I can only catch it once and after I get antibodies I should be fine?
Does it impact the brain in any ways?</t>
        </is>
      </c>
      <c r="D3041" t="n">
        <v>1</v>
      </c>
      <c r="E3041" t="n">
        <v>4</v>
      </c>
      <c r="F3041">
        <f>HYPERLINK("https://www.reddit.com/r/COVID19positive/comments/hq0uaf/i_have_just_tested_positive_for_covid_and_i_have/")</f>
        <v/>
      </c>
      <c r="G3041" t="inlineStr">
        <is>
          <t>2020-07-12 12:55:49</t>
        </is>
      </c>
      <c r="H3041" t="inlineStr">
        <is>
          <t>Tested Positive</t>
        </is>
      </c>
    </row>
    <row r="3042">
      <c r="A3042" t="inlineStr">
        <is>
          <t>hq0vha</t>
        </is>
      </c>
      <c r="B3042" t="inlineStr">
        <is>
          <t>How can companies behave like this and not face any consequences?</t>
        </is>
      </c>
      <c r="C3042" t="inlineStr">
        <is>
          <t>I'm currently sitting here with a 102° fever for the third day in a row after having been extremely careful since COVID-19 was announced as a pandemic.
I work in retail banking for a Fortune 500 company that insisted on opening up the lobbies to the public a couple of weeks ago despite the huge spike in new cases. It was so unnecessary. We were running the bank just fine and meeting all of our completely unadjusted goals during the lockdown while operating through drive up, phone and appointments only. Someone in corporate set an arbitrary date that we would open and we had no choice but to listen or lose our positions. 
They also told us we would not be allowed to turn away clients from face to face appointments even if they were symptomatic or were refusing to wear a mask. I would have quit right there if it wasn't so incredibly hard to find a job right now...
So apparently someone got me. I shudder to think how many elderly and frail people I've interacted with in my office over the last couple of weeks. Half of my coworkers are at risk or live with someone who is. I'll feel so incredibly guilty if one of them ends up sick or worse.
I'm so pissed at the totally irresponsible profits-over-people way that the USA and its companies have been handling this pandemic. I'm young and will *probably* be fine, but that unfortunately can't be said for a lot of people that are forced by their jobs to face the public every day...
Sorry for the rant. I'm just sick of watching people suffer so that we can pretend everything is normal when that is FAR from the case. I hope you all stay safe, happy and healthy.</t>
        </is>
      </c>
      <c r="D3042" t="n">
        <v>1</v>
      </c>
      <c r="E3042" t="n">
        <v>35</v>
      </c>
      <c r="F3042">
        <f>HYPERLINK("https://www.reddit.com/r/COVID19positive/comments/hq0vha/how_can_companies_behave_like_this_and_not_face/")</f>
        <v/>
      </c>
      <c r="G3042" t="inlineStr">
        <is>
          <t>2020-07-12 12:57:46</t>
        </is>
      </c>
      <c r="H3042" t="inlineStr">
        <is>
          <t>Presumed Positive - From Doctor</t>
        </is>
      </c>
    </row>
    <row r="3043">
      <c r="A3043" t="inlineStr">
        <is>
          <t>hq16pe</t>
        </is>
      </c>
      <c r="B3043" t="inlineStr">
        <is>
          <t>Follow-up checks after COVID recovering</t>
        </is>
      </c>
      <c r="C3043" t="inlineStr">
        <is>
          <t>I'm feeling pretty much OK at the moment.
No fever, coughing, and I'm somewhat symtopms-free. It's been like this since I turned out positive last Sunday, I got tested because I had an headache a week prior  (On Tuesday, 30.6) .
My workplace requires us to have a negative test result in order to return to work, even if its just an headache. I guess it was a good call because I'm positive.
Now for the real question, what are follow up checks I should run post recovering? What kind of blood tests besides the antibodies test? Which scans? What are the general guidelines?
Thank you all, wish you the best health</t>
        </is>
      </c>
      <c r="D3043" t="n">
        <v>1</v>
      </c>
      <c r="E3043" t="n">
        <v>2</v>
      </c>
      <c r="F3043">
        <f>HYPERLINK("https://www.reddit.com/r/COVID19positive/comments/hq16pe/followup_checks_after_covid_recovering/")</f>
        <v/>
      </c>
      <c r="G3043" t="inlineStr">
        <is>
          <t>2020-07-12 13:15:52</t>
        </is>
      </c>
      <c r="H3043" t="inlineStr">
        <is>
          <t>Tested Positive</t>
        </is>
      </c>
    </row>
    <row r="3044">
      <c r="A3044" t="inlineStr">
        <is>
          <t>hq1eus</t>
        </is>
      </c>
      <c r="B3044" t="inlineStr">
        <is>
          <t>Feels like I can’t get the last bit of a full breath when I breathe deeply.</t>
        </is>
      </c>
      <c r="C3044" t="inlineStr">
        <is>
          <t>I’m on day 15 of shortness of breath described above. Day 18 of symptoms. Some describe shortness of breath like there is a belt around their lungs or bricks on their chest. Mine feels like I’m unable to complete a full deep breath at times. 
Did anyone experience this symptom similar to mine? Most people seem to experience the other kind. Any help would be appreciated!</t>
        </is>
      </c>
      <c r="D3044" t="n">
        <v>1</v>
      </c>
      <c r="E3044" t="n">
        <v>13</v>
      </c>
      <c r="F3044">
        <f>HYPERLINK("https://www.reddit.com/r/COVID19positive/comments/hq1eus/feels_like_i_cant_get_the_last_bit_of_a_full/")</f>
        <v/>
      </c>
      <c r="G3044" t="inlineStr">
        <is>
          <t>2020-07-12 13:29:09</t>
        </is>
      </c>
      <c r="H3044" t="inlineStr">
        <is>
          <t>Tested Positive</t>
        </is>
      </c>
    </row>
    <row r="3045">
      <c r="A3045" t="inlineStr">
        <is>
          <t>hq1frc</t>
        </is>
      </c>
      <c r="B3045" t="inlineStr">
        <is>
          <t>Husband and I both tested positive, do we continue self isolation from one another?</t>
        </is>
      </c>
      <c r="C3045" t="inlineStr">
        <is>
          <t>I began symptoms June 30, and am now feeling much better. I got tested July 4th at Mayo Clinic and received results same day. Husband and I began set isolating immediately. He got tested on Tuesday and just got his results yesterday, also positive. He has been symptom free for the most part, except a headache that started on Friday. No fever in either of us. 
We are able to keep self isolating, but I was wondering if we should wait until we are both considered in the clear to return to normal cohabitation or if it even matters anymore. After two weeks, I miss my husband, it sounds stupid considering he’s in the room down the hall, but I do. :( 
Thanks guys. Wishing all of you a speedy recovery.</t>
        </is>
      </c>
      <c r="D3045" t="n">
        <v>1</v>
      </c>
      <c r="E3045" t="n">
        <v>5</v>
      </c>
      <c r="F3045">
        <f>HYPERLINK("https://www.reddit.com/r/COVID19positive/comments/hq1frc/husband_and_i_both_tested_positive_do_we_continue/")</f>
        <v/>
      </c>
      <c r="G3045" t="inlineStr">
        <is>
          <t>2020-07-12 13:30:36</t>
        </is>
      </c>
      <c r="H3045" t="inlineStr">
        <is>
          <t>Tested Positive - Me</t>
        </is>
      </c>
    </row>
    <row r="3046">
      <c r="A3046" t="inlineStr">
        <is>
          <t>hq1gfl</t>
        </is>
      </c>
      <c r="B3046" t="inlineStr">
        <is>
          <t>I've had it with ppl</t>
        </is>
      </c>
      <c r="C3046" t="inlineStr">
        <is>
          <t>I want to choose my words carefully. But I'm angry at how ppl are handling this. I stay in Texas. Down here it seems that ppl have an entitlement issue. They had a COVID party (no bullshit that's the theme)in San Antonio hosted by a positive person. My hometown is having multiple baseball games today. League games. My town has had 80 cases positive since July 1st. But they are out there crowded up, huddled together with no mask on despite the rising number if teens and kids in my town testing positive. They keep saying this is bullshit, it's a conspiracy to make us conform and this is just in my small town alone! 
I'm just frustrated because I was exposed at work and I'm trying everything I can to stay away from ppl. I've been locked up in my room for a week now even tho(God bless)my symptoms have just been mild. I wish they read you guys stories. How perfect athletes have had SOB. Even Von Miller said he was so scared when he got it and had SOB for 4 days. I just don't wanna be around ppl anymore. Anyone who takes this as a game is just horrible to me. And I'm really mincing my words. I just wanted to vent. Although yes, the recovery rate is high, we need to think about those who it isn't for and just admit that this thing is random. I'm just angry at how ppl are laughing at this. Literally laughing</t>
        </is>
      </c>
      <c r="D3046" t="n">
        <v>1</v>
      </c>
      <c r="E3046" t="n">
        <v>153</v>
      </c>
      <c r="F3046">
        <f>HYPERLINK("https://www.reddit.com/r/COVID19positive/comments/hq1gfl/ive_had_it_with_ppl/")</f>
        <v/>
      </c>
      <c r="G3046" t="inlineStr">
        <is>
          <t>2020-07-12 13:31:38</t>
        </is>
      </c>
      <c r="H3046" t="inlineStr">
        <is>
          <t>Tested Positive - Me</t>
        </is>
      </c>
    </row>
    <row r="3047">
      <c r="A3047" t="inlineStr">
        <is>
          <t>hq1ph9</t>
        </is>
      </c>
      <c r="B3047" t="inlineStr">
        <is>
          <t>Doctor prescribed ivermectin</t>
        </is>
      </c>
      <c r="C3047" t="inlineStr">
        <is>
          <t>Among other things.  Anyone else take this?  I am on day 6 since exposure, day 3 of symptoms.</t>
        </is>
      </c>
      <c r="D3047" t="n">
        <v>1</v>
      </c>
      <c r="E3047" t="n">
        <v>34</v>
      </c>
      <c r="F3047">
        <f>HYPERLINK("https://www.reddit.com/r/COVID19positive/comments/hq1ph9/doctor_prescribed_ivermectin/")</f>
        <v/>
      </c>
      <c r="G3047" t="inlineStr">
        <is>
          <t>2020-07-12 13:45:41</t>
        </is>
      </c>
      <c r="H3047" t="inlineStr">
        <is>
          <t>Tested Positive - Me</t>
        </is>
      </c>
    </row>
    <row r="3048">
      <c r="A3048" t="inlineStr">
        <is>
          <t>hq1xva</t>
        </is>
      </c>
      <c r="B3048" t="inlineStr">
        <is>
          <t>Reading IgG results</t>
        </is>
      </c>
      <c r="C3048" t="inlineStr">
        <is>
          <t>I’ve been symptomatic since early March.  I got my IGG results back and I’m not sure how to read them....hoping someone can help? The test is listed as “Q-fever AB IGG, phase I and phase II reflx tiger - details” .  The results are listed in 2 sections (phase I and phase I) and the both say “positive”.  There are two other tests, with very similar names and one says “positive” and one says “negative”.  I’m very confused.  Any help anyone can provide is appreciated. ;)</t>
        </is>
      </c>
      <c r="D3048" t="n">
        <v>1</v>
      </c>
      <c r="E3048" t="n">
        <v>5</v>
      </c>
      <c r="F3048">
        <f>HYPERLINK("https://www.reddit.com/r/COVID19positive/comments/hq1xva/reading_igg_results/")</f>
        <v/>
      </c>
      <c r="G3048" t="inlineStr">
        <is>
          <t>2020-07-12 13:59:12</t>
        </is>
      </c>
      <c r="H3048" t="inlineStr">
        <is>
          <t>Tested Positive - Family</t>
        </is>
      </c>
    </row>
    <row r="3049">
      <c r="A3049" t="inlineStr">
        <is>
          <t>hq2jfx</t>
        </is>
      </c>
      <c r="B3049" t="inlineStr">
        <is>
          <t>What do you eat/drink when your taste &amp;amp; smell are 100% gone?</t>
        </is>
      </c>
      <c r="C3049" t="inlineStr">
        <is>
          <t>I (33F) tested positive on Friday 7/10 after not tasting my dinner at all on Thursday night, and I haven’t had taste or smell ever since. I know that’s the least of my worries and I have only had other mild symptoms, but I’m curious what you other positives are eating?
I LOVE FOOD, as everyone does, but the no-taste thing is CRAZY to me! 
So far, I’ve had:
- a smoothie bowl with coconut / granola / strawberries / pineapple and it was my favorite because of all the textures
- a frozen pizza (it was ok)
- popcorn (was a decent snack)
- fried chicken strips (unhealthy and decent - hot sauce helped)
- toasted bread with peanut butter (ehhh)
- bowl of spaghetti noodles with Parmesan &amp;amp; butter (pretty good)
Let me know what you’ve been eating for breakfast, dinner or snacks!
I’m just curious because I’m staying hungry, but nothing is very satisfying. 🤷‍♀️</t>
        </is>
      </c>
      <c r="D3049" t="n">
        <v>1</v>
      </c>
      <c r="E3049" t="n">
        <v>19</v>
      </c>
      <c r="F3049">
        <f>HYPERLINK("https://www.reddit.com/r/COVID19positive/comments/hq2jfx/what_do_you_eatdrink_when_your_taste_smell_are/")</f>
        <v/>
      </c>
      <c r="G3049" t="inlineStr">
        <is>
          <t>2020-07-12 14:33:44</t>
        </is>
      </c>
      <c r="H3049" t="inlineStr">
        <is>
          <t>Tested Positive - Me</t>
        </is>
      </c>
    </row>
    <row r="3050">
      <c r="A3050" t="inlineStr">
        <is>
          <t>hq2r6y</t>
        </is>
      </c>
      <c r="B3050" t="inlineStr">
        <is>
          <t>When does it get worse? If it does?</t>
        </is>
      </c>
      <c r="C3050" t="inlineStr">
        <is>
          <t>Hi! I posted a couple of days ago when I tested positive. Currently 21 year old healthy male. Symptoms started about 5 days ago, tested positive 3 days ago. I feel like I have a mild almost asymptomatic  case. Started with allergy like symptoms and today I feel almost perfect, still slightly stuffy nose and very light cough. I never had a fever, aggressive cough, fatigue, soar throat just felt like allergies all along. The only thing giving me anxiety is that I have read online that for some people, they improve but then all of sudden they get hit hard. Anybody have an experience like this? Honestly if I did not test myself I would of gone for my normal morning run because of how good I feel, but will this be short lived? Thanks.</t>
        </is>
      </c>
      <c r="D3050" t="n">
        <v>1</v>
      </c>
      <c r="E3050" t="n">
        <v>28</v>
      </c>
      <c r="F3050">
        <f>HYPERLINK("https://www.reddit.com/r/COVID19positive/comments/hq2r6y/when_does_it_get_worse_if_it_does/")</f>
        <v/>
      </c>
      <c r="G3050" t="inlineStr">
        <is>
          <t>2020-07-12 14:46:36</t>
        </is>
      </c>
      <c r="H3050" t="inlineStr">
        <is>
          <t>Tested Positive - Me</t>
        </is>
      </c>
    </row>
    <row r="3051">
      <c r="A3051" t="inlineStr">
        <is>
          <t>hq3i2i</t>
        </is>
      </c>
      <c r="B3051" t="inlineStr">
        <is>
          <t>Waiting on my results, and my symptoms keep coming in and out?</t>
        </is>
      </c>
      <c r="C3051" t="inlineStr">
        <is>
          <t>I got tested Thursday and it's gonna take 7-10 days to get my results back. My symptoms are very mild. I had a sore throat, shortness of breath and a headache and occasionally a cough. The only thing is my symptoms come and go. Sometimes I'll feel like dirt and other times I feel fine. For example, my throat felt awful Thursday and I was burning up, but Friday I felt fine. Saturday, I woke up feeling like I could barely breathe, and my sore throat was back and my nose was runny. I also was sweating buckets. Now today is Sunday and I was feeling fine, but now I feel awful again. 
I've also been more tired than I usually am. I feel asleep for 9 hours Tuesday and was still very tired. Like I hadn't slept all day. I also randomly get these hot flashes. Like I randomly feel hot all over. I'm not sure what these means, but I am worried.</t>
        </is>
      </c>
      <c r="D3051" t="n">
        <v>1</v>
      </c>
      <c r="E3051" t="n">
        <v>7</v>
      </c>
      <c r="F3051">
        <f>HYPERLINK("https://www.reddit.com/r/COVID19positive/comments/hq3i2i/waiting_on_my_results_and_my_symptoms_keep_coming/")</f>
        <v/>
      </c>
      <c r="G3051" t="inlineStr">
        <is>
          <t>2020-07-12 15:30:46</t>
        </is>
      </c>
      <c r="H3051" t="inlineStr">
        <is>
          <t>Presumed Positive - From Test</t>
        </is>
      </c>
    </row>
    <row r="3052">
      <c r="A3052" t="inlineStr">
        <is>
          <t>hq3mqo</t>
        </is>
      </c>
      <c r="B3052" t="inlineStr">
        <is>
          <t>Anyones veins poppin out?</t>
        </is>
      </c>
      <c r="C3052" t="inlineStr">
        <is>
          <t>Theres a huge vein running from my wrist to my palm, and the veins on my wrist themselves are much more visible than more and popping out
My skin gets red patches as well, and they become in to dark patches eventually
Are my blood vessels healing? I heard im in the vascular stage of healing</t>
        </is>
      </c>
      <c r="D3052" t="n">
        <v>1</v>
      </c>
      <c r="E3052" t="n">
        <v>5</v>
      </c>
      <c r="F3052">
        <f>HYPERLINK("https://www.reddit.com/r/COVID19positive/comments/hq3mqo/anyones_veins_poppin_out/")</f>
        <v/>
      </c>
      <c r="G3052" t="inlineStr">
        <is>
          <t>2020-07-12 15:38:34</t>
        </is>
      </c>
      <c r="H3052" t="inlineStr">
        <is>
          <t>Tested Positive - Me</t>
        </is>
      </c>
    </row>
    <row r="3053">
      <c r="A3053" t="inlineStr">
        <is>
          <t>hq3vxl</t>
        </is>
      </c>
      <c r="B3053" t="inlineStr">
        <is>
          <t>Wife</t>
        </is>
      </c>
      <c r="C3053" t="inlineStr">
        <is>
          <t>Hey guys! I have posted a few times in this group. Came back to ask some questions. So, my results came back negative &amp;amp; so did my wife’s. They have been having symptoms though, so I wanted to know what the next step would be in this process? We plan to go get them tested again to make sure.</t>
        </is>
      </c>
      <c r="D3053" t="n">
        <v>1</v>
      </c>
      <c r="E3053" t="n">
        <v>10</v>
      </c>
      <c r="F3053">
        <f>HYPERLINK("https://www.reddit.com/r/COVID19positive/comments/hq3vxl/wife/")</f>
        <v/>
      </c>
      <c r="G3053" t="inlineStr">
        <is>
          <t>2020-07-12 15:54:27</t>
        </is>
      </c>
      <c r="H3053" t="inlineStr">
        <is>
          <t>Tested Positive - Family</t>
        </is>
      </c>
    </row>
    <row r="3054">
      <c r="A3054" t="inlineStr">
        <is>
          <t>hq41c9</t>
        </is>
      </c>
      <c r="B3054" t="inlineStr">
        <is>
          <t>Tested Positive 6 days ago, virtually no symptoms...yet...</t>
        </is>
      </c>
      <c r="C3054" t="inlineStr">
        <is>
          <t>I was tested last tuesday 7/7/2020,for Covid, and got a positive results callback from Dr on 7/9/2020. I had no symptoms prior to test, nor did I have any suspicion I had it. The only symptoms I've had thus far has been a bit of a scratchy throat, and a weird headache on thursday. Today is sunday, and marks the 2nd complete day in a row with zero symptoms. Plan on continued isolating for another week.
Did anyone go virtually a week with no symptoms, only to come down with more serious symptoms 7 days or more from initial test date? My dr in Macon Ga said many patients he's tested were also unaware of having covid, and most of them developed no symptoms. He feels that there is a weaker strain of it in my part of the world. He, nor I, are being dismissive of the seriousness of the disease. IT is a bit unnerving to say the least and a very lonely journey to be on.
thanks.</t>
        </is>
      </c>
      <c r="D3054" t="n">
        <v>1</v>
      </c>
      <c r="E3054" t="n">
        <v>11</v>
      </c>
      <c r="F3054">
        <f>HYPERLINK("https://www.reddit.com/r/COVID19positive/comments/hq41c9/tested_positive_6_days_ago_virtually_no/")</f>
        <v/>
      </c>
      <c r="G3054" t="inlineStr">
        <is>
          <t>2020-07-12 16:03:51</t>
        </is>
      </c>
      <c r="H3054" t="inlineStr">
        <is>
          <t>Tested Positive - Me</t>
        </is>
      </c>
    </row>
    <row r="3055">
      <c r="A3055" t="inlineStr">
        <is>
          <t>hq4gan</t>
        </is>
      </c>
      <c r="B3055" t="inlineStr">
        <is>
          <t>Tested positive with no symptoms</t>
        </is>
      </c>
      <c r="C3055" t="inlineStr">
        <is>
          <t>I work at at nursing home. My job had the whole building tested on June 26th. Results came back July 5th and I was positive. 
I’ve had no symptoms days leading up to the test nor up until today.  I found out a on July 7th that I was the only one who tested positive at my job. 
Me and my boyfriend who I live with got tested at CVS the same day that my results came back. Yesterday, on the 11th, our results came back. He was negative while I was still positive. 
That same day, I went to get another test at Bettermeds. I was told by my physician that my positive was likely due to the virus not fully shedding and that doesn’t mean I’m still positive nor contagious as I’ve had no symptoms for over 14 says. 
I went over my sisters on the 4th for an impromptu game day. I didn’t eat or drink anything but my nephews and I did do karaoke. My sister and nephews test came back negative. My boyfriend who goes to the gym regularly with friends and plays basketball with these same friends test came back negative. 
June 22 or 23 I had mild coughing, sneezing, and congestion which I attributed to me sleeping with the A.C on, a rotating fan pointing on on me, occasionally the ceiling fan right over the bed on (I sleep better in cold environments and it causes these symptoms). I’ll get the same symptoms if I turn them on right now as I’ve had for all my life. 
My job requires every shift to do temperature checks. I’ve never came up with a temperature since I started working again on May 18th as I fractured my wrist at the end of February and been unable to work until then. 
It confuses me that my boyfriend who I live with and am around everyday (telework from home) is negative while I’m positive. It’s confusing that asides from work, I’ve yet to go anywhere he wasn’t at while he hangs out with friends and goes to the gym without me and test negative. Not at all being jealous just something that’s odd to me. Even the doctor I went to thought it was weird. 
My thing is, if I was positive my nephews would’ve tested the same as my boyfriend. And if I was positive at some point, why wouldn’t my boyfriend who I kiss and touch everyday be there same.</t>
        </is>
      </c>
      <c r="D3055" t="n">
        <v>1</v>
      </c>
      <c r="E3055" t="n">
        <v>10</v>
      </c>
      <c r="F3055">
        <f>HYPERLINK("https://www.reddit.com/r/COVID19positive/comments/hq4gan/tested_positive_with_no_symptoms/")</f>
        <v/>
      </c>
      <c r="G3055" t="inlineStr">
        <is>
          <t>2020-07-12 16:29:38</t>
        </is>
      </c>
      <c r="H3055" t="inlineStr">
        <is>
          <t>Tested Positive - Me</t>
        </is>
      </c>
    </row>
    <row r="3056">
      <c r="A3056" t="inlineStr">
        <is>
          <t>hq4nfe</t>
        </is>
      </c>
      <c r="B3056" t="inlineStr">
        <is>
          <t>When to go to hospital?</t>
        </is>
      </c>
      <c r="C3056" t="inlineStr">
        <is>
          <t>So a relative of the family got a fever on July 2nd and got tested. He did not get his results back until July 9th which came back as positive. He already knew he had it by then as after July 6th, he seemed to feel worse every day. I've heard now that he has been in bed for the last two or three days strictly and has been coughing a lot. "Worst he's ever felt" is what he says. He's like 62, doesn't smoke or drink. Not too overweight, and works outside mostly doing electrical or hvac work (so not a couch potato).   
I remember back in like February, seeing some kind of "covid symptom" timeline which basically started with one line and then around day 9 the line split, either you were on the road to recovery or the other line was on the road to death... Not sure if was day "9" but you get the point, you either get better or start getting worse and it seems to be well documented at a specific day.  
So the question is, when should you go to the hospital?</t>
        </is>
      </c>
      <c r="D3056" t="n">
        <v>1</v>
      </c>
      <c r="E3056" t="n">
        <v>6</v>
      </c>
      <c r="F3056">
        <f>HYPERLINK("https://www.reddit.com/r/COVID19positive/comments/hq4nfe/when_to_go_to_hospital/")</f>
        <v/>
      </c>
      <c r="G3056" t="inlineStr">
        <is>
          <t>2020-07-12 16:42:11</t>
        </is>
      </c>
      <c r="H3056" t="inlineStr">
        <is>
          <t>Tested Positive - Family</t>
        </is>
      </c>
    </row>
    <row r="3057">
      <c r="A3057" t="inlineStr">
        <is>
          <t>hq4p40</t>
        </is>
      </c>
      <c r="B3057" t="inlineStr">
        <is>
          <t>I'm afraid for myself and my whole family</t>
        </is>
      </c>
      <c r="C3057" t="inlineStr">
        <is>
          <t>I tested positive from a test I took last Monday. I was asymptomatic at the time. Since then I have developed extreme fatigue, shortness of breath when walking, chest pain when walking, and dizziness that comes and goes even if I am lying down. 
My mom also has COVID- she is a presumed positive as she has almost all of the key symptoms and is a nurse. Her symptoms are worse than mine and are only getting worse over time. 
Here's the kicker. My two other family members are severely at risk. Now, I don't live with them, but my mom obviously does and I'm very concerned. We always had a plan that if my mom got sick (which was always a possibility due to her job), my at risk family members would come stay with me. But now I am positive so they can't. I am afraid for what will happen if they catch it, they will both likely be hospitalized. For the first time in my life, I talked to my dad and had to reassure him instead of him reassuring me. I did a terrible job at it. I don't know how to stop worrying about my family at this point, it is all I can think about.</t>
        </is>
      </c>
      <c r="D3057" t="n">
        <v>1</v>
      </c>
      <c r="E3057" t="n">
        <v>4</v>
      </c>
      <c r="F3057">
        <f>HYPERLINK("https://www.reddit.com/r/COVID19positive/comments/hq4p40/im_afraid_for_myself_and_my_whole_family/")</f>
        <v/>
      </c>
      <c r="G3057" t="inlineStr">
        <is>
          <t>2020-07-12 16:45:15</t>
        </is>
      </c>
      <c r="H3057" t="inlineStr">
        <is>
          <t>Tested Positive - Me</t>
        </is>
      </c>
    </row>
    <row r="3058">
      <c r="A3058" t="inlineStr">
        <is>
          <t>hq4vcc</t>
        </is>
      </c>
      <c r="B3058" t="inlineStr">
        <is>
          <t>Damnit</t>
        </is>
      </c>
      <c r="C3058" t="inlineStr">
        <is>
          <t>So yesterday I very suddenly came down with a fever of 104 degrees, had aches, dizziness, the whole works. Now today we called my doctor and now I have to self-isolate. Thing is, I took every precaution. I wore a mask, washed my hands, and stayed indoors. Why me?? Even more, I had a very special planned trip with my boyfriend to a cabin on a beach in a week. I am pissed. Even if it’s just a simple bug, I still have to isolate. I have ADD, so this is going to be really difficult. Fuck this virus. Really, I feel for everyone affected by it, but now it hits even closer to home. I really just  hope everything goes alright, with myself, and all the millions who are suffering.</t>
        </is>
      </c>
      <c r="D3058" t="n">
        <v>1</v>
      </c>
      <c r="E3058" t="n">
        <v>13</v>
      </c>
      <c r="F3058">
        <f>HYPERLINK("https://www.reddit.com/r/COVID19positive/comments/hq4vcc/damnit/")</f>
        <v/>
      </c>
      <c r="G3058" t="inlineStr">
        <is>
          <t>2020-07-12 16:56:23</t>
        </is>
      </c>
      <c r="H3058" t="inlineStr">
        <is>
          <t>Presumed Positive - From Doctor</t>
        </is>
      </c>
    </row>
    <row r="3059">
      <c r="A3059" t="inlineStr">
        <is>
          <t>hq4vpb</t>
        </is>
      </c>
      <c r="B3059" t="inlineStr">
        <is>
          <t>Reassurance</t>
        </is>
      </c>
      <c r="C3059" t="inlineStr">
        <is>
          <t>Hello,
I’m a 29 year old female, I tested positive for covid. I’ve been having Covid symptoms for 2+ weeks and now I have Pneumonia. My chest is in constant pain, my heart feels like it’s racing but per this O2 thing it’s fine. I feel hopeless and like I’m stuck in a nightmare. I feel like I will never feel normal again. Chest pains, hard to breathe, diarrhea, no appetite (lost 5 lbs), sweating, extreme migraine, extreme fatigue...sometimes I’ll feel like I’m getting better and than an hour later I’ll feel like I’m back at square 1. Please someone give me reassurance, I feel like I’m losing my mind.</t>
        </is>
      </c>
      <c r="D3059" t="n">
        <v>1</v>
      </c>
      <c r="E3059" t="n">
        <v>23</v>
      </c>
      <c r="F3059">
        <f>HYPERLINK("https://www.reddit.com/r/COVID19positive/comments/hq4vpb/reassurance/")</f>
        <v/>
      </c>
      <c r="G3059" t="inlineStr">
        <is>
          <t>2020-07-12 16:57:05</t>
        </is>
      </c>
      <c r="H3059" t="inlineStr">
        <is>
          <t>Tested Positive - Me</t>
        </is>
      </c>
    </row>
    <row r="3060">
      <c r="A3060" t="inlineStr">
        <is>
          <t>hq55rp</t>
        </is>
      </c>
      <c r="B3060" t="inlineStr">
        <is>
          <t>105 days post-Covid- Hope for long haulers!</t>
        </is>
      </c>
      <c r="C3060" t="inlineStr">
        <is>
          <t>I finally reached 105 days of recovery from COVID. The last month has been absolute hell with the worst migraines I have ever experienced. However, my respiratory symptoms seem to have eased up a little. I'm not quite as out of breath from walking from the kitchen to the bedroom, and I recovered from a flare up much faster than previously. It's a small difference, but it's huge when I can finally walk to the kitchen and back without needing to lie down and rest afterwards. 
I have been taking all kinds of vitamins and supplements, but I'm not entirely sure if any of it helped. I suspect that maybe the low dose aspirin and the mullein herbal tincture were probably the most helpful. The rest of the symptoms are still a huge annoyance, the headaches, dry painful eyes, fatigue, itchy skin, heart racing, etc. BUT my lungs feel distinctly better and a lot less pain with breathing.</t>
        </is>
      </c>
      <c r="D3060" t="n">
        <v>1</v>
      </c>
      <c r="E3060" t="n">
        <v>7</v>
      </c>
      <c r="F3060">
        <f>HYPERLINK("https://www.reddit.com/r/COVID19positive/comments/hq55rp/105_days_postcovid_hope_for_long_haulers/")</f>
        <v/>
      </c>
      <c r="G3060" t="inlineStr">
        <is>
          <t>2020-07-12 17:15:44</t>
        </is>
      </c>
      <c r="H3060" t="inlineStr">
        <is>
          <t>Presumed Positive - From Doctor</t>
        </is>
      </c>
    </row>
    <row r="3061">
      <c r="A3061" t="inlineStr">
        <is>
          <t>hq616g</t>
        </is>
      </c>
      <c r="B3061" t="inlineStr">
        <is>
          <t>Multiple family memebers covid positive</t>
        </is>
      </c>
      <c r="C3061" t="inlineStr">
        <is>
          <t>Hi all, my family recently threw a party for a 1 year old (the mother, my cousin, is a nurse btw) and now 5 family memebers that went to the party are positive, 3 of them that i live with 
They've been treating it like it's nothing more than the season flu that you occasionally get.
- I ask them to keep their distance and they get upset and say that it's their house and they can go where they want
- i ask them to wear a mask and they just laugh at me like im crazy 
- They even keep coming into my room (no i cant lock the door there is no door) to use the bathroom (1 of 2 bathrooms in the house) 
How can i stay safe when these people seems to not care about anyone's health but their own
Please if anyone has any advice on how to best protect myself it qould be greatly appreciated 
TLDR: 3 family memebers that i live with are positive and seemingly want to further the spread of the virus</t>
        </is>
      </c>
      <c r="D3061" t="n">
        <v>1</v>
      </c>
      <c r="E3061" t="n">
        <v>9</v>
      </c>
      <c r="F3061">
        <f>HYPERLINK("https://www.reddit.com/r/COVID19positive/comments/hq616g/multiple_family_memebers_covid_positive/")</f>
        <v/>
      </c>
      <c r="G3061" t="inlineStr">
        <is>
          <t>2020-07-12 18:14:11</t>
        </is>
      </c>
      <c r="H3061" t="inlineStr">
        <is>
          <t>Tested Positive - Family</t>
        </is>
      </c>
    </row>
    <row r="3062">
      <c r="A3062" t="inlineStr">
        <is>
          <t>hq647c</t>
        </is>
      </c>
      <c r="B3062" t="inlineStr">
        <is>
          <t>After losing senses of smell and taste, when it started to come back, was it “wrong” for anyone else?</t>
        </is>
      </c>
      <c r="C3062" t="inlineStr">
        <is>
          <t>I had Covid 19 in the end of March, through the beginning of April. I lost my sense of smell and taste COMPLETELY with the onset of my symptoms. It is now mid-July and I still am not 100%. I get whiffs or strong smells now and then but nothing is at 100% or constant. 
One thing I’ve noticed though, is that my senses are “off”. I smell what would normally be a chemical scent like bathroom cleaners or hand sanitizer as very sweet, almost like cotton candy smelling. I work for an airline and the lavatory, which usually smells like a Port-a-potty on steroids smells delicious to me; like the sweetest candy smell you can imagine. I promise I’m not trolling with this one; even my own bowel activities smell like a fresh batch of marshmallows to me, and I’ve had my husband confirm that it indeed does not. When I take a bite of ANY meat, I get a strong metallic taste and smell. When my husband has to leave the pool chemical room after opening the chlorine bucket, I don’t smell a single thing. I can cut onions with no issues and I can take shots of liquors that before made me vomit at the scent of. 
Has anyone had anything that resembles this? I know I’m on the severe end concerning the time length before smell and taste have come back for most people. I’m slightly concerned I’ll never have 100% of these senses back.</t>
        </is>
      </c>
      <c r="D3062" t="n">
        <v>1</v>
      </c>
      <c r="E3062" t="n">
        <v>11</v>
      </c>
      <c r="F3062">
        <f>HYPERLINK("https://www.reddit.com/r/COVID19positive/comments/hq647c/after_losing_senses_of_smell_and_taste_when_it/")</f>
        <v/>
      </c>
      <c r="G3062" t="inlineStr">
        <is>
          <t>2020-07-12 18:20:02</t>
        </is>
      </c>
      <c r="H3062" t="inlineStr">
        <is>
          <t>Tested Positive - Me</t>
        </is>
      </c>
    </row>
    <row r="3063">
      <c r="A3063" t="inlineStr">
        <is>
          <t>hq6uye</t>
        </is>
      </c>
      <c r="B3063" t="inlineStr">
        <is>
          <t>Have you heard of this?</t>
        </is>
      </c>
      <c r="C3063" t="inlineStr">
        <is>
          <t>So i was supposed to have surgery and got tested as a formality and was positive on the 30th. I’ve had no symptoms and have felt good this whole time. Just got a text saying i tested negative when i got retested on the 10th. I’m going back tomorrow to get tested again so i can be cleared for surgery. The doctor also mentioned they wanted to do the Roche covid blood test. They also told me one of their employees that they tested was false positive and that i could have been false positive too. Has anyone heard of the test they mentioned?</t>
        </is>
      </c>
      <c r="D3063" t="n">
        <v>1</v>
      </c>
      <c r="E3063" t="n">
        <v>4</v>
      </c>
      <c r="F3063">
        <f>HYPERLINK("https://www.reddit.com/r/COVID19positive/comments/hq6uye/have_you_heard_of_this/")</f>
        <v/>
      </c>
      <c r="G3063" t="inlineStr">
        <is>
          <t>2020-07-12 19:10:56</t>
        </is>
      </c>
      <c r="H3063" t="inlineStr">
        <is>
          <t>Tested Positive - Me</t>
        </is>
      </c>
    </row>
    <row r="3064">
      <c r="A3064" t="inlineStr">
        <is>
          <t>hq7cp1</t>
        </is>
      </c>
      <c r="B3064" t="inlineStr">
        <is>
          <t>Muscle pain interfering with sleep</t>
        </is>
      </c>
      <c r="C3064" t="inlineStr">
        <is>
          <t>It's 4am and I'm (27F, nonsmoker) trying to keep from crying and slowly walk around my room in hopes of relieving my muscle pain. It's especially concentrated on my legs and back. 
Anyone have any tips on how to relieve it at least a little bit? I've only had very mild symptoms the last 3 days. This pain is the first unbearable symptom I've had.</t>
        </is>
      </c>
      <c r="D3064" t="n">
        <v>1</v>
      </c>
      <c r="E3064" t="n">
        <v>7</v>
      </c>
      <c r="F3064">
        <f>HYPERLINK("https://www.reddit.com/r/COVID19positive/comments/hq7cp1/muscle_pain_interfering_with_sleep/")</f>
        <v/>
      </c>
      <c r="G3064" t="inlineStr">
        <is>
          <t>2020-07-12 19:45:06</t>
        </is>
      </c>
      <c r="H3064" t="inlineStr">
        <is>
          <t>Presumed Positive - From Doctor</t>
        </is>
      </c>
    </row>
    <row r="3065">
      <c r="A3065" t="inlineStr">
        <is>
          <t>hq7dki</t>
        </is>
      </c>
      <c r="B3065" t="inlineStr">
        <is>
          <t>Inconclusive Result?</t>
        </is>
      </c>
      <c r="C3065" t="inlineStr">
        <is>
          <t>I just had my results for my 5th covid-19 test come back. I first tested positive on June 25th and my symptoms started June 21st. My exposure was likely on June 15th. My symptoms stopped around July 3rd mostly besides some headaches and leftover chest tightness. My results just came back saying that they are conclusive. The breakdown of it is: positive for n_gene, negative for s_gene and negative for ORF_1ab. 
On my last set of results, n_gene was the only one that was negative. Super confused and just want to know if I’m still contagious/if I still have the virus :( pls help</t>
        </is>
      </c>
      <c r="D3065" t="n">
        <v>1</v>
      </c>
      <c r="E3065" t="n">
        <v>2</v>
      </c>
      <c r="F3065">
        <f>HYPERLINK("https://www.reddit.com/r/COVID19positive/comments/hq7dki/inconclusive_result/")</f>
        <v/>
      </c>
      <c r="G3065" t="inlineStr">
        <is>
          <t>2020-07-12 19:46:51</t>
        </is>
      </c>
      <c r="H3065" t="inlineStr">
        <is>
          <t>Tested Positive - Me</t>
        </is>
      </c>
    </row>
    <row r="3066">
      <c r="A3066" t="inlineStr">
        <is>
          <t>hq8huq</t>
        </is>
      </c>
      <c r="B3066" t="inlineStr">
        <is>
          <t>Terrified for my granny who just had heart surgery</t>
        </is>
      </c>
      <c r="C3066" t="inlineStr">
        <is>
          <t>My granny and I live in Houston, TX. She hasn’t been outside of her home since mid March. On Monday, she has surgery to get a stint put in her heart, so my uncle came to town since she would need to be driven home from the hospital. My family has been safe, but my mom texted to tell me she thinks they likely all have it in Austin, including the uncle who drove into town as they have had symptoms for the “last few days”. He stayed with her the night before her surgery because it’s a 3 hour drive in and out, and it was an early appointment.
I am freaking the fuck out. She is 80 years old, diabetic, and just had heart surgery. Houston’s ICUs are overrun. If she had to go to the hospital, would they even give her a ventilator if she needed it or decide she’s unlikely to make it and give it to someone younger? 
It’s so upsetting to see people say that if you are at risk, just stay home. That we shouldn’t all have to wear masks/lockdown if those at risk just stay home. Of course, we don’t all have that option because of work, but aside from that people will still have to leave their homes eventually for things exactly like this. Older people go to the doctor a lot. So we shouldn’t wear masks and make our community safer for people like my granny? Without even getting into the fact that it’s fucked up that we are asking people to stay inside for two years just so that we avoid temporary discomfort. She hasn’t left her home in months and has been all alone and now she may have been exposed after heart surgery? I’m just furious with the people here for being so damn selfish when it doesn’t have to be this way.
Fuck I’m so scared and trying not to cry and freak out. I haven’t seen her in so long. I’m terrified of her dying alone in a hospital, scared and in pain and lucky if a nurse can even hold her hand. I feel so much guilt because I had weird feelings about him needing to stay there. I told her to open some windows, but they probably didn’t. I am so upset I didn’t speak up. I should have told him to sleep in his truck or something. I wish I had done more and followed my weird gut feeling about all of this. 
Maybe this sounds strange to some, but my SO and I tune in to our city’s Fire Dept. scanner for a few minutes here and there when we think to. I don’t let it scare or upset me, but of course right now it’s a source of panic. It’s been something we do since this all started, because the messages coming from our governor didn’t align with statements I’ve read and heard from healthcare professionals here. It’s gotten so much worse, almost every call now is “sick person” and “breathing problem”. These last few days, you can hear all of the medics going over their expected call times and being asked to update their status, only to say they are stuck trying to get a patient into the hospital or transferred. I heard a call 30 mins ago where the medic was 56 minutes over and updated that they were still in triage at the hospital—only to update just now that he is still in triage. Another call about an 87 year old woman who used her alarm company to call 911 and they were giving details about how to get in her home. Things are so bad here.</t>
        </is>
      </c>
      <c r="D3066" t="n">
        <v>1</v>
      </c>
      <c r="E3066" t="n">
        <v>2</v>
      </c>
      <c r="F3066">
        <f>HYPERLINK("https://www.reddit.com/r/COVID19positive/comments/hq8huq/terrified_for_my_granny_who_just_had_heart_surgery/")</f>
        <v/>
      </c>
      <c r="G3066" t="inlineStr">
        <is>
          <t>2020-07-12 21:07:35</t>
        </is>
      </c>
      <c r="H3066" t="inlineStr">
        <is>
          <t>Presumed Positive - From Doctor</t>
        </is>
      </c>
    </row>
    <row r="3067">
      <c r="A3067" t="inlineStr">
        <is>
          <t>hq8ml6</t>
        </is>
      </c>
      <c r="B3067" t="inlineStr">
        <is>
          <t>Weird testing experience? Scared.</t>
        </is>
      </c>
      <c r="C3067" t="inlineStr">
        <is>
          <t>Today I decided to get tested at kaiser. Because someone I know had symptoms of covid and got tested today also. And for past couple days I’ve been having a tickling sensation in my throat causing a tiny cough but that’s it. So I decided to get tested. I arrived and like any normal waiting room people waiting. Some were coughing and you could tell they were sick. So the weird part that is stressing me out horribly is that when you get tested, it’s 3 people at a time in separated tents. My concern was if someone was having trouble with the swab test and starting coughing or sneezing and then the next person came in and sits in the same exact spot!? Made absolutely no sense to me. I could be negative with the test but that same moment I could contract the virus. What are the chances of that happening!? It’s been killing me all day. I was maybe in their for about 1 minute and had my mask off so the nurse could swab my throat and nose.</t>
        </is>
      </c>
      <c r="D3067" t="n">
        <v>1</v>
      </c>
      <c r="E3067" t="n">
        <v>0</v>
      </c>
      <c r="F3067">
        <f>HYPERLINK("https://www.reddit.com/r/COVID19positive/comments/hq8ml6/weird_testing_experience_scared/")</f>
        <v/>
      </c>
      <c r="G3067" t="inlineStr">
        <is>
          <t>2020-07-12 21:17:01</t>
        </is>
      </c>
      <c r="H3067" t="inlineStr">
        <is>
          <t>Presumed Positive - From Test</t>
        </is>
      </c>
    </row>
    <row r="3068">
      <c r="A3068" t="inlineStr">
        <is>
          <t>hq9bal</t>
        </is>
      </c>
      <c r="B3068" t="inlineStr">
        <is>
          <t>Has anyone had any long term effects on red blood cell count?</t>
        </is>
      </c>
      <c r="C3068" t="inlineStr">
        <is>
          <t>I had Covid back in March which resulted in me staying in the hospital for a few days with double pneumonia and blood clots in both of my lungs. I was able to recovery pretty quickly once I got antibiotics and blood thinners and I’ve felt fine since. I’ve been eating a super healthy diet and have been able to exercise with no trouble.
I recently went for a physical and my red blood cell count, hemoglobin, and hematocrit are slightly elevated which is sometimes a sign of hypoxia. I’m wondering if anyone else has experienced this after recovery. I also have elevated ferritin levels which I think has been linked to more severe outcomes. 
I should mention I’m 25, male, I have a BMI of 31, and was also diagnosed with fatty liver disease which also is known to elevate ferritin, but there’s not much about it raising red blood cell count. 
Please let me know so I can let my doctor know that this might be a long term effect. 
Stay safe y’all.</t>
        </is>
      </c>
      <c r="D3068" t="n">
        <v>1</v>
      </c>
      <c r="E3068" t="n">
        <v>3</v>
      </c>
      <c r="F3068">
        <f>HYPERLINK("https://www.reddit.com/r/COVID19positive/comments/hq9bal/has_anyone_had_any_long_term_effects_on_red_blood/")</f>
        <v/>
      </c>
      <c r="G3068" t="inlineStr">
        <is>
          <t>2020-07-12 22:10:07</t>
        </is>
      </c>
      <c r="H3068" t="inlineStr">
        <is>
          <t>Tested Positive</t>
        </is>
      </c>
    </row>
    <row r="3069">
      <c r="A3069" t="inlineStr">
        <is>
          <t>hq9i9w</t>
        </is>
      </c>
      <c r="B3069" t="inlineStr">
        <is>
          <t>So pissed at other people (and myself) for possibly getting my whole family sick.</t>
        </is>
      </c>
      <c r="C3069" t="inlineStr">
        <is>
          <t>I was very strict about quarantine for awhile. I quarantined pretty heavily from mid-March to mid-May. 
Then when more information about the virus got out, and my state was prepared to open up a bit, some of the restrictions were lifted. So I started hanging out with friends again. We were cautious and didn’t share drinks or anything stupid, but we didn’t wear face masks around each other or social distance. It’s a small friend group of 6, and we all properly social distanced and wore masks in public. 
Then public pools opened, so I started lifeguarding again. I always wore a mask when I was around patrons, but I didn’t social distance or wear a mask around my co-workers (there is 17 of us). 
Then this Thursday, my little sister visited a household that had covid. She knew this beforehand, but still visited. Apparently the older sister of my little sister’s friend had it, but my little sister didn’t say anything. 
So me and all my siblings do our usual Friday night shenanigans. I was just with my usual group of 6 friends. 
Then on Friday night, my little sister spills the beans and reveals she got exposed to covid. My parents decide to only test her that night, and the results came back mid-Saturday that my little sister is positive. Then my parents finally tell the rest of my family that my little sister got tested last night, and she is positive, and that we need to get tested. 
I’m pretty hopeful I don’t have it because no one in my family is showing symptoms, and no one in my family interacts with my little sister due to our work schedules and her out-of-wack sleeping schedule. She has been under strict quarantine in her room since we found out she is positive. 
I also haven’t worked since my sister got exposed, so my co-workers are safe, but I exposed my friends. They were kinda mad that  I exposed them at first, but they understand that what happened was all of our faults, and any one of us coulda exposed the whole group. They are being supporting and running to the grocery store for my family, but I still feel a lot of guilt since some of them live with old people.
I should have the results tomorrow, and I’m hoping it’s negative. 
I’m mad at my sister because she has no idea how many people she could have exposed due to her lying, and that people can die due to her actions.
I’m also mad at myself because I wasn’t properly social distancing and wearing a mask around my friends.
Moral of the story, I learned my lesson. Wear a fucking mask people and stop being so selfish. 
Feel free to flood with my downvotes. I’m only putting my story out there so people can learn from my mistakes. Cheers.</t>
        </is>
      </c>
      <c r="D3069" t="n">
        <v>1</v>
      </c>
      <c r="E3069" t="n">
        <v>2</v>
      </c>
      <c r="F3069">
        <f>HYPERLINK("https://www.reddit.com/r/COVID19positive/comments/hq9i9w/so_pissed_at_other_people_and_myself_for_possibly/")</f>
        <v/>
      </c>
      <c r="G3069" t="inlineStr">
        <is>
          <t>2020-07-12 22:25:34</t>
        </is>
      </c>
      <c r="H3069" t="inlineStr">
        <is>
          <t>Tested Positive - Family</t>
        </is>
      </c>
    </row>
    <row r="3070">
      <c r="A3070" t="inlineStr">
        <is>
          <t>hq9if0</t>
        </is>
      </c>
      <c r="B3070" t="inlineStr">
        <is>
          <t>Weird case...no respiratory, still taste, but heavy neurological symptoms.</t>
        </is>
      </c>
      <c r="C3070" t="inlineStr">
        <is>
          <t>So last weekend I was exposed. My girlfriend's grandfather had it, and I was there visiting. I stayed with them in quarantine for 2-3 days after we found out of the exposure. I felt symptoms the day after exposure. Woke up feeling like I got hit by a truck. Breathing was labored during activity, and I felt especially dizzy and delirious during dog walks. Cut to 3 days after onset of symptoms, get tested, test negative. I decided to go quarantine at my house and see how things progress. She calls me the next day to confirm the entire house has tested positive. I go get tested again, and again the test is negative. At this point my symptoms subsided in terms of severity, and I felt mild fatigue and headache. But still just assuming I have it. So continue the quarantine, and decide to get rest. I went to bed early, and woke up around 9pm with a massive headache and truck-hit feeling. Turns out I'm running a 102 fever. Blood oxygen is totally normal. But I was literally limping to get to the kitchen and bathroom. Each day proceeding I've had so much delirium, radiating headaches, random body aches, fever that comes and goes, and huge fatigue. However my taste/smell are in tact, blood oxygen has stayed normal, no cough, throat feels fine albeit dry...But I'm boggled at the test being negative. I saw a doctor today and he confirmed with my symptoms I have it especially given the circumstances. I have to assume thats what this is right? Anyway...Thanks. Sorry if this was boring.</t>
        </is>
      </c>
      <c r="D3070" t="n">
        <v>1</v>
      </c>
      <c r="E3070" t="n">
        <v>8</v>
      </c>
      <c r="F3070">
        <f>HYPERLINK("https://www.reddit.com/r/COVID19positive/comments/hq9if0/weird_caseno_respiratory_still_taste_but_heavy/")</f>
        <v/>
      </c>
      <c r="G3070" t="inlineStr">
        <is>
          <t>2020-07-12 22:25:50</t>
        </is>
      </c>
      <c r="H3070" t="inlineStr">
        <is>
          <t>Presumed Positive - From Doctor</t>
        </is>
      </c>
    </row>
    <row r="3071">
      <c r="A3071" t="inlineStr">
        <is>
          <t>hq9iuu</t>
        </is>
      </c>
      <c r="B3071" t="inlineStr">
        <is>
          <t>Anyone else with "brain fog" associated with COVID?</t>
        </is>
      </c>
      <c r="C3071" t="inlineStr">
        <is>
          <t>Hey all, I have been seeing reports and now some articles stating that COVID may be triggering some neurological impairments that are not all that clear as of how the virus is acting on the nervous system. This being said, I think my Covid experience would be considered fairly mild, starting 7/9 with headache, but then progressing to pretty significant weakness and fatigue (no clinical respiratory issues). This kept me in bed for 4-ish days and has subsided for the most part, except this "brain fog" sensation. I could only describe this "fog" as like a lightheadness and decrease in clarity/sharpness in thinking. I was curious if anyone out there has experienced this earlier in the pandemic and if your symptoms have resolved. Thanks and I apologize if this has been addressed in this sub but it is carrying a bit of anxiety for me. Cheers</t>
        </is>
      </c>
      <c r="D3071" t="n">
        <v>1</v>
      </c>
      <c r="E3071" t="n">
        <v>16</v>
      </c>
      <c r="F3071">
        <f>HYPERLINK("https://www.reddit.com/r/COVID19positive/comments/hq9iuu/anyone_else_with_brain_fog_associated_with_covid/")</f>
        <v/>
      </c>
      <c r="G3071" t="inlineStr">
        <is>
          <t>2020-07-12 22:26:52</t>
        </is>
      </c>
      <c r="H3071" t="inlineStr">
        <is>
          <t>Tested Positive - Me</t>
        </is>
      </c>
    </row>
    <row r="3072">
      <c r="A3072" t="inlineStr">
        <is>
          <t>hqaku5</t>
        </is>
      </c>
      <c r="B3072" t="inlineStr">
        <is>
          <t>Post viral cough , after testing negative</t>
        </is>
      </c>
      <c r="C3072" t="inlineStr">
        <is>
          <t>All symptoms gone. Tested negative after 9 days . No more fever or shortness of breath . Never had a cough while I was sick . But now I have a post viral cough . 
Anyone experienced that ? What would u suggest ?</t>
        </is>
      </c>
      <c r="D3072" t="n">
        <v>1</v>
      </c>
      <c r="E3072" t="n">
        <v>3</v>
      </c>
      <c r="F3072">
        <f>HYPERLINK("https://www.reddit.com/r/COVID19positive/comments/hqaku5/post_viral_cough_after_testing_negative/")</f>
        <v/>
      </c>
      <c r="G3072" t="inlineStr">
        <is>
          <t>2020-07-12 23:57:20</t>
        </is>
      </c>
      <c r="H3072" t="inlineStr">
        <is>
          <t>Tested Positive - Me</t>
        </is>
      </c>
    </row>
    <row r="3073">
      <c r="A3073" t="inlineStr">
        <is>
          <t>hqarsp</t>
        </is>
      </c>
      <c r="B3073" t="inlineStr">
        <is>
          <t>My Covid Experience</t>
        </is>
      </c>
      <c r="C3073" t="inlineStr">
        <is>
          <t>Covid Experiences
Day 1 - Tuesday 6/23. Felt like I was stuck in my own head and manifesting a sickness within myself that didn’t exist. A friend of mine was exposed to Covid by her mother. She started showing symptoms herself. I awoke with a mild headache and a very infrequent wet cough. I assumed everything to be fine as I have woken up in much worse conditions (is tension headaches). So I brushed it off and assumed it was in my head.
Day 2 - Wednesday 6/24. My wet infrequent cough continued and the headache was progressively getting worst. Again, at this point I felt fine in all other aspects and proceeded to work. My friend announced she tested positive. My mind raced as to whether or not I could have the novel coronavirus and if my concerns weren’t a manifestation of my mind. I progressively felt...crummy. No other symptoms arose that day just lack of feeling normal and a severe ear ache on both sides.
Day 3 - Thursday 6/25. I went to bed the night before around 1-130am with chills that ran through my body like a ice cold drink. I took my temp and it read 99.9. I text my friend who had been over for dinner that night to let him know and told him I’d keep him informed. At this point I began getting more concerned. Upon waking I took my temp at 100.2. Chills through my body that resulted in a shiver. I took my dog out for a walk. Half way through the walk I had to sit down as I felt too weak to continue. I don’t know if it was her tugging at the leash (an excited 6 month old Sheppard/lab) or the weakness from the virus that wore me out. I made it up the stairs and began to feel lighted headed and winded. The light headed feeling came with a rush of dizziness and nausea. I went to get tested. I drove to a nextcare facility as they had rapid test. Well according to their website. I arrived at 730am when they opened at 8 only to be greeted with roughly 70 people in line outside in the Arizona heat. And yes, 730am in AZ is still 100+ degrees. I waited for an hour to be told all rapid tests are gone and normal labs will be 7-14 business days. My anxiety rises. I left and found a place across town in which I got in and out in under two hours.
Day 4 - Friday 6/26. I felt better than I had felt for the prior few days. No real cough, no fever, no symptoms. Tired and achy with feeling like I was sore to the touch but that was manageable. I did a televisit with a doctor and was given a zpak. 
Day 5 - Saturday 6/27. Same as Friday.
Day 6 - Sunday 6/28. Winded and weak feeling as I went to the mail. My cough isn’t as infrequent as it had been but it’s still so minor I am not uncomfortable. Middle of the morning I realized the bland/bitter-ish taste in my mouth. I assumed it was due to not brushing my teeth yet and since yesterday. But I made Mac and cheese and began to eat. Couldn’t really taste much. It is as tho my taste buds are screaming from a far off hill and all I can hear is the faint echo. My taste is almost to near gone. Late afternoon my sense of smell has also deteriorated to almost nothing. And began to have mild diarrhea. Anything I ate turned my stomach into an anger filled knotted mess in which horrible cramping and stabbing occurred within minutes of eating. I spend a good portion of my day tied to the porcelain thrown (my toilet).
Day 7 - Monday 6/29. I got my results. Tested positive. The team at the facility I was tested lacked any and all type of empthy. While it is understandable that times are stressful and they are testing hundreds of individuals daily there still needs to be a level of empathy when handling patients. I was told how I “probably got it” because “I probably went out and didn’t follow ppe.” My symptoms had worsen, my headaches had increased, my anxiety was at an all time high (who have I been near? what do I tell my work? How will people look at me when they find out I am positive? Did I get anyone else sick?) now layer in the body aches, confusion, and exhaustion. I spent the morning making the phone calls. I was talking to my sister and mid conversation I began to mix up my words and kept having to pause as my memory of what we were talking was gone and so was my speech in that moment. 
Day 8 - Tuesday 6/30. I’m quarantined and alone (single male). Today was my late mother’s birthday whom I lost when I was 20. This day was hard but thankfully (and as odd as that sounds) I was sick. My mind wasn’t clear, I was achy, with a cough, stomach aches, and exhausted with a constant light headed feeling I had no time to think of the day it was. My symptoms remained constant. I slept for the day.
Day 9 - Wednesday 7/1. My symptom started to improve however the body exhaustion was at an all time high leaving me weak and challenged to even stay awake but I felt this was the aftermath of my body recovering from the virus. The body aches were so intense that night it felt as tho the muscles in my legs were being dehydrated like a prune. I took some Tylenol and forced myself to bed. Days 10 and 11 remained consistent with improvements occurring. It was my last night to take Tylenol because CDC Guidelines on leaving quarantine/isolation.
Day 12 - Saturday 7/4. I started to feel normal. My energy was slowly coming back and I felt as though there was a light to the end of the tunnel of covid. I was to return to work the following day. My symptoms had significantly improved and I was left with a minor headache and a lingering cough.
Day 13 - Sunday 7/5. I returned to work. Like nothing had happened and it was just a dream. 
The one thing I was not prepared for in this whole experience was the anxiety and stress that came after recovery as well as the mental deterioration that occurred during isolation. Am I still infected? When can I truly be safe to go back out? People are not meant to be isolated and alone. Many people don’t realize the long term impacts this may have and is having on individuals. I want to tell people at my job so badly about my experiences (and I have opened up to a few) but I’m fearful of the way they would treat me and look at me differently. I am thankful for this experience as it taught me (through this community, the research I’ve done, and my family/friends) how to live with the virus in a safer way moving foward. I want to tell my team at work in hopes to remove some of the higetened fear there is. But I was the one most careful at my place of employment with sanitizing, distancing, masks, etc and yet I still caught it. I would be nervous that it backfires and people become more fearful.
If you’ve made it this far into my post thank you. Each of you has a unique story and how this has impacted you. This community has really helped me in more ways than not. There can be a positive outcome. I recovered in 10 days and am still building back my strength but each day gets better and a little more strength comes back. I’m so thankful for my recovery as so many have not had that same recovery. I wish you all the best!</t>
        </is>
      </c>
      <c r="D3073" t="n">
        <v>1</v>
      </c>
      <c r="E3073" t="n">
        <v>6</v>
      </c>
      <c r="F3073">
        <f>HYPERLINK("https://www.reddit.com/r/COVID19positive/comments/hqarsp/my_covid_experience/")</f>
        <v/>
      </c>
      <c r="G3073" t="inlineStr">
        <is>
          <t>2020-07-13 00:14:22</t>
        </is>
      </c>
      <c r="H3073" t="inlineStr">
        <is>
          <t>Tested Positive - Me</t>
        </is>
      </c>
    </row>
    <row r="3074">
      <c r="A3074" t="inlineStr">
        <is>
          <t>hqby87</t>
        </is>
      </c>
      <c r="B3074" t="inlineStr">
        <is>
          <t>Has anyone tried flying with post covid chest pain ?</t>
        </is>
      </c>
      <c r="C3074" t="inlineStr">
        <is>
          <t>I am little over 3 months into Covid, been recovering most of the time on average. I flew twice now in the last 16 days, 3 hour flights. First trip sent me to the ER the night after the flight with sudden chest pain preventing me from drawing my breath more than about half the way or laying down in any fashion. Had ramping up cold and flu symptoms before falling asleep and sore chest as sometime happens during post covid recovery. Was PCR tested after the first flight and it came back negative as expected. The pain that prevented me from breathing loosened up shortly after i arrived to the ER, was researched thoroughly, no PE or heart issues, no comments on chest xrays and CT with contrast. Either PE that resolved or more likely pleurisy.
I felt a little hypoxic both flights, the airplane air is thinner than on the ground so not so surprising. And i was also very sore with stabbing chest pains after the second flight, but i made sure to take a big dose of ibuprofen before the flight which seems to be have helped a little bit.
Anyone else that has flown post covid and gotten pretty wrecked again after the flight regarding chest pain and inflammation?</t>
        </is>
      </c>
      <c r="D3074" t="n">
        <v>1</v>
      </c>
      <c r="E3074" t="n">
        <v>14</v>
      </c>
      <c r="F3074">
        <f>HYPERLINK("https://www.reddit.com/r/COVID19positive/comments/hqby87/has_anyone_tried_flying_with_post_covid_chest_pain/")</f>
        <v/>
      </c>
      <c r="G3074" t="inlineStr">
        <is>
          <t>2020-07-13 02:03:16</t>
        </is>
      </c>
      <c r="H3074" t="inlineStr">
        <is>
          <t>Presumed Positive - From Doctor</t>
        </is>
      </c>
    </row>
    <row r="3075">
      <c r="A3075" t="inlineStr">
        <is>
          <t>hqcg8h</t>
        </is>
      </c>
      <c r="B3075" t="inlineStr">
        <is>
          <t>False negative or false positive?</t>
        </is>
      </c>
      <c r="C3075" t="inlineStr">
        <is>
          <t>Hi all.
I was tested positive last Sunday, 8 days ago. This was after I had a cough 14 days ago, but it was such a tiny cough, and a strange feeling in my throat for like 24 hours. Nothing else, not then and not since then. I tested just to be on the safe side.
Anyways, no one in my household/girlfriend that doesn't live with me tested positive, all negative.
The first test was kind of clumsy, she dropped the swab (in its package, yet open) and she smeared it on the shelf a bit before picking it up due to clumsy big gloves. After the test I realized I just coughed on that shelf, so that must be a problem as I'm not the only one. Anyways, ever since the diagnose, I had some trouble breathing only because I was more "aware" of my breathing. It's like I was so stressed, and I feel like it causes it.
Long story short, I tested 4 days after my positive test, and it was negative! Now they want me to do another one. If the third is negative, should I insist on an antibodies test? Maybe it was a false positive?
Cheers</t>
        </is>
      </c>
      <c r="D3075" t="n">
        <v>1</v>
      </c>
      <c r="E3075" t="n">
        <v>5</v>
      </c>
      <c r="F3075">
        <f>HYPERLINK("https://www.reddit.com/r/COVID19positive/comments/hqcg8h/false_negative_or_false_positive/")</f>
        <v/>
      </c>
      <c r="G3075" t="inlineStr">
        <is>
          <t>2020-07-13 02:49:23</t>
        </is>
      </c>
      <c r="H3075" t="inlineStr">
        <is>
          <t>Tested Positive - Me</t>
        </is>
      </c>
    </row>
    <row r="3076">
      <c r="A3076" t="inlineStr">
        <is>
          <t>hqe662</t>
        </is>
      </c>
      <c r="B3076" t="inlineStr">
        <is>
          <t>Could these be potential effects of COVID months after potential infection?</t>
        </is>
      </c>
      <c r="C3076" t="inlineStr">
        <is>
          <t>At the end of March I was presumed to have COVID, the uk weren’t testing at the time, however symptoms included a bad cough, chest pain and pain at the bottom of my lungs, breathlessness and a fever. Around 5 of the staff in my workplace (including me) where all off around the same time with similar symptoms also.
The worst of it lasted no more than 5 days, and I felt slightly ill for around 2 weeks, however that was the end of it, didn’t really think much more of it as I felt I was recovering fine. 
About 4 weeks after the first initial symptoms I ended up in hospital following what was originally thought to be an allergic reaction. My face and mouth had swollen so badly I was unrecognisable, my hands and feet had also swollen, my whole body was covered in severe hives, I had a fever and breathlessness, and my pulse was around 130bpm. For about 14 hours I was treated as though I was having an allergic reaction, but the final diagnosis was some sort of GI infection that my body couldn’t fight off and reacted badly. I was also tested for COVID during this hospital stay which came back negative. 
Now we’re about 7 weeks from the hospital visit, however since I’ve been super fatigued, experiencing bad headaches, and just have an overall feeling of being unwell and weak. This week it seems to have gotten much worse, just walking up a flight of stairs I’m breathless and my legs will feel as if I’ve just ran a marathon. And the last 3/4 days I’ve been getting bad stomach pain. 
Could this all be related to the original illness back in March, and I’m just taking a while to fully recover? If so, is it just a case of waiting it out? 
TIA</t>
        </is>
      </c>
      <c r="D3076" t="n">
        <v>1</v>
      </c>
      <c r="E3076" t="n">
        <v>6</v>
      </c>
      <c r="F3076">
        <f>HYPERLINK("https://www.reddit.com/r/COVID19positive/comments/hqe662/could_these_be_potential_effects_of_covid_months/")</f>
        <v/>
      </c>
      <c r="G3076" t="inlineStr">
        <is>
          <t>2020-07-13 05:13:18</t>
        </is>
      </c>
      <c r="H3076" t="inlineStr">
        <is>
          <t>Presumed Positive - From Doctor</t>
        </is>
      </c>
    </row>
    <row r="3077">
      <c r="A3077" t="inlineStr">
        <is>
          <t>hqe7u0</t>
        </is>
      </c>
      <c r="B3077" t="inlineStr">
        <is>
          <t>If you tested positive, eventually tested negative, can you still pass it on?</t>
        </is>
      </c>
      <c r="C3077" t="inlineStr">
        <is>
          <t>So basically I tested positive, had no taste or smell for a few weeks, and eventually I tested negative. After I tested negative, I hung out with two different girls. A few days later, they both have symptoms of COVID. One 4 days after seeing me had a sore throat, two days later a fever. The other, 2 days after seeing me, had swollen lymphnodes, no smell.
I purposely didn't see them until after I was confirmed negative so I feel pretty shitty right now if I gave it to them.</t>
        </is>
      </c>
      <c r="D3077" t="n">
        <v>1</v>
      </c>
      <c r="E3077" t="n">
        <v>11</v>
      </c>
      <c r="F3077">
        <f>HYPERLINK("https://www.reddit.com/r/COVID19positive/comments/hqe7u0/if_you_tested_positive_eventually_tested_negative/")</f>
        <v/>
      </c>
      <c r="G3077" t="inlineStr">
        <is>
          <t>2020-07-13 05:16:51</t>
        </is>
      </c>
      <c r="H3077" t="inlineStr">
        <is>
          <t>Tested Positive</t>
        </is>
      </c>
    </row>
    <row r="3078">
      <c r="A3078" t="inlineStr">
        <is>
          <t>hqerwc</t>
        </is>
      </c>
      <c r="B3078" t="inlineStr">
        <is>
          <t>Dry Cough becoming Wet Cough</t>
        </is>
      </c>
      <c r="C3078" t="inlineStr">
        <is>
          <t>Hi all! Just curious, has anyone had a dry cough that eventually became a mild wet cough? 
My main symptom was a dry cough, and it was the only lingering symptom for longer than a day or so. I had the compelling urge, or "itch," to cough and I sometimes did cough to just relieve the urge (like having the feeling of a sneeze come on, but never actually sneeze). However, I often didn't out of worry that it would be much worse. 
For the past day or two, I have noticed my cough being more wet than dry, as I can feel it catching some phlegm, and occasionally I'll get a tiny pea-sized ball to come up, which I promptly spit out. It's more prevalent in the morning, and is white which I have understood tends to be viral. I'm just curious if others have had this, and if so, what it might mean? Like is the virus getting out and over with maybe, or is that just my optimism getting ahead of me?</t>
        </is>
      </c>
      <c r="D3078" t="n">
        <v>1</v>
      </c>
      <c r="E3078" t="n">
        <v>11</v>
      </c>
      <c r="F3078">
        <f>HYPERLINK("https://www.reddit.com/r/COVID19positive/comments/hqerwc/dry_cough_becoming_wet_cough/")</f>
        <v/>
      </c>
      <c r="G3078" t="inlineStr">
        <is>
          <t>2020-07-13 05:57:10</t>
        </is>
      </c>
      <c r="H3078" t="inlineStr">
        <is>
          <t>Presumed Positive - From Doctor</t>
        </is>
      </c>
    </row>
    <row r="3079">
      <c r="A3079" t="inlineStr">
        <is>
          <t>hqgek1</t>
        </is>
      </c>
      <c r="B3079" t="inlineStr">
        <is>
          <t>Going back to work (long haulers)</t>
        </is>
      </c>
      <c r="C3079" t="inlineStr">
        <is>
          <t>I am supposed to go back to work in 2 weeks, which will be week 12 for me. My symptoms are slowlyyyyy improving but I’m scared of setting myself back. How was getting back to work for everyone? Any tips to make it as smooth as possible? 
I’m still experiencing chest pain, fatigue, joint pain, insomnia, wacko heart rate, etc but my chest tightness has improved since being prescribed steroids via inhaler.</t>
        </is>
      </c>
      <c r="D3079" t="n">
        <v>1</v>
      </c>
      <c r="E3079" t="n">
        <v>13</v>
      </c>
      <c r="F3079">
        <f>HYPERLINK("https://www.reddit.com/r/COVID19positive/comments/hqgek1/going_back_to_work_long_haulers/")</f>
        <v/>
      </c>
      <c r="G3079" t="inlineStr">
        <is>
          <t>2020-07-13 07:38:47</t>
        </is>
      </c>
      <c r="H3079" t="inlineStr">
        <is>
          <t>Tested Positive - Me</t>
        </is>
      </c>
    </row>
    <row r="3080">
      <c r="A3080" t="inlineStr">
        <is>
          <t>hqgjw9</t>
        </is>
      </c>
      <c r="B3080" t="inlineStr">
        <is>
          <t>Why do I keep testing positive?</t>
        </is>
      </c>
      <c r="C3080" t="inlineStr">
        <is>
          <t>I tested positive June 11th, had symptoms for about a week, then nothing. I have had no symptoms for about 4 weeks now, but all three tests since then have come back positive including one from 2 days ago. wtf am i doing wrong lol</t>
        </is>
      </c>
      <c r="D3080" t="n">
        <v>1</v>
      </c>
      <c r="E3080" t="n">
        <v>16</v>
      </c>
      <c r="F3080">
        <f>HYPERLINK("https://www.reddit.com/r/COVID19positive/comments/hqgjw9/why_do_i_keep_testing_positive/")</f>
        <v/>
      </c>
      <c r="G3080" t="inlineStr">
        <is>
          <t>2020-07-13 07:47:23</t>
        </is>
      </c>
      <c r="H3080" t="inlineStr">
        <is>
          <t>Tested Positive - Me</t>
        </is>
      </c>
    </row>
    <row r="3081">
      <c r="A3081" t="inlineStr">
        <is>
          <t>hqhdtm</t>
        </is>
      </c>
      <c r="B3081" t="inlineStr">
        <is>
          <t>Testing negative with a positive partner</t>
        </is>
      </c>
      <c r="C3081" t="inlineStr">
        <is>
          <t>Hi everyone,
My boyfriend that I live with was recently diagnosed with COVID19. Before he was diagnosed we (obviously) were kissing and sleeping in the same bed. He’s been sick now for 2 weeks and is feeling much better luckily; it’s been a pretty mild case. However; I have not tested positive yet. Is it a matter of time? I haven’t been symptomatic or anything. Was I asymptotic could he have caught it from me? None of my coworkers have tested positive, so I have been ruling that out. I attempted to get an antibody test, but no one would take me since I share a home with someone who was diagnosed. We’re being careful now, but I am shocked that I have not caught it despite being in close quarters. Did anyone else have a similar experience?</t>
        </is>
      </c>
      <c r="D3081" t="n">
        <v>1</v>
      </c>
      <c r="E3081" t="n">
        <v>4</v>
      </c>
      <c r="F3081">
        <f>HYPERLINK("https://www.reddit.com/r/COVID19positive/comments/hqhdtm/testing_negative_with_a_positive_partner/")</f>
        <v/>
      </c>
      <c r="G3081" t="inlineStr">
        <is>
          <t>2020-07-13 08:33:31</t>
        </is>
      </c>
      <c r="H3081" t="inlineStr">
        <is>
          <t>Tested Positive - Family</t>
        </is>
      </c>
    </row>
    <row r="3082">
      <c r="A3082" t="inlineStr">
        <is>
          <t>hqht8b</t>
        </is>
      </c>
      <c r="B3082" t="inlineStr">
        <is>
          <t>Update</t>
        </is>
      </c>
      <c r="C3082" t="inlineStr">
        <is>
          <t>Hi guys! After testing positive on jun 23, having mild symptoms for about 4 days, fever only one day, and body aches for 3, started developing a really mild cough, I bought a finger oximeter and was 96 to 99 all the time but my chest felt compressed and on the 27 went to the nearest ER and got an X-ray, I had pneumonia in both lungs, and they prescribed azithromycin and methylprednisolone for 6 days, did the treatment but I never felt out of breath just a little bit tired, fast forward to yesterday I got a checkup and an XRay and my lungs are perfectly fine, no traces of pneumonia or mucus, my oxigen has been between 96~99 (finger portable oximeters are not as accurate as the big ones, always was 99-98 in the ER ones) they said to me I can have cough or even mild chest pain and tightness because I had inflammation because pneumonia and it will go away slowly, I feel great, and having the follow up X-ray was good for my stress, hope you guys feel better.</t>
        </is>
      </c>
      <c r="D3082" t="n">
        <v>1</v>
      </c>
      <c r="E3082" t="n">
        <v>27</v>
      </c>
      <c r="F3082">
        <f>HYPERLINK("https://www.reddit.com/r/COVID19positive/comments/hqht8b/update/")</f>
        <v/>
      </c>
      <c r="G3082" t="inlineStr">
        <is>
          <t>2020-07-13 08:56:21</t>
        </is>
      </c>
      <c r="H3082" t="inlineStr">
        <is>
          <t>Tested Positive - Me</t>
        </is>
      </c>
    </row>
    <row r="3083">
      <c r="A3083" t="inlineStr">
        <is>
          <t>hqhwd0</t>
        </is>
      </c>
      <c r="B3083" t="inlineStr">
        <is>
          <t>I think people are worried about the wrong thing</t>
        </is>
      </c>
      <c r="C3083" t="inlineStr">
        <is>
          <t>From my experience it seems like everywhere I look people are always concerned about the number of deaths. They think you shouldn't be scared because you arent likely to die. People think we should reopen schools because younger people are 'low risk'. People say you are way likely to die from tons of other things, which is probably very true.
But for some reason it seems like everyone is just totally disregarding the crazy internal organ pain. Burning kidneys, insane chest pains, heartbeat pains, testicular pains, blood clots, altered sense of taste/smell, neurological effects, etc are some pretty serious things. I feel fine now but I get the feeling this is going to effect me down the road. I mean yea kids are at a lower risk but i get the feeling we shouldn't be forcefully exposing them to a virus that's attacking all your organs (including the brain) and clotting the hell out of your blood. Teenagers can have strokes from blood clots too.
I don't think death is the issue. I don't think anyone's organs should be exposed to something like this, especially so early in life. I hope people don't have complications down the road but judging by the severity of the pain i experienced i feel like that unfortunately will not be the case :(
(Im 27 by the way. definitely not a kid but people always say i'll be fine because I'm young)</t>
        </is>
      </c>
      <c r="D3083" t="n">
        <v>1</v>
      </c>
      <c r="E3083" t="n">
        <v>250</v>
      </c>
      <c r="F3083">
        <f>HYPERLINK("https://www.reddit.com/r/COVID19positive/comments/hqhwd0/i_think_people_are_worried_about_the_wrong_thing/")</f>
        <v/>
      </c>
      <c r="G3083" t="inlineStr">
        <is>
          <t>2020-07-13 09:00:50</t>
        </is>
      </c>
      <c r="H3083" t="inlineStr">
        <is>
          <t>Tested Positive</t>
        </is>
      </c>
    </row>
    <row r="3084">
      <c r="A3084" t="inlineStr">
        <is>
          <t>hqj4dg</t>
        </is>
      </c>
      <c r="B3084" t="inlineStr">
        <is>
          <t>My COVID 19 story.</t>
        </is>
      </c>
      <c r="C3084" t="inlineStr">
        <is>
          <t>My father got sick at home first around the 6/23. My mother then began to complain about a loss of smell and taste. My father went to the hospital 2 days later. Then my mother and I began to have headaches and loss of smell and taste/diarrhea on 6/26. My brother on the other hand, had no symptoms at all which was crazy!!!Father came back 4 days later and was positive for COVID 19. 
On 7/2 my mother and I both felt better. My brother began to feel like shit and cough a lot/trouble breathing. We decided to get tested. Mom and brothers results came back positive while I awaited mine. 
Crazy part is that on 7/10 I decided to workout then I began to feel like shit after. I felt muscle aches and felt really hot. My temp was 101. Fast forward to today. I got my results from testing and I am Negative for the swab and negative for IGM and IGG. I feel really great. My temp is at 98.3 currently. Pulse Oximeter is at 98%-99%. This virus is fucking weird. My mom and I are doing fine. My brother is coughing up and spitting mucus. I guess I have recovered?
Stay safe y’all. Wear face masks in your home.</t>
        </is>
      </c>
      <c r="D3084" t="n">
        <v>1</v>
      </c>
      <c r="E3084" t="n">
        <v>4</v>
      </c>
      <c r="F3084">
        <f>HYPERLINK("https://www.reddit.com/r/COVID19positive/comments/hqj4dg/my_covid_19_story/")</f>
        <v/>
      </c>
      <c r="G3084" t="inlineStr">
        <is>
          <t>2020-07-13 10:01:08</t>
        </is>
      </c>
      <c r="H3084" t="inlineStr">
        <is>
          <t>Tested Positive - Family</t>
        </is>
      </c>
    </row>
    <row r="3085">
      <c r="A3085" t="inlineStr">
        <is>
          <t>hqj9l9</t>
        </is>
      </c>
      <c r="B3085" t="inlineStr">
        <is>
          <t>Idk if this is just me</t>
        </is>
      </c>
      <c r="C3085" t="inlineStr">
        <is>
          <t>I wanna know if others are experiencing this symptom. It seems no matter I eat I am still hungry, like I’ll be “full” for a moment and then I’ll be starving again. I don’t think I’m pooping more than my normal amount so I’m wondering if it’s cause if the virus or something.</t>
        </is>
      </c>
      <c r="D3085" t="n">
        <v>1</v>
      </c>
      <c r="E3085" t="n">
        <v>11</v>
      </c>
      <c r="F3085">
        <f>HYPERLINK("https://www.reddit.com/r/COVID19positive/comments/hqj9l9/idk_if_this_is_just_me/")</f>
        <v/>
      </c>
      <c r="G3085" t="inlineStr">
        <is>
          <t>2020-07-13 10:08:26</t>
        </is>
      </c>
      <c r="H3085" t="inlineStr">
        <is>
          <t>Tested Positive</t>
        </is>
      </c>
    </row>
    <row r="3086">
      <c r="A3086" t="inlineStr">
        <is>
          <t>hqjfs8</t>
        </is>
      </c>
      <c r="B3086" t="inlineStr">
        <is>
          <t>Just got results from kaiser and it’s positive</t>
        </is>
      </c>
      <c r="C3086" t="inlineStr">
        <is>
          <t>I’m a male, 28 years old, and overweight. 
I was exposed on Tuesday July 7th. I started feeling a itchy throat the next day. Didn’t think anything of it. 
July 9, I got a headache that wouldn’t go away. 
July 10, headache persisted, friend told me she was tested positive for Covid. I immediately schedule appointment for same day. 
July 11-12 No cough or sore throat. Still getting headaches occasionally. Now starting to get dizzy. Fatigue is the word. Almost sure I got it at the point. 
July 13, results came in positive. 
I work at home so I’m not sure if it’s mandatory to tell my employer. 
I feel like trash but I can still work.</t>
        </is>
      </c>
      <c r="D3086" t="n">
        <v>1</v>
      </c>
      <c r="E3086" t="n">
        <v>9</v>
      </c>
      <c r="F3086">
        <f>HYPERLINK("https://www.reddit.com/r/COVID19positive/comments/hqjfs8/just_got_results_from_kaiser_and_its_positive/")</f>
        <v/>
      </c>
      <c r="G3086" t="inlineStr">
        <is>
          <t>2020-07-13 10:17:25</t>
        </is>
      </c>
      <c r="H3086" t="inlineStr">
        <is>
          <t>Tested Positive - Me</t>
        </is>
      </c>
    </row>
    <row r="3087">
      <c r="A3087" t="inlineStr">
        <is>
          <t>hqjkor</t>
        </is>
      </c>
      <c r="B3087" t="inlineStr">
        <is>
          <t>Valcyclovir</t>
        </is>
      </c>
      <c r="C3087" t="inlineStr">
        <is>
          <t>In April my doctor said that I had Covid. My symptoms started in March. Towards the middle/end of all my symptoms I noticed that my cold sore was getting ready to rear it's ugly self. I started taking valcyclovir again  and now that I look back I realize that I think it helped me get over the last of the coronavirus symptoms. I am so afraid of getting it again thank I haven't stopped taking it. I thought that I had read somewhere that it may help with mild/moderate symptoms. Has anyone else heard anything about that?</t>
        </is>
      </c>
      <c r="D3087" t="n">
        <v>1</v>
      </c>
      <c r="E3087" t="n">
        <v>10</v>
      </c>
      <c r="F3087">
        <f>HYPERLINK("https://www.reddit.com/r/COVID19positive/comments/hqjkor/valcyclovir/")</f>
        <v/>
      </c>
      <c r="G3087" t="inlineStr">
        <is>
          <t>2020-07-13 10:24:21</t>
        </is>
      </c>
      <c r="H3087" t="inlineStr">
        <is>
          <t>Presumed Positive - From Doctor</t>
        </is>
      </c>
    </row>
    <row r="3088">
      <c r="A3088" t="inlineStr">
        <is>
          <t>hqjo95</t>
        </is>
      </c>
      <c r="B3088" t="inlineStr">
        <is>
          <t>I tested Positive on June 22nd and recovered on July 3rd. For some, it does get better</t>
        </is>
      </c>
      <c r="C3088" t="inlineStr">
        <is>
          <t>Hi everyone,   
I am a 22F and I just wanted to offer a white pill for those of you that are currently suffering from this virus by sharing my story with my mild case. When I was sick last week, all I could see were the stories of people on this subreddit that had it for several months. While this does occur for some people, for others like me it does eventually get better.   
It will last longer than any virus you've likely had before, and it will be scary particularly after the 7th day when things appear to get better before getting much, much, worse but there is hope to be had and I want you all to stay strong.</t>
        </is>
      </c>
      <c r="D3088" t="n">
        <v>1</v>
      </c>
      <c r="E3088" t="n">
        <v>9</v>
      </c>
      <c r="F3088">
        <f>HYPERLINK("https://www.reddit.com/r/COVID19positive/comments/hqjo95/i_tested_positive_on_june_22nd_and_recovered_on/")</f>
        <v/>
      </c>
      <c r="G3088" t="inlineStr">
        <is>
          <t>2020-07-13 10:29:19</t>
        </is>
      </c>
      <c r="H3088" t="inlineStr">
        <is>
          <t>Tested Positive - Me</t>
        </is>
      </c>
    </row>
    <row r="3089">
      <c r="A3089" t="inlineStr">
        <is>
          <t>hqjz20</t>
        </is>
      </c>
      <c r="B3089" t="inlineStr">
        <is>
          <t>After covid</t>
        </is>
      </c>
      <c r="C3089" t="inlineStr">
        <is>
          <t>Serious question.. for those who only had MILD cases.. what are your lingering symptoms if you’re 8+ weeks out? Does anyone ONLY have high heart rate left??</t>
        </is>
      </c>
      <c r="D3089" t="n">
        <v>1</v>
      </c>
      <c r="E3089" t="n">
        <v>3</v>
      </c>
      <c r="F3089">
        <f>HYPERLINK("https://www.reddit.com/r/COVID19positive/comments/hqjz20/after_covid/")</f>
        <v/>
      </c>
      <c r="G3089" t="inlineStr">
        <is>
          <t>2020-07-13 10:44:56</t>
        </is>
      </c>
      <c r="H3089" t="inlineStr">
        <is>
          <t>Tested Positive - Me</t>
        </is>
      </c>
    </row>
    <row r="3090">
      <c r="A3090" t="inlineStr">
        <is>
          <t>hqk0kb</t>
        </is>
      </c>
      <c r="B3090" t="inlineStr">
        <is>
          <t>Another family member tested positive and recovered (2 days until onset, 2-3 day plateau, 1 day decline until recovery)</t>
        </is>
      </c>
      <c r="C3090" t="inlineStr">
        <is>
          <t>Symptoms were a slight cough, mild fever, fatigue, occasional headache, and body soreness.
He's certain he got it by walking through a packed bar for \~20 seconds grabbing some drinks, as others in the same spot also got it. It started with a headache in the morning, followed by fatigue and fever midday. As far as severity went at its peak, it was "worse than a cold, but better than the flu". We're crediting that to good overall health and a healthy sufficiency of Vitamin D / good hydration.
So remember to take vitamin D, hydrate, and don't overexert. Make sure you're sufficient in vitamin D BEFORE you get sick - not just when symptoms start. It truly is one of the cheapest investments you can make in your health. Either sit outside in the sun, or buy them in caplet form.</t>
        </is>
      </c>
      <c r="D3090" t="n">
        <v>1</v>
      </c>
      <c r="E3090" t="n">
        <v>4</v>
      </c>
      <c r="F3090">
        <f>HYPERLINK("https://www.reddit.com/r/COVID19positive/comments/hqk0kb/another_family_member_tested_positive_and/")</f>
        <v/>
      </c>
      <c r="G3090" t="inlineStr">
        <is>
          <t>2020-07-13 10:47:22</t>
        </is>
      </c>
      <c r="H3090" t="inlineStr">
        <is>
          <t>Tested Positive - Family</t>
        </is>
      </c>
    </row>
    <row r="3091">
      <c r="A3091" t="inlineStr">
        <is>
          <t>hqkb2j</t>
        </is>
      </c>
      <c r="B3091" t="inlineStr">
        <is>
          <t>To those of you that also tested positive/have recovered:</t>
        </is>
      </c>
      <c r="C3091" t="inlineStr">
        <is>
          <t>I’m a 22yo F and I tested positive on July 9th, and have no underlying health issues. I believe I started having symptoms on July 4th, which started off as just a dull headache and I wrote it off thinking it was from lack of sleep or maybe dehydration. My symptoms started to worsen into (now) a throbbing headache, EXTREME fatigue, sinus pressure, face and body aches, and no taste or smell :( 
My health department still hasn’t reached out to me so I took it upon myself to reach out to them to try to get some answers, and they didn’t know any more than what I had already learned from this subreddit. 
So, I have some questions.
For those of you that lost your taste/smell, how long did it take for that to come back? Or has it not yet come back?
How long have you been experiencing symptoms, or if you’ve recovered, how long did they last?
Are there any home remedies that have been helping you? (I’ve just been drinking lots of water/gatorade, resting, and I’ve found advil helps more than tylenol for me)
They were also unclear on how long I need to self quarantine- they said 10 days since symptoms started AND 3 days of no fever with no use of fever-reducing medicine before I can go around people again, but I plan on getting retested and receiving a negative result before I do. The lady I spoke to did warn me that I may receive a positive result even after all of that, which could be because there’s still traces of the virus’s rna in my bloodstream but I’m not contagious. hm.</t>
        </is>
      </c>
      <c r="D3091" t="n">
        <v>1</v>
      </c>
      <c r="E3091" t="n">
        <v>5</v>
      </c>
      <c r="F3091">
        <f>HYPERLINK("https://www.reddit.com/r/COVID19positive/comments/hqkb2j/to_those_of_you_that_also_tested_positivehave/")</f>
        <v/>
      </c>
      <c r="G3091" t="inlineStr">
        <is>
          <t>2020-07-13 11:02:48</t>
        </is>
      </c>
      <c r="H3091" t="inlineStr">
        <is>
          <t>Tested Positive - Me</t>
        </is>
      </c>
    </row>
    <row r="3092">
      <c r="A3092" t="inlineStr">
        <is>
          <t>hqktwe</t>
        </is>
      </c>
      <c r="B3092" t="inlineStr">
        <is>
          <t>The strongest evidence for this being a Bioweapon is vanishing antibodies</t>
        </is>
      </c>
      <c r="C3092" t="inlineStr">
        <is>
          <t>I responded earlier about how it's possible this is a manmade virus that leaked from a lab but damn, the lack of antibodies lasting for a long term is very sinister.</t>
        </is>
      </c>
      <c r="D3092" t="n">
        <v>1</v>
      </c>
      <c r="E3092" t="n">
        <v>4</v>
      </c>
      <c r="F3092">
        <f>HYPERLINK("https://www.reddit.com/r/COVID19positive/comments/hqktwe/the_strongest_evidence_for_this_being_a_bioweapon/")</f>
        <v/>
      </c>
      <c r="G3092" t="inlineStr">
        <is>
          <t>2020-07-13 11:29:51</t>
        </is>
      </c>
      <c r="H3092" t="inlineStr">
        <is>
          <t>Tested Positive</t>
        </is>
      </c>
    </row>
    <row r="3093">
      <c r="A3093" t="inlineStr">
        <is>
          <t>hqkvbe</t>
        </is>
      </c>
      <c r="B3093" t="inlineStr">
        <is>
          <t>Did my symptoms warrant hospitalization?</t>
        </is>
      </c>
      <c r="C3093" t="inlineStr">
        <is>
          <t>hello everyone, i've been reading about lasting effects the virus leaves on the body after the virus has ran its course and was wondering if i may be in that percentile that probably should have gone to the hospital. 
it started with a slight sore throat but went away and a fever set in with massive headaches. little tasks like going to the restroom became tiring. i had to minimize the amount of showering because it would become too difficult to stand due to the fatigue. by the 2nd week i was bed ridden. i was unable to walk 5 steps without almost blacking out, i had terrible stomach issues and couldn't eat/drink and if i attempted to, i'd throw up or diarrhea. i had massive testicular pain as well. i tried drinking pedialyte as much as i could but despite that, my urine would be a dark orange color. i finally started getting better after my fever finally broke around the 12th-13th day but it was a slow progression. this was back in the beginning of april, and the only symptom that has been bugging me is the lack of sense of smell and things tasting weird.
i forgot to point out i'm a 29M. i'm overweight but active due to my line of work. i'm extremely positive my weight played a factor in the severity and have taken necessary steps to eat healthier and began more strenuous cardio workouts. if you guys have similar experiences and have had to go to the hospital or just tried to tough it out like i did, please share your experience. i've spoken to people who tested positive but those who i've met never had it as severe as i did.</t>
        </is>
      </c>
      <c r="D3093" t="n">
        <v>1</v>
      </c>
      <c r="E3093" t="n">
        <v>8</v>
      </c>
      <c r="F3093">
        <f>HYPERLINK("https://www.reddit.com/r/COVID19positive/comments/hqkvbe/did_my_symptoms_warrant_hospitalization/")</f>
        <v/>
      </c>
      <c r="G3093" t="inlineStr">
        <is>
          <t>2020-07-13 11:32:01</t>
        </is>
      </c>
      <c r="H3093" t="inlineStr">
        <is>
          <t>Tested Positive - Me</t>
        </is>
      </c>
    </row>
    <row r="3094">
      <c r="A3094" t="inlineStr">
        <is>
          <t>hql1po</t>
        </is>
      </c>
      <c r="B3094" t="inlineStr">
        <is>
          <t>Hello!</t>
        </is>
      </c>
      <c r="C3094" t="inlineStr">
        <is>
          <t>I’m new to this subreddit, but yesterday i tested positive. I’m 15 years old, and a little shook up. Can i get some advice on how to stay positive? I’m a little pessimistic right now.</t>
        </is>
      </c>
      <c r="D3094" t="n">
        <v>1</v>
      </c>
      <c r="E3094" t="n">
        <v>2</v>
      </c>
      <c r="F3094">
        <f>HYPERLINK("https://www.reddit.com/r/COVID19positive/comments/hql1po/hello/")</f>
        <v/>
      </c>
      <c r="G3094" t="inlineStr">
        <is>
          <t>2020-07-13 11:40:55</t>
        </is>
      </c>
      <c r="H3094" t="inlineStr">
        <is>
          <t>Tested Positive - Me</t>
        </is>
      </c>
    </row>
    <row r="3095">
      <c r="A3095" t="inlineStr">
        <is>
          <t>hql3wm</t>
        </is>
      </c>
      <c r="B3095" t="inlineStr">
        <is>
          <t>I tested positive on June 22 went back to work on July 12</t>
        </is>
      </c>
      <c r="C3095" t="inlineStr">
        <is>
          <t>I could only work about 5 hours until I had trouble breathing to walking very slow like a snail. Has anyone felt this way.. I was super drained and felt shaky. I’m at the doctors now to see what could be wrong with me. Last week I had a good week. I was feeling better. I think the worry of being at work and anxiety has gotten my heart rate up.</t>
        </is>
      </c>
      <c r="D3095" t="n">
        <v>1</v>
      </c>
      <c r="E3095" t="n">
        <v>15</v>
      </c>
      <c r="F3095">
        <f>HYPERLINK("https://www.reddit.com/r/COVID19positive/comments/hql3wm/i_tested_positive_on_june_22_went_back_to_work_on/")</f>
        <v/>
      </c>
      <c r="G3095" t="inlineStr">
        <is>
          <t>2020-07-13 11:43:46</t>
        </is>
      </c>
      <c r="H3095" t="inlineStr">
        <is>
          <t>Tested Positive</t>
        </is>
      </c>
    </row>
    <row r="3096">
      <c r="A3096" t="inlineStr">
        <is>
          <t>hqlv2r</t>
        </is>
      </c>
      <c r="B3096" t="inlineStr">
        <is>
          <t>Becoming symptomatic</t>
        </is>
      </c>
      <c r="C3096" t="inlineStr">
        <is>
          <t>I had a routine test as I work in the hospital on Wednesday 8th July. I found out it was positive Friday 10th. I had no symptoms at that point.
It's now the 13th and I have:
Sore throat
Cough
Tight chest
Headache
Sinus pressure 
General fatigue/weakness
Loss of appetite
I was really hoping I'd remain asymptomatic, but it seems not. Now just hoping it remains mild and manageable.
Having a second PCR and antibody screen tomorrow.
Hope you are all managing okay too.</t>
        </is>
      </c>
      <c r="D3096" t="n">
        <v>1</v>
      </c>
      <c r="E3096" t="n">
        <v>35</v>
      </c>
      <c r="F3096">
        <f>HYPERLINK("https://www.reddit.com/r/COVID19positive/comments/hqlv2r/becoming_symptomatic/")</f>
        <v/>
      </c>
      <c r="G3096" t="inlineStr">
        <is>
          <t>2020-07-13 12:22:50</t>
        </is>
      </c>
      <c r="H3096" t="inlineStr">
        <is>
          <t>Tested Positive - Me</t>
        </is>
      </c>
    </row>
    <row r="3097">
      <c r="A3097" t="inlineStr">
        <is>
          <t>hqm27h</t>
        </is>
      </c>
      <c r="B3097" t="inlineStr">
        <is>
          <t>3 weeks in and still experiencing symptoms</t>
        </is>
      </c>
      <c r="C3097" t="inlineStr">
        <is>
          <t>Tested 6/22 and the brunt of it was that week.
However, every couple days I have an entire day were I sleep for 15+ hours, have to drink excessive amounts of coffee to stay awake, if that even works. 
It's 3:30pm. I have been sleeping in periods of 30 minutes throughout the day and having my boyfriend or alarms wake me up to continue working on my laptop.
I have chills at the moment, my congestion never got better, and I'm so cold that I'm under two comforters in a long sleeve shirt in the middle of Florida summer. Normally I find it very warm inside.
Anyone else? I'm scared I'll end up this way forever... it kind of reminds me of the fatigue I had when I went through mono (two month ordeal for me). My body feels like it's made of lead. 
Still waiting on my 14 day test results so I am unsure if I am somehow still positive or not.</t>
        </is>
      </c>
      <c r="D3097" t="n">
        <v>1</v>
      </c>
      <c r="E3097" t="n">
        <v>13</v>
      </c>
      <c r="F3097">
        <f>HYPERLINK("https://www.reddit.com/r/COVID19positive/comments/hqm27h/3_weeks_in_and_still_experiencing_symptoms/")</f>
        <v/>
      </c>
      <c r="G3097" t="inlineStr">
        <is>
          <t>2020-07-13 12:33:30</t>
        </is>
      </c>
      <c r="H3097" t="inlineStr">
        <is>
          <t>Tested Positive - Me</t>
        </is>
      </c>
    </row>
    <row r="3098">
      <c r="A3098" t="inlineStr">
        <is>
          <t>hqm74a</t>
        </is>
      </c>
      <c r="B3098" t="inlineStr">
        <is>
          <t>Eye pain and diarrhea</t>
        </is>
      </c>
      <c r="C3098" t="inlineStr">
        <is>
          <t>Day 4:
Does anyone have eye pain as a symptom? It’s more of a discomfort.  Dull. I feel it in the back or around my eyes. I rate it 1 out of 10 on the pain scale.
I just had some diarrhea earlier for the first time. Yesterday was my highest fever (101.5).</t>
        </is>
      </c>
      <c r="D3098" t="n">
        <v>1</v>
      </c>
      <c r="E3098" t="n">
        <v>10</v>
      </c>
      <c r="F3098">
        <f>HYPERLINK("https://www.reddit.com/r/COVID19positive/comments/hqm74a/eye_pain_and_diarrhea/")</f>
        <v/>
      </c>
      <c r="G3098" t="inlineStr">
        <is>
          <t>2020-07-13 12:40:47</t>
        </is>
      </c>
      <c r="H3098" t="inlineStr">
        <is>
          <t>Tested Positive - Me</t>
        </is>
      </c>
    </row>
    <row r="3099">
      <c r="A3099" t="inlineStr">
        <is>
          <t>hqmb17</t>
        </is>
      </c>
      <c r="B3099" t="inlineStr">
        <is>
          <t>BPD, and Covid isolated away from everyone</t>
        </is>
      </c>
      <c r="C3099" t="inlineStr">
        <is>
          <t>My fiancé is quarantined in a hotel with his daughter. I booked them a hotel when I started feeling sick, just in case. Due to custody arrangements, I hadn’t seen her for 2 weeks so it was important to keep her out of the house as soon as I felt sick. I had been like massive deep cleaning the day before so I though I just kicked up a lot of dust. 
When I got tested, it was positive. So now we wait for their results in 2-3 days. If both are negative they stay in the hotel a week and she goes home to moms. If either are positive they both come home. This sucks. 
I have BPD and being isolated alone and sick is so hard. I’m just sobbing. I don’t know how to cope.</t>
        </is>
      </c>
      <c r="D3099" t="n">
        <v>1</v>
      </c>
      <c r="E3099" t="n">
        <v>10</v>
      </c>
      <c r="F3099">
        <f>HYPERLINK("https://www.reddit.com/r/COVID19positive/comments/hqmb17/bpd_and_covid_isolated_away_from_everyone/")</f>
        <v/>
      </c>
      <c r="G3099" t="inlineStr">
        <is>
          <t>2020-07-13 12:46:43</t>
        </is>
      </c>
      <c r="H3099" t="inlineStr">
        <is>
          <t>Tested Positive - Me</t>
        </is>
      </c>
    </row>
    <row r="3100">
      <c r="A3100" t="inlineStr">
        <is>
          <t>hqmmj7</t>
        </is>
      </c>
      <c r="B3100" t="inlineStr">
        <is>
          <t>No symptoms?!?</t>
        </is>
      </c>
      <c r="C3100" t="inlineStr">
        <is>
          <t>So I tested positive three times. Had to get the extra tests done because I have zero symptoms. This virus is more of a mental struggle than a physical one. I’ve quarantined myself to my car. I don’t talk to anyone or see anyone almost like a caged animal. I don’t even have a fever but I’m trying to protect my loved ones. It’s hard to deal with this by staying in my car but it’s the only option I have right now to not feel selfish when it comes to my families health.</t>
        </is>
      </c>
      <c r="D3100" t="n">
        <v>1</v>
      </c>
      <c r="E3100" t="n">
        <v>33</v>
      </c>
      <c r="F3100">
        <f>HYPERLINK("https://www.reddit.com/r/COVID19positive/comments/hqmmj7/no_symptoms/")</f>
        <v/>
      </c>
      <c r="G3100" t="inlineStr">
        <is>
          <t>2020-07-13 13:04:03</t>
        </is>
      </c>
      <c r="H3100" t="inlineStr">
        <is>
          <t>Tested Positive</t>
        </is>
      </c>
    </row>
    <row r="3101">
      <c r="A3101" t="inlineStr">
        <is>
          <t>hqnaat</t>
        </is>
      </c>
      <c r="B3101" t="inlineStr">
        <is>
          <t>Question about sinus pressure.</t>
        </is>
      </c>
      <c r="C3101" t="inlineStr">
        <is>
          <t>I’ve been sick exactly 2 weeks today. It’s gotten better but the one thing I cannot seem to shake is the sinus pressure. It feels like I jumped into a pool of water and got water stuck up my nose and it’s been a constant feeling for the past two weeks straight. I just wanted to see if anyone else was experiencing this and how long it lasted for you/what you did to alleviate the pain.</t>
        </is>
      </c>
      <c r="D3101" t="n">
        <v>1</v>
      </c>
      <c r="E3101" t="n">
        <v>36</v>
      </c>
      <c r="F3101">
        <f>HYPERLINK("https://www.reddit.com/r/COVID19positive/comments/hqnaat/question_about_sinus_pressure/")</f>
        <v/>
      </c>
      <c r="G3101" t="inlineStr">
        <is>
          <t>2020-07-13 13:39:01</t>
        </is>
      </c>
      <c r="H3101" t="inlineStr">
        <is>
          <t>Tested Positive - Me</t>
        </is>
      </c>
    </row>
    <row r="3102">
      <c r="A3102" t="inlineStr">
        <is>
          <t>hqnqpr</t>
        </is>
      </c>
      <c r="B3102" t="inlineStr">
        <is>
          <t>My dad was admitted into the hospital</t>
        </is>
      </c>
      <c r="C3102" t="inlineStr">
        <is>
          <t>About two weeks ago, my uncle (dad's brother) was transported to the ER for falling due to dizziness but discharged that same day. In our family, it's custom that we visit a family member whenever they're hospitalized, and I guess they believed that was nothing except dizziness it was fine to visit him. So my parents, my cousins and their parents visited our uncle, exposed for over 4 hours. My uncle never stated that he was a person under investigation for COVID or had symptoms of COVID until he had to call everyone to tell them he was COVID positive. 
For a good week, my dad has been having a fever, body aches and weakness to the point where he couldn't walk around the house. After a week of that, today, he has been admitted into the hospital. My dad is in his early 60's, diabetic, and in all my life he has never been admitted to the hospital. My uncle's idiotic children are saying "it's good he's in the hospital". I'm absolutely livid.
I'm so scared of the worst. I'm so mad at my family for not practicing social distancing or wearing a mask around each other. This could've been avoided. I want to fly across the country to be with my mom right now but I don't think that's the smartest decision at the moment. 
Please send your love and prayers for my dad and mom. I love them, and I just want them to be healthy. Send any positive stories if you have any, I could use them.</t>
        </is>
      </c>
      <c r="D3102" t="n">
        <v>1</v>
      </c>
      <c r="E3102" t="n">
        <v>27</v>
      </c>
      <c r="F3102">
        <f>HYPERLINK("https://www.reddit.com/r/COVID19positive/comments/hqnqpr/my_dad_was_admitted_into_the_hospital/")</f>
        <v/>
      </c>
      <c r="G3102" t="inlineStr">
        <is>
          <t>2020-07-13 14:03:06</t>
        </is>
      </c>
      <c r="H3102" t="inlineStr">
        <is>
          <t>Tested Positive - Family</t>
        </is>
      </c>
    </row>
    <row r="3103">
      <c r="A3103" t="inlineStr">
        <is>
          <t>hqnv49</t>
        </is>
      </c>
      <c r="B3103" t="inlineStr">
        <is>
          <t>Tired of relapses... three months in, shortness of breath actually seems worse instead of better.</t>
        </is>
      </c>
      <c r="C3103" t="inlineStr">
        <is>
          <t>Long-hauler, tested positive in March, negative in April. Had only “mild” pneumonia but still can’t shake this constant tiredness and breathing issues.
If I take even a short walk, I’m coughing and fatigued the next day. Even when I’m rested, it seems like impossible to take a deep breath. I run out of breath just talking now - which is worse than a month ago, when I could at least talk and take small walks.
I thought I was on the slow path of recovery, but now I am getting scared that this is somehow worsening.
Not sure what I’m looking for with this post. Have another doc appointment next week. In the mean time... just trying not to panic, or feel so helpless. Thanks for reading.</t>
        </is>
      </c>
      <c r="D3103" t="n">
        <v>1</v>
      </c>
      <c r="E3103" t="n">
        <v>25</v>
      </c>
      <c r="F3103">
        <f>HYPERLINK("https://www.reddit.com/r/COVID19positive/comments/hqnv49/tired_of_relapses_three_months_in_shortness_of/")</f>
        <v/>
      </c>
      <c r="G3103" t="inlineStr">
        <is>
          <t>2020-07-13 14:09:25</t>
        </is>
      </c>
      <c r="H3103" t="inlineStr">
        <is>
          <t>Tested Positive</t>
        </is>
      </c>
    </row>
    <row r="3104">
      <c r="A3104" t="inlineStr">
        <is>
          <t>hqpdge</t>
        </is>
      </c>
      <c r="B3104" t="inlineStr">
        <is>
          <t>Anyone else annoyed/sad/outraged our antibodies don't seem to be worth a damn?</t>
        </is>
      </c>
      <c r="C3104" t="inlineStr">
        <is>
          <t>I've read several articles that show that antibodies aren't detectable in many folks a few months after they recover. 
Dammit.
I may have to go through this again?!
So much for herd immunity or even my own immunity. 
I'm seething. It's completely irrational, I realize, but to know that we survived and it may not protect us is crushing to me, and I am mad at [insert thing of your choice here] because this just doesn't seem right.
On top of it, the US is a nightmare for health care and your ability to have healthcare is tied to your job and if the virus keeps going we won't have jobs and then we will all die because we live in the most messed up of third world corrupt oligarchies. 
I'm angry. I'm really freaking angry.</t>
        </is>
      </c>
      <c r="D3104" t="n">
        <v>1</v>
      </c>
      <c r="E3104" t="n">
        <v>9</v>
      </c>
      <c r="F3104">
        <f>HYPERLINK("https://www.reddit.com/r/COVID19positive/comments/hqpdge/anyone_else_annoyedsadoutraged_our_antibodies/")</f>
        <v/>
      </c>
      <c r="G3104" t="inlineStr">
        <is>
          <t>2020-07-13 15:31:30</t>
        </is>
      </c>
      <c r="H3104" t="inlineStr">
        <is>
          <t>Presumed Positive - From Doctor</t>
        </is>
      </c>
    </row>
    <row r="3105">
      <c r="A3105" t="inlineStr">
        <is>
          <t>hqpoh9</t>
        </is>
      </c>
      <c r="B3105" t="inlineStr">
        <is>
          <t>Anxious about returning to work</t>
        </is>
      </c>
      <c r="C3105" t="inlineStr">
        <is>
          <t>I'll start with a brief description of my case. In my state they got ahead of the curve and managed to flatten out the cases during the initial wave. The state and city decided to reopen the bars and the gyms and after going through a break up and a rough few weeks I decided to go out with my friends because I was tired of feeling sad. Unfortunately the cases began to spike over the weekend due to people who were probably unaware they were sick or flat out did not care. My night out was 6/27. I started feeling a sore throat on Tuesday(6/30) evening around 8pm. The next morning the soreness persisted. It wasn't the worst, ive experienced more pain with strep throat. After a Google search revealed that sore throat was an early sign of covid-19, I wanted to be cautious so I self-isolated in my room for the whole day Wednesday (7/01). My sore throat was gone by 2pm Wednesday. After sleeping the majority of the day and waking up with what I thought was a mild fever I went I the next morning (7/02) to get tested. Because I had shown symptons the doctor informed me they would have to send my testing sample to one of the state labs rather than through the rapid results machine. They told me to expect results in 48 hours, and remain isolated until I was cleared. On Friday (07/03) evening around 7:30pm I received a call from the state informing me of a positive result. It was fourth of July weekend so I had to wait until Tuesday to have my over the phone interview with the state health officials. They continued to monitor my symtpons and I sent them my morning and evening temps daily. Thankfully since the sore throat the only other symtpon I noticed was a random cough throughout the day. It's typically worse when I wake up. I received a call from the state Saturday notifying me that I had been released from isolation and could go back to work as normal. Today I forwarded the letter to my employer because they had not received it yet, I asked if I could take the rest of my short term disability leave just to be on the safe side but because they received the letter I am required to go back to work. The health officials told me that the cough would linger for a few weeks but I was no longer contagious and as long as I wear a mask and wash my hands I'd be fine. They told me to be careful not to be re-infected. I guess I'm just anxious about returning to work after not even a full 14 days since my initial sore throat. I'm also worried it will cause my coworkers anxiety specially if they hear me coughing. Has anyone had any similar experiences?</t>
        </is>
      </c>
      <c r="D3105" t="n">
        <v>1</v>
      </c>
      <c r="E3105" t="n">
        <v>3</v>
      </c>
      <c r="F3105">
        <f>HYPERLINK("https://www.reddit.com/r/COVID19positive/comments/hqpoh9/anxious_about_returning_to_work/")</f>
        <v/>
      </c>
      <c r="G3105" t="inlineStr">
        <is>
          <t>2020-07-13 15:49:08</t>
        </is>
      </c>
      <c r="H3105" t="inlineStr">
        <is>
          <t>Tested Positive - Me</t>
        </is>
      </c>
    </row>
    <row r="3106">
      <c r="A3106" t="inlineStr">
        <is>
          <t>hqq2tz</t>
        </is>
      </c>
      <c r="B3106" t="inlineStr">
        <is>
          <t>Has anybody else STILL got palpitations after months?</t>
        </is>
      </c>
      <c r="C3106" t="inlineStr">
        <is>
          <t>I got infected in the beginning of March. I got hit bad by this thing, with the infection preceding severe pneumonia, which was confusing considering I'm 22 and in good shape, don't smoke etc. 
It's been months, and I've been through absolute hell, but thankfully I'm (almost) completely out of the woods. 
Despite some minor shortness of breath on random days, my only remaining symptom is heart palpitations, which happen a LOT more commonly than I've ever had before (I have anxiety disorder and was used to occasionally palpitations, but not like this). I'm getting them at least 5/6 times a day, completely randomly. Is this normal for pneumonia recovery? Is anyone else getting this? Thanks for the help in advance guys, and as always, fuck this disease.</t>
        </is>
      </c>
      <c r="D3106" t="n">
        <v>1</v>
      </c>
      <c r="E3106" t="n">
        <v>12</v>
      </c>
      <c r="F3106">
        <f>HYPERLINK("https://www.reddit.com/r/COVID19positive/comments/hqq2tz/has_anybody_else_still_got_palpitations_after/")</f>
        <v/>
      </c>
      <c r="G3106" t="inlineStr">
        <is>
          <t>2020-07-13 16:12:36</t>
        </is>
      </c>
      <c r="H3106" t="inlineStr">
        <is>
          <t>Tested Positive - Me</t>
        </is>
      </c>
    </row>
    <row r="3107">
      <c r="A3107" t="inlineStr">
        <is>
          <t>hqq62w</t>
        </is>
      </c>
      <c r="B3107" t="inlineStr">
        <is>
          <t>Hospital - yes or no? when?</t>
        </is>
      </c>
      <c r="C3107" t="inlineStr">
        <is>
          <t>Question: Can going to the hospital, when someone is very sick with this virus, be a bad move? Is there any situation in which staying at home is preferable, for someone whose situation is worsening? 
Context: My dad lives in Texas, in one of the counties that is slammed. He is getting to the point where it's getting harder to breathe at times -- his O2 is good with home monitor but lower than it was in previous days (93, from 95 baseline). The coughing is what makes it hard to breathe. And he has many other symptoms that show the virus is affecting him across the board. He has multiple issues (e.g. diabetes, ex smoker, and more). And I (who am a believer in science, in medicine, I gave twice birth in a hospital not at home, I trust doctors, vaccines, all that, but now I am confused and scared for him and his suffering) -- so I wonder -- truly, earnestly, desperately: would going to the hospital hasten death? Would going there leave him as patient #63 on a gurney in hallway b? Would being at home, sleeping in his bed, and possibly dying in comfort, where he can see the rustling of leaves outside his window and (selfishly -- I am biased, yes -- access his cell phone to hear the voices of his grandchildren) be better than being at the hospital, on a ventilator, and possibly dying there alone? Does the hospital ultimately lessen death chances of death for people like him - old, male, weak heart? 
It's his call, so really this is less about action or persuasion for me, and more about my own processing of the state he is in and of his options.
How does one know whether to opt for hospitalization versus care at home , as hospitalization increasingly became a viable option -- how have others made that decision? 
Thank you.</t>
        </is>
      </c>
      <c r="D3107" t="n">
        <v>1</v>
      </c>
      <c r="E3107" t="n">
        <v>8</v>
      </c>
      <c r="F3107">
        <f>HYPERLINK("https://www.reddit.com/r/COVID19positive/comments/hqq62w/hospital_yes_or_no_when/")</f>
        <v/>
      </c>
      <c r="G3107" t="inlineStr">
        <is>
          <t>2020-07-13 16:18:08</t>
        </is>
      </c>
      <c r="H3107" t="inlineStr">
        <is>
          <t>Tested Positive - Family</t>
        </is>
      </c>
    </row>
    <row r="3108">
      <c r="A3108" t="inlineStr">
        <is>
          <t>hqqelu</t>
        </is>
      </c>
      <c r="B3108" t="inlineStr">
        <is>
          <t>Mom, dad, and brother all tested positive within the last 5 days</t>
        </is>
      </c>
      <c r="C3108" t="inlineStr">
        <is>
          <t>My brother (20M) has a history of asthma, but is doing really well. He just has a slight cough and loss of taste and smell. 
My dad (45M) is doing okay(ish). He has been running fevers constantly and gets really bad headaches. 
My mom (45F) is doing the worst out of them all. She also has a history of asthma just like my brother. She has reported shortness of breath and muscle aches. She is taking breathing treatments every 4 hours. 
Both my mom and my dad have oxygen sats around 95-96%. The doctor says to go to the emergency room if they drop below 95%. They also both get super exhausted just from getting up and walking to the bathroom. 
I’m really scared for them :( I don’t live with them so I’m not really ever around them. I’m mostly scared for my mom because she has such an extensive past medical history and has a pretty crappy immune system. 
Any positive thoughts and/or prayers would be greatly appreciated.</t>
        </is>
      </c>
      <c r="D3108" t="n">
        <v>1</v>
      </c>
      <c r="E3108" t="n">
        <v>12</v>
      </c>
      <c r="F3108">
        <f>HYPERLINK("https://www.reddit.com/r/COVID19positive/comments/hqqelu/mom_dad_and_brother_all_tested_positive_within/")</f>
        <v/>
      </c>
      <c r="G3108" t="inlineStr">
        <is>
          <t>2020-07-13 16:32:05</t>
        </is>
      </c>
      <c r="H3108" t="inlineStr">
        <is>
          <t>Tested Positive - Family</t>
        </is>
      </c>
    </row>
    <row r="3109">
      <c r="A3109" t="inlineStr">
        <is>
          <t>hqqgtu</t>
        </is>
      </c>
      <c r="B3109" t="inlineStr">
        <is>
          <t>just tested positive</t>
        </is>
      </c>
      <c r="C3109" t="inlineStr">
        <is>
          <t>my dad was positive last thursday, and has been sick since last sunday. i just got my results back and i’m positive (which i already knew) i’ve been keeping a log of all of my symptoms to upload once i feel better for anyone else who has similar experiences to me. so far feels like the flu, worsened with anxiety</t>
        </is>
      </c>
      <c r="D3109" t="n">
        <v>1</v>
      </c>
      <c r="E3109" t="n">
        <v>6</v>
      </c>
      <c r="F3109">
        <f>HYPERLINK("https://www.reddit.com/r/COVID19positive/comments/hqqgtu/just_tested_positive/")</f>
        <v/>
      </c>
      <c r="G3109" t="inlineStr">
        <is>
          <t>2020-07-13 16:35:49</t>
        </is>
      </c>
      <c r="H3109" t="inlineStr">
        <is>
          <t>Tested Positive - Me</t>
        </is>
      </c>
    </row>
    <row r="3110">
      <c r="A3110" t="inlineStr">
        <is>
          <t>hqreb9</t>
        </is>
      </c>
      <c r="B3110" t="inlineStr">
        <is>
          <t>i feel like death.</t>
        </is>
      </c>
      <c r="C3110" t="inlineStr">
        <is>
          <t>everything hurts. i’m weak as hell. but i don’t have a fever and so far my oxygen is okay. 
i feel like i got ran over by a train. then a bus. then a car. 
like i’m short of breath. literally my organs hurt. my bones hurt. my muscles hurt. i keep getting headaches. i’m shaking. 
god i’m hungry but i also feel like puking up my goddamn guts. 
please someone tell me you feel like this. i’m not even coughing but GOD ALMIGHTY DO I FEEL LIKE CRAP. 
so far my smell and taste r chill 
like food tastes like food but i’m kinda losing my smell ( i have sinitis and a uti at the same time with this shit)
i don’t want this to kill me but i also don’t want this to kill my family. 
BUT BOY FLU LIKE MY ARSE.</t>
        </is>
      </c>
      <c r="D3110" t="n">
        <v>1</v>
      </c>
      <c r="E3110" t="n">
        <v>40</v>
      </c>
      <c r="F3110">
        <f>HYPERLINK("https://www.reddit.com/r/COVID19positive/comments/hqreb9/i_feel_like_death/")</f>
        <v/>
      </c>
      <c r="G3110" t="inlineStr">
        <is>
          <t>2020-07-13 17:32:52</t>
        </is>
      </c>
      <c r="H3110" t="inlineStr">
        <is>
          <t>Presumed Positive - From Doctor</t>
        </is>
      </c>
    </row>
    <row r="3111">
      <c r="A3111" t="inlineStr">
        <is>
          <t>hqrnfz</t>
        </is>
      </c>
      <c r="B3111" t="inlineStr">
        <is>
          <t>I’m getting tested tomorrow. Here are my symptoms.</t>
        </is>
      </c>
      <c r="C3111" t="inlineStr">
        <is>
          <t>I started having a bit of a headache yesterday afternoon. This morning I woke up still feeling exhausted, and the headache was persisting. Later today the headache has progressed into a migraine and it hurts so bad. I haven’t been coughing, no sore throat or fever - but I was exposed to someone that tested positive. So tomorrow I’ll be doing the rapid test. Anyone have any idea how accurate the test is?</t>
        </is>
      </c>
      <c r="D3111" t="n">
        <v>1</v>
      </c>
      <c r="E3111" t="n">
        <v>5</v>
      </c>
      <c r="F3111">
        <f>HYPERLINK("https://www.reddit.com/r/COVID19positive/comments/hqrnfz/im_getting_tested_tomorrow_here_are_my_symptoms/")</f>
        <v/>
      </c>
      <c r="G3111" t="inlineStr">
        <is>
          <t>2020-07-13 17:49:38</t>
        </is>
      </c>
      <c r="H3111" t="inlineStr">
        <is>
          <t>Tested Positive - Family</t>
        </is>
      </c>
    </row>
    <row r="3112">
      <c r="A3112" t="inlineStr">
        <is>
          <t>hqrqrx</t>
        </is>
      </c>
      <c r="B3112" t="inlineStr">
        <is>
          <t>Post covid care advice</t>
        </is>
      </c>
      <c r="C3112" t="inlineStr">
        <is>
          <t>Hi guys!
I tested positive 7/7 its been a week since my symptoms. Although, im not better i do feel as if i am getting better. 
With that being said, those who have healed what did you guys do about your home ? Cleaning wise and should i toss things like chapstick? As i feel better i want to clean up slowly. 
Thanks!</t>
        </is>
      </c>
      <c r="D3112" t="n">
        <v>1</v>
      </c>
      <c r="E3112" t="n">
        <v>10</v>
      </c>
      <c r="F3112">
        <f>HYPERLINK("https://www.reddit.com/r/COVID19positive/comments/hqrqrx/post_covid_care_advice/")</f>
        <v/>
      </c>
      <c r="G3112" t="inlineStr">
        <is>
          <t>2020-07-13 17:55:37</t>
        </is>
      </c>
      <c r="H3112" t="inlineStr">
        <is>
          <t>Tested Positive - Me</t>
        </is>
      </c>
    </row>
    <row r="3113">
      <c r="A3113" t="inlineStr">
        <is>
          <t>hqrw5v</t>
        </is>
      </c>
      <c r="B3113" t="inlineStr">
        <is>
          <t>Today is my dad's 14th day</t>
        </is>
      </c>
      <c r="C3113" t="inlineStr">
        <is>
          <t>Today was my father's (63) 14th day being positive. He was admitted to the hospital on 7/9 and was discharged on 7/11.  We decided to take him back to the ER 7/12 due to low blood oxygen levels. We was again discharged a few hours later. He was diagnosed with viral pneumonia and given an inhaler and cough medicine. His oxygen levels are around 90-91%. I'm worried this will get worse but there is a reason he was discharged twice. I don't know what to do.</t>
        </is>
      </c>
      <c r="D3113" t="n">
        <v>1</v>
      </c>
      <c r="E3113" t="n">
        <v>8</v>
      </c>
      <c r="F3113">
        <f>HYPERLINK("https://www.reddit.com/r/COVID19positive/comments/hqrw5v/today_is_my_dads_14th_day/")</f>
        <v/>
      </c>
      <c r="G3113" t="inlineStr">
        <is>
          <t>2020-07-13 18:05:10</t>
        </is>
      </c>
      <c r="H3113" t="inlineStr">
        <is>
          <t>Tested Positive - Family</t>
        </is>
      </c>
    </row>
    <row r="3114">
      <c r="A3114" t="inlineStr">
        <is>
          <t>hqs479</t>
        </is>
      </c>
      <c r="B3114" t="inlineStr">
        <is>
          <t>Contact with friend that got diagnosed positive, but asymptomatic, to covid 19</t>
        </is>
      </c>
      <c r="C3114" t="inlineStr">
        <is>
          <t>Good Evening Everybody!
We had a friend come over on a Sunday aprox a week and a half before his fiance got sick with covid 19 and he later was tested positive but no symptoms for him. They are both doing good.
Question though, the last two nights right around 7, 8pm I start feeling really cold with shivers, my throat hurts, feel like coughing like an itchy and have slight chest pain. Both days I woke up in the morning feeling fine again.
My question is: has anybody that was tested positive had symptoms come and go specially at certain hours of the day? 
Thanks in advance for any input!!</t>
        </is>
      </c>
      <c r="D3114" t="n">
        <v>1</v>
      </c>
      <c r="E3114" t="n">
        <v>2</v>
      </c>
      <c r="F3114">
        <f>HYPERLINK("https://www.reddit.com/r/COVID19positive/comments/hqs479/contact_with_friend_that_got_diagnosed_positive/")</f>
        <v/>
      </c>
      <c r="G3114" t="inlineStr">
        <is>
          <t>2020-07-13 18:19:36</t>
        </is>
      </c>
      <c r="H3114" t="inlineStr">
        <is>
          <t>Tested Positive - Friends</t>
        </is>
      </c>
    </row>
    <row r="3115">
      <c r="A3115" t="inlineStr">
        <is>
          <t>hqs5wi</t>
        </is>
      </c>
      <c r="B3115" t="inlineStr">
        <is>
          <t>Felt fine but then a coworker died</t>
        </is>
      </c>
      <c r="C3115" t="inlineStr">
        <is>
          <t>I’m not a confirmed covid yet, but I was running a fever and had a sore throat and cough on Friday (7-10). I work in an ER, and we’ve been inundated with covid the past few weeks. The PPE situation isn’t great, so I always thought I would probably get Covid eventually. I qualified to get tested, and now I’m just waiting to hear back.  
My symptoms have been pretty mild. I’ve had chills for a few nights, sore throat, cough at night and in the morning, sinus pressure, and on &amp;amp; off headaches. I only had a fever for one day. I was feeling pretty good about just riding this out with tea and toast and Netflix. And then a coworker died of covid today. She’s only a few years older than me and was the picture of health. She had mild symptoms and joked about playing Fear Factor with her kids, since she couldn’t taste or smell anything. She hadn’t had a cough or fever in a few days and was planning on coming back to work in 10 days. She went to the hospital for hypoxemia and died 8 hours later.  
I’m falling apart. I’m terrified I’m going to die. Every ache has me panicking that I’ve got a blood clot. I know I need time to chill out and come to terms with her death, but I’m so scared. I think I just needed a space to vent these fears. I don’t want to scare my kids or my husband. I will probably be just fine, and I don’t know 100% that I have covid. It’s just so devastating to see how quickly a young, healthy person can die from covid. I just feel so scared now.</t>
        </is>
      </c>
      <c r="D3115" t="n">
        <v>1</v>
      </c>
      <c r="E3115" t="n">
        <v>109</v>
      </c>
      <c r="F3115">
        <f>HYPERLINK("https://www.reddit.com/r/COVID19positive/comments/hqs5wi/felt_fine_but_then_a_coworker_died/")</f>
        <v/>
      </c>
      <c r="G3115" t="inlineStr">
        <is>
          <t>2020-07-13 18:22:34</t>
        </is>
      </c>
      <c r="H3115" t="inlineStr">
        <is>
          <t>Tested Positive - Friends</t>
        </is>
      </c>
    </row>
    <row r="3116">
      <c r="A3116" t="inlineStr">
        <is>
          <t>hqs9d6</t>
        </is>
      </c>
      <c r="B3116" t="inlineStr">
        <is>
          <t>Excruciating Stomach Pain - especially after trying to drink fluids</t>
        </is>
      </c>
      <c r="C3116" t="inlineStr">
        <is>
          <t>Can anyone attest to this?
I am on day 5 of a “mild case”. No respiratory symptoms.
Low fever for 1 day, just came back today.
All day today I have been experiencing excruciating abdominal pain, especially when trying to intake fluids.. water, Gatorade, etc
I vomitted earlier and have had a bit of diarrhea. It’s the stomach pain that scares me. Especially as it’s interfering with my hydration levels.
Has anyone else had this?</t>
        </is>
      </c>
      <c r="D3116" t="n">
        <v>1</v>
      </c>
      <c r="E3116" t="n">
        <v>11</v>
      </c>
      <c r="F3116">
        <f>HYPERLINK("https://www.reddit.com/r/COVID19positive/comments/hqs9d6/excruciating_stomach_pain_especially_after_trying/")</f>
        <v/>
      </c>
      <c r="G3116" t="inlineStr">
        <is>
          <t>2020-07-13 18:28:44</t>
        </is>
      </c>
      <c r="H3116" t="inlineStr">
        <is>
          <t>Tested Positive - Me</t>
        </is>
      </c>
    </row>
    <row r="3117">
      <c r="A3117" t="inlineStr">
        <is>
          <t>hqschg</t>
        </is>
      </c>
      <c r="B3117" t="inlineStr">
        <is>
          <t>Post viral treatment?</t>
        </is>
      </c>
      <c r="C3117" t="inlineStr">
        <is>
          <t>Close to 100 days and post viral is taking a beating
My fault for taking sun &amp;amp; trying to get back into the gym too soon. I heard a couple of people vouch for Genistein, I was wondering what you guys had luck with so far, I’ll try and add to this pole but it’s helpful to build some sort of wiki with peoples experiences
[View Poll](https://www.reddit.com/poll/hqschg)</t>
        </is>
      </c>
      <c r="D3117" t="n">
        <v>1</v>
      </c>
      <c r="E3117" t="n">
        <v>4</v>
      </c>
      <c r="F3117">
        <f>HYPERLINK("https://www.reddit.com/r/COVID19positive/comments/hqschg/post_viral_treatment/")</f>
        <v/>
      </c>
      <c r="G3117" t="inlineStr">
        <is>
          <t>2020-07-13 18:34:25</t>
        </is>
      </c>
      <c r="H3117" t="inlineStr">
        <is>
          <t>Presumed Positive - From Doctor</t>
        </is>
      </c>
    </row>
    <row r="3118">
      <c r="A3118" t="inlineStr">
        <is>
          <t>hqsos9</t>
        </is>
      </c>
      <c r="B3118" t="inlineStr">
        <is>
          <t>I think we all might have lupus please read</t>
        </is>
      </c>
      <c r="C3118" t="inlineStr">
        <is>
          <t>I got sick around February 26th, been sick since. 
Every COVID symptom(Tested positive) 
I realized that there’s no way I’m still sick in July. 
COVID 19 and lupus have the exact same symptoms (google) 
I am being tested for lupus now waiting for blood work. 
I go in the sun and get terrible fatigue, take hot showers, terrible rash that’s all over my face and back and fades after an hour. 
I can’t eat sugar or processed food at all, low carb diet. 
Mind you I never had lupus at all in my lifetime 
After I got COVID I think I got lupus or maybe the COVID is a lupus variant. 
It was made in a lab and no one knows what the fucks going on. But I did a lot of digging and it seems like we were all given a spreadable lupus virus 🦠 
I don’t think it’s crazy to believe at this point. I think we were unlucky and now we have lupus. 
The COVID 19 part of it subsided but the lupus part stays active. 
No more coughing just chest pain and fatigue and malaise (dizziness and mild fevers)
Tell me your thoughts</t>
        </is>
      </c>
      <c r="D3118" t="n">
        <v>1</v>
      </c>
      <c r="E3118" t="n">
        <v>19</v>
      </c>
      <c r="F3118">
        <f>HYPERLINK("https://www.reddit.com/r/COVID19positive/comments/hqsos9/i_think_we_all_might_have_lupus_please_read/")</f>
        <v/>
      </c>
      <c r="G3118" t="inlineStr">
        <is>
          <t>2020-07-13 18:57:11</t>
        </is>
      </c>
      <c r="H3118" t="inlineStr">
        <is>
          <t>Tested Positive</t>
        </is>
      </c>
    </row>
    <row r="3119">
      <c r="A3119" t="inlineStr">
        <is>
          <t>hqsxea</t>
        </is>
      </c>
      <c r="B3119" t="inlineStr">
        <is>
          <t>Day 11</t>
        </is>
      </c>
      <c r="C3119" t="inlineStr">
        <is>
          <t>Today, was an okay day (one of the better ones to say the least). Even tho I had a bit of diarrhea (it came back 🙄) &amp;amp; a bit of a sore throat &amp;amp; a little bit of rigors &amp;amp; chills. I feel so much better than I did these past couple of days. I’ve been staying hydrated (I never hydrated myself like I do now) &amp;amp; eating a lot less takeout &amp;amp; eating foods that are homemade (what foods does everyone suggest). I had a question for people quarantining? How does everyone clean their room? I have a carpet floor &amp;amp; I’m thinking about buying a dry vapor cleaner to clean my bed &amp;amp; carpets. Also what do you do about the trash? Do I buy some garbage bags? Please let me know, also A second doctor presumed me positive &amp;amp;  but tested negative on July 7th but want to get another test just to make sure I’m positive.</t>
        </is>
      </c>
      <c r="D3119" t="n">
        <v>1</v>
      </c>
      <c r="E3119" t="n">
        <v>2</v>
      </c>
      <c r="F3119">
        <f>HYPERLINK("https://www.reddit.com/r/COVID19positive/comments/hqsxea/day_11/")</f>
        <v/>
      </c>
      <c r="G3119" t="inlineStr">
        <is>
          <t>2020-07-13 19:13:23</t>
        </is>
      </c>
      <c r="H3119" t="inlineStr">
        <is>
          <t>Presumed Positive - From Doctor</t>
        </is>
      </c>
    </row>
    <row r="3120">
      <c r="A3120" t="inlineStr">
        <is>
          <t>hqszba</t>
        </is>
      </c>
      <c r="B3120" t="inlineStr">
        <is>
          <t>Have any of you experienced vaginal bleeding d/t covid?</t>
        </is>
      </c>
      <c r="C3120" t="inlineStr">
        <is>
          <t>I started having symptoms June 19th and tested positive a few days later. I started my period on the morning of June 19th, but it only lasted two days which is very odd for me. About a week later, I started bleeding again and haven’t stopped. I’m already anemic and I’m worried about blood loss. I’m going to make an appointment with PP tomorrow hopefully and it might not even be related to covid but it’s just so weird and lines up too well. I can’t find any evidence on this but it’s a novel virus and female-specific symptoms of any disease is often overlooked</t>
        </is>
      </c>
      <c r="D3120" t="n">
        <v>1</v>
      </c>
      <c r="E3120" t="n">
        <v>7</v>
      </c>
      <c r="F3120">
        <f>HYPERLINK("https://www.reddit.com/r/COVID19positive/comments/hqszba/have_any_of_you_experienced_vaginal_bleeding_dt/")</f>
        <v/>
      </c>
      <c r="G3120" t="inlineStr">
        <is>
          <t>2020-07-13 19:17:00</t>
        </is>
      </c>
      <c r="H3120" t="inlineStr">
        <is>
          <t>Tested Positive</t>
        </is>
      </c>
    </row>
    <row r="3121">
      <c r="A3121" t="inlineStr">
        <is>
          <t>hqtoqq</t>
        </is>
      </c>
      <c r="B3121" t="inlineStr">
        <is>
          <t>Covid again, or just a reappearance of symptoms?</t>
        </is>
      </c>
      <c r="C3121" t="inlineStr">
        <is>
          <t>I got a stuffy nose and some pretty extreme exhaustion about a month ago and received a positive test. I started to feel better after 10 days or so, got a negative test, and stopped isolating per CDC guidelines. It took me about a week to be totally up to par but since then I've been slowly starting to work out and get back to a normal life. 
Yesterday I felt that general malaise and clogged nose yet again, and sure enough, I felt a bit of the old exhaustion today. I was supposed to go home to my family soon and now I'm scared that I'm not going to be good enough to go. Has anyone else experienced a resurgence of symptoms? I had a much harder workout a few days ago and haven't been sleeping great, could I have just overdone it? Is it possible I caught it again and am infectious once more in such a short period?
I'm so frustrated. I wore a mask, I washed my hands, I distanced. I thought I was being safe. Last time I gave it to my boyfriend and screwed up all his plans, scared all my friends. I'll be so ashamed if I've done it again.</t>
        </is>
      </c>
      <c r="D3121" t="n">
        <v>1</v>
      </c>
      <c r="E3121" t="n">
        <v>3</v>
      </c>
      <c r="F3121">
        <f>HYPERLINK("https://www.reddit.com/r/COVID19positive/comments/hqtoqq/covid_again_or_just_a_reappearance_of_symptoms/")</f>
        <v/>
      </c>
      <c r="G3121" t="inlineStr">
        <is>
          <t>2020-07-13 20:04:55</t>
        </is>
      </c>
      <c r="H3121" t="inlineStr">
        <is>
          <t>Tested Positive - Me</t>
        </is>
      </c>
    </row>
    <row r="3122">
      <c r="A3122" t="inlineStr">
        <is>
          <t>hqtued</t>
        </is>
      </c>
      <c r="B3122" t="inlineStr">
        <is>
          <t>NO SMELL!! But there’s HOPE</t>
        </is>
      </c>
      <c r="C3122" t="inlineStr">
        <is>
          <t>So i started having symptoms 7/2, I had a fever and a major headache. Fever went up to 100.1 and then came down. I slept the entire day. 
The next day, i lost all smell!! That’s when i knew COVID hit me. 
7/4 my fever went away and I was starting to feel fine. I had a little shortness of breath but manageable. 
7/8 I started to feel my senses come back like 5%. 
Now, today I feel completely fine. Smell is 60% back and i feel it coming back more and more! 
There’s hope!</t>
        </is>
      </c>
      <c r="D3122" t="n">
        <v>1</v>
      </c>
      <c r="E3122" t="n">
        <v>10</v>
      </c>
      <c r="F3122">
        <f>HYPERLINK("https://www.reddit.com/r/COVID19positive/comments/hqtued/no_smell_but_theres_hope/")</f>
        <v/>
      </c>
      <c r="G3122" t="inlineStr">
        <is>
          <t>2020-07-13 20:15:35</t>
        </is>
      </c>
      <c r="H3122" t="inlineStr">
        <is>
          <t>Tested Positive - Me</t>
        </is>
      </c>
    </row>
    <row r="3123">
      <c r="A3123" t="inlineStr">
        <is>
          <t>hqu4dq</t>
        </is>
      </c>
      <c r="B3123" t="inlineStr">
        <is>
          <t>Regaining smell and taste?</t>
        </is>
      </c>
      <c r="C3123" t="inlineStr">
        <is>
          <t>How long did it take for your senses to return? I can’t taste anything at all but if I get really close to something strong, I get a slight whiff of it through my right nostril. I’ve been trying to breathe in some steam to help with sinus pressure, also.</t>
        </is>
      </c>
      <c r="D3123" t="n">
        <v>1</v>
      </c>
      <c r="E3123" t="n">
        <v>9</v>
      </c>
      <c r="F3123">
        <f>HYPERLINK("https://www.reddit.com/r/COVID19positive/comments/hqu4dq/regaining_smell_and_taste/")</f>
        <v/>
      </c>
      <c r="G3123" t="inlineStr">
        <is>
          <t>2020-07-13 20:34:45</t>
        </is>
      </c>
      <c r="H3123" t="inlineStr">
        <is>
          <t>Presumed Positive - From Test</t>
        </is>
      </c>
    </row>
    <row r="3124">
      <c r="A3124" t="inlineStr">
        <is>
          <t>hqud86</t>
        </is>
      </c>
      <c r="B3124" t="inlineStr">
        <is>
          <t>Cardiac symptoms with COVID??</t>
        </is>
      </c>
      <c r="C3124" t="inlineStr">
        <is>
          <t>So I'm feeling a persistent sharp pain in my chest and cheesy tightness after what felt like my heart jump starting. My BP is 135/105 as of now. My diastolic pressure has been ranging from 40s-100s now. I feel like I'm burning up a bit too but I don't think I have fever now that I've sweated out. I'm not sure if I should go to the ER or not. I'm also feeling nauseous with migraine and a tinnitus that won't go away</t>
        </is>
      </c>
      <c r="D3124" t="n">
        <v>1</v>
      </c>
      <c r="E3124" t="n">
        <v>15</v>
      </c>
      <c r="F3124">
        <f>HYPERLINK("https://www.reddit.com/r/COVID19positive/comments/hqud86/cardiac_symptoms_with_covid/")</f>
        <v/>
      </c>
      <c r="G3124" t="inlineStr">
        <is>
          <t>2020-07-13 20:51:59</t>
        </is>
      </c>
      <c r="H3124" t="inlineStr">
        <is>
          <t>Presumed Positive - From Test</t>
        </is>
      </c>
    </row>
    <row r="3125">
      <c r="A3125" t="inlineStr">
        <is>
          <t>hquf6l</t>
        </is>
      </c>
      <c r="B3125" t="inlineStr">
        <is>
          <t>Has anyone had brain fog during recovery?</t>
        </is>
      </c>
      <c r="C3125" t="inlineStr">
        <is>
          <t>I tested positive June 29th and it felt like the worst was over but here lately I’ve felt “off”
I’m having trouble concentrating and I feel pretty tired all day. I talked to a doctor about it and he said it will go away with time. I do t know about anyone else but I have a lot of health anxiety and the slightest change in my body scares the fuck out of me. I’m just wondering if anyone else feels the same and if anything is helping. Much thanks.</t>
        </is>
      </c>
      <c r="D3125" t="n">
        <v>1</v>
      </c>
      <c r="E3125" t="n">
        <v>7</v>
      </c>
      <c r="F3125">
        <f>HYPERLINK("https://www.reddit.com/r/COVID19positive/comments/hquf6l/has_anyone_had_brain_fog_during_recovery/")</f>
        <v/>
      </c>
      <c r="G3125" t="inlineStr">
        <is>
          <t>2020-07-13 20:55:51</t>
        </is>
      </c>
      <c r="H3125" t="inlineStr">
        <is>
          <t>Tested Positive - Me</t>
        </is>
      </c>
    </row>
    <row r="3126">
      <c r="A3126" t="inlineStr">
        <is>
          <t>hquh3c</t>
        </is>
      </c>
      <c r="B3126" t="inlineStr">
        <is>
          <t>Covid-positive Hypochondriac</t>
        </is>
      </c>
      <c r="C3126" t="inlineStr">
        <is>
          <t>Hi, I’m just looking for people who have had it and recovered, looking for some reassurance. I’m in therapy for hypochondria, and have avoided the virus like the plague since January - back when no one even cared. I don’t even go to grocery stores. I am sick, and tested positive, and I can’t calm down. I’m 25 and healthy-ish, have an ear disease and POTS (Heart and blood pressure stuff) but others than that pretty well. Just looking for folks who have survived it a-ok because I can’t stop panicking about it. I have a pulse oximeter too, so that kinda makes me feel better. Hospitals where I am are pretty full and that really adds to panic :/ any insight appreciated</t>
        </is>
      </c>
      <c r="D3126" t="n">
        <v>1</v>
      </c>
      <c r="E3126" t="n">
        <v>7</v>
      </c>
      <c r="F3126">
        <f>HYPERLINK("https://www.reddit.com/r/COVID19positive/comments/hquh3c/covidpositive_hypochondriac/")</f>
        <v/>
      </c>
      <c r="G3126" t="inlineStr">
        <is>
          <t>2020-07-13 20:59:50</t>
        </is>
      </c>
      <c r="H3126" t="inlineStr">
        <is>
          <t>Tested Positive - Me</t>
        </is>
      </c>
    </row>
    <row r="3127">
      <c r="A3127" t="inlineStr">
        <is>
          <t>hqupqv</t>
        </is>
      </c>
      <c r="B3127" t="inlineStr">
        <is>
          <t>I’m just so nervous and guilty</t>
        </is>
      </c>
      <c r="C3127" t="inlineStr">
        <is>
          <t>I (18F) woke up two days ago with the sorest lymph nodes on earth, called the doctor thinking it was nothing and today I woke up with a call saying I’m presumptive positive. I’m afraid, as each new symptom comes on I get more and more afraid of the risks and how me being a little chubby (30 BMI) could kill me. I’m afraid that I got my parents, who are in their early 60’s sick, and I’m afraid I got some innocent person sick. I masked up, I did everything I was supposed to and I still got sick. 
I don’t know what to do.</t>
        </is>
      </c>
      <c r="D3127" t="n">
        <v>1</v>
      </c>
      <c r="E3127" t="n">
        <v>15</v>
      </c>
      <c r="F3127">
        <f>HYPERLINK("https://www.reddit.com/r/COVID19positive/comments/hqupqv/im_just_so_nervous_and_guilty/")</f>
        <v/>
      </c>
      <c r="G3127" t="inlineStr">
        <is>
          <t>2020-07-13 21:16:40</t>
        </is>
      </c>
      <c r="H3127" t="inlineStr">
        <is>
          <t>Tested Positive - Me</t>
        </is>
      </c>
    </row>
    <row r="3128">
      <c r="A3128" t="inlineStr">
        <is>
          <t>hquy75</t>
        </is>
      </c>
      <c r="B3128" t="inlineStr">
        <is>
          <t>Dad Tested Positive, I likely Will Too.</t>
        </is>
      </c>
      <c r="C3128" t="inlineStr">
        <is>
          <t>**Hey, so Im 29, I have taken Covid very seriously since January, my parents have not. Two weeks ago guy came into my dads office, he had been working from home but he needed to grab something, he was apparently sick and this friday tested positive. My dad started getting symptoms saturday, his symptoms so far are minor, only a minor sore throat and minor cough, he finally went and got a rapid test after 3 days of complaining, and tested positive.** 
I am super nervous now to get it. Even now they arent taking it seriously, they are taking the absolute bare minimum precautions, but not much. At this point im more worried about myself. I dont have any known serious conditions, but I have had something causing me extreme fatigue for about 2 years that doctors never bother to try and figure out, they just blame anxiety even though I suspect its adrenal fatigue or something along those lines and a hiatal hernia. But the symptoms are enough that I wouldnt be able to tell minor Covid from what I normally get because I generally feel bad. I am getting a test tomorrow, but I am super nervous now. I've kept myself calm and informed on the virus to this point, but now that its actually in my home I am very on edge.</t>
        </is>
      </c>
      <c r="D3128" t="n">
        <v>1</v>
      </c>
      <c r="E3128" t="n">
        <v>7</v>
      </c>
      <c r="F3128">
        <f>HYPERLINK("https://www.reddit.com/r/COVID19positive/comments/hquy75/dad_tested_positive_i_likely_will_too/")</f>
        <v/>
      </c>
      <c r="G3128" t="inlineStr">
        <is>
          <t>2020-07-13 21:33:19</t>
        </is>
      </c>
      <c r="H3128" t="inlineStr">
        <is>
          <t>Tested Positive - Family</t>
        </is>
      </c>
    </row>
    <row r="3129">
      <c r="A3129" t="inlineStr">
        <is>
          <t>hquyvo</t>
        </is>
      </c>
      <c r="B3129" t="inlineStr">
        <is>
          <t>Just a whole bunch of feelings on COVID</t>
        </is>
      </c>
      <c r="C3129" t="inlineStr">
        <is>
          <t>So last week I tested positive for COVID. I live with my wife and 3 month old daughter and have been quarantined to our bedroom now for 8 days. Mentally I think its draining me even though the majority of my symptoms are gone. 
On the whole process of COVID for me symptoms were extremely mild. 7/3 I experienced some small headaches nothing that didn't go away Tylenol. Overnight and on the morning of the 4th I then had the chills, and my head aches got more intense. I had a fever that morning and stayed home in bed to rest. This is the day we treated it with quarantining me. I haven't ran a fever since then. I coughed here and there but to be honest it was nothing abnormal for me being an asthmatic. Some people have mentioned losing all taste and smell and I can't say that for me. 
Last week as soon as I started to show symptoms I was quarantined to our room. My wife is now solely responsible for taking care of the baby. Trying to ignore the baby crying and stay in my room has already been a mission on its own but I also know its more difficult for her with me being the main person to cook and clean and also assist with the baby. 
Today my wife revived her test results today that shes negative. I feel mixed about that personally because had she of also been positive I would have been able to leave the room to help with the baby and maybe actually cook a meal and feel like less of a prisoner in my own home.  I'm happy that shes negative mainly because shes breast feeding our daughter but it means I have to stay quarantined in our room longer. We also discussed obviously if we were both positive we would have to contact our pediatrician and both take steps to limit our daughters risk but now it looks like I'll be   
I have my first chance to be tested again on Wednesday but also I'm hearing some people are still testing positive 3 weeks to a month later after their first initial test. This alone is stressful and depressing let alone me trying to figure out how this will affect my work and my job afterwards.</t>
        </is>
      </c>
      <c r="D3129" t="n">
        <v>1</v>
      </c>
      <c r="E3129" t="n">
        <v>9</v>
      </c>
      <c r="F3129">
        <f>HYPERLINK("https://www.reddit.com/r/COVID19positive/comments/hquyvo/just_a_whole_bunch_of_feelings_on_covid/")</f>
        <v/>
      </c>
      <c r="G3129" t="inlineStr">
        <is>
          <t>2020-07-13 21:34:42</t>
        </is>
      </c>
      <c r="H3129" t="inlineStr">
        <is>
          <t>Tested Positive - Me</t>
        </is>
      </c>
    </row>
    <row r="3130">
      <c r="A3130" t="inlineStr">
        <is>
          <t>hqvdi0</t>
        </is>
      </c>
      <c r="B3130" t="inlineStr">
        <is>
          <t>Just a quick rant about people. I got it from someone that knew they were sick.</t>
        </is>
      </c>
      <c r="C3130" t="inlineStr">
        <is>
          <t>I am on day 28 since infection, I got better for a week and now I had this sudden pinches and aches on the back on my head and lower back, also pretty sure I am developing pneumonia.
I was a healthy person that just wanted to help a couple of elder neighbors. They had an emergency with a leak in the house and here I went, after religious quarantine and much effort, tools in hand and mask on, to the house of this people that did not wear masks. The man looked sickly, he tried to hide in the room, but I heard a cough and I knew I made a mistake right there and then. I asked if they were ok. she said: " yes, all is good, thanks for fixing the leak".
That late evening I see an ambulance pulling in, taking the man. I get the news from another neighbor that he was at the hospital with pneumonia. I started feeling symptoms 5 days later, she ended up taken to the hospital too. a week ago I was told by text while I quarantined battling covid that the man died and the woman is still in a covid ward.
Now I am left battling this not knowing if i will get long term issues, all because I wanted to help this people.
I started with headache, low fever, chills, cold sensation, body aches and EXTREME dizziness. Two to three weeks later now I start feeling the respiratory symptoms. Sore throat, heavy chest, short breath. I am in my mid forties, this is BS, just wanted to rant.  
If I had to do it again I would never help them, they just wanted someone right then and there and could not find a contractor, why? because this guys can make you liable for your lies!  
Can anyone tell me what to expect, where this is headed from here? Should I go to the ER or doctor? My chest feels so heavy and the aches are bad, the throat is getting worse too by the hour. Is it normal to feel this symptoms so far after infection? It is 3 and a half weeks since first symptoms. Thank you.</t>
        </is>
      </c>
      <c r="D3130" t="n">
        <v>1</v>
      </c>
      <c r="E3130" t="n">
        <v>87</v>
      </c>
      <c r="F3130">
        <f>HYPERLINK("https://www.reddit.com/r/COVID19positive/comments/hqvdi0/just_a_quick_rant_about_people_i_got_it_from/")</f>
        <v/>
      </c>
      <c r="G3130" t="inlineStr">
        <is>
          <t>2020-07-13 22:05:43</t>
        </is>
      </c>
      <c r="H3130" t="inlineStr">
        <is>
          <t>Tested Positive - Me</t>
        </is>
      </c>
    </row>
    <row r="3131">
      <c r="A3131" t="inlineStr">
        <is>
          <t>hqvgwj</t>
        </is>
      </c>
      <c r="B3131" t="inlineStr">
        <is>
          <t>Does it get better before it gets worse?</t>
        </is>
      </c>
      <c r="C3131" t="inlineStr">
        <is>
          <t>My dad tested positive for Covid19 yesterday after having symptoms for 3 days. My siblings and mom haven’t had any symptoms, and so far my dad’s symptoms have been:
- sinus drip
- occasional cough (due to nasal fluids running down his throat constantly)
- fatigue
- headache
- body aches
- weird smell in nose
- chest tightness (but is unsure if it’s from anxiety or from covid)
He can still taste, has no fever. He says he feels pretty good overall. I’m hoping this is the extent of his symptoms and that it doesn’t get worse... but has anyone heard of a person getting better before going downhill??</t>
        </is>
      </c>
      <c r="D3131" t="n">
        <v>1</v>
      </c>
      <c r="E3131" t="n">
        <v>5</v>
      </c>
      <c r="F3131">
        <f>HYPERLINK("https://www.reddit.com/r/COVID19positive/comments/hqvgwj/does_it_get_better_before_it_gets_worse/")</f>
        <v/>
      </c>
      <c r="G3131" t="inlineStr">
        <is>
          <t>2020-07-13 22:13:00</t>
        </is>
      </c>
      <c r="H3131" t="inlineStr">
        <is>
          <t>Tested Positive - Family</t>
        </is>
      </c>
    </row>
    <row r="3132">
      <c r="A3132" t="inlineStr">
        <is>
          <t>hqw4p9</t>
        </is>
      </c>
      <c r="B3132" t="inlineStr">
        <is>
          <t>I’m so done with this virus.</t>
        </is>
      </c>
      <c r="C3132" t="inlineStr">
        <is>
          <t>Tested positive about a month ago my only symptoms were fever (for one day) severe headaches, fatigue, and just a weird feeling overall. Recently got re-tested and guess what... I am still positive even tho I feel fine. I have no cough, no fever, no sob, nothing. I wish this shit would just leave me alone I’m emotionally drained.</t>
        </is>
      </c>
      <c r="D3132" t="n">
        <v>1</v>
      </c>
      <c r="E3132" t="n">
        <v>9</v>
      </c>
      <c r="F3132">
        <f>HYPERLINK("https://www.reddit.com/r/COVID19positive/comments/hqw4p9/im_so_done_with_this_virus/")</f>
        <v/>
      </c>
      <c r="G3132" t="inlineStr">
        <is>
          <t>2020-07-13 23:04:54</t>
        </is>
      </c>
      <c r="H3132" t="inlineStr">
        <is>
          <t>Tested Positive</t>
        </is>
      </c>
    </row>
    <row r="3133">
      <c r="A3133" t="inlineStr">
        <is>
          <t>hqwwn3</t>
        </is>
      </c>
      <c r="B3133" t="inlineStr">
        <is>
          <t>Oximeter is going up and down</t>
        </is>
      </c>
      <c r="C3133" t="inlineStr">
        <is>
          <t>I’m on day 10 since I was infected by a friend and since day 7 I’ve been having a hard time taking a deep breath. It causes a weird pain in my throat. I have no other symptoms besides that. I have a pulse oximeter that I wear regularly to monitor myself and I’ve noticed that usually I’m between 96-99 but if I’m doing anything like talking with a mask on, walking, or just making my bed, the oximeter will drop to 91-92. I usually stop and take a few calming breaths and it goes back up to the normal range but I’m worried if I should go to urgent care or the hospital for this?</t>
        </is>
      </c>
      <c r="D3133" t="n">
        <v>1</v>
      </c>
      <c r="E3133" t="n">
        <v>11</v>
      </c>
      <c r="F3133">
        <f>HYPERLINK("https://www.reddit.com/r/COVID19positive/comments/hqwwn3/oximeter_is_going_up_and_down/")</f>
        <v/>
      </c>
      <c r="G3133" t="inlineStr">
        <is>
          <t>2020-07-14 00:11:24</t>
        </is>
      </c>
      <c r="H3133" t="inlineStr">
        <is>
          <t>Tested Positive - Me</t>
        </is>
      </c>
    </row>
    <row r="3134">
      <c r="A3134" t="inlineStr">
        <is>
          <t>hqwywy</t>
        </is>
      </c>
      <c r="B3134" t="inlineStr">
        <is>
          <t>Smoking Marijuana</t>
        </is>
      </c>
      <c r="C3134" t="inlineStr">
        <is>
          <t>My partner tested positive. Symptoms shows july 3rd, high fever and chills from july 4-7th. Went to get testing on friday july 10th and got results this morning (july 13).
Kids and i have no symptoms and we made appointments this week.
My partner had no symptoms since thursday night and he is still smoking pot. Any pot users here and your experience? Should we monitor longer since everyone saids you might feel better but get sick again.</t>
        </is>
      </c>
      <c r="D3134" t="n">
        <v>1</v>
      </c>
      <c r="E3134" t="n">
        <v>3</v>
      </c>
      <c r="F3134">
        <f>HYPERLINK("https://www.reddit.com/r/COVID19positive/comments/hqwywy/smoking_marijuana/")</f>
        <v/>
      </c>
      <c r="G3134" t="inlineStr">
        <is>
          <t>2020-07-14 00:17:07</t>
        </is>
      </c>
      <c r="H3134" t="inlineStr">
        <is>
          <t>Tested Positive - Family</t>
        </is>
      </c>
    </row>
    <row r="3135">
      <c r="A3135" t="inlineStr">
        <is>
          <t>hqxh07</t>
        </is>
      </c>
      <c r="B3135" t="inlineStr">
        <is>
          <t>I’m scared</t>
        </is>
      </c>
      <c r="C3135" t="inlineStr">
        <is>
          <t>Just got results in today.  Never thought it would happen to me.  Went to the hospital with fever only, sweating at 102 degrees.
I have no more fever or body aches.  I feel great except for mucus.  I do have asthma and am coughing a lot.
I am on antibiotics and other meds. 
Hope all of you are safe and well.</t>
        </is>
      </c>
      <c r="D3135" t="n">
        <v>1</v>
      </c>
      <c r="E3135" t="n">
        <v>8</v>
      </c>
      <c r="F3135">
        <f>HYPERLINK("https://www.reddit.com/r/COVID19positive/comments/hqxh07/im_scared/")</f>
        <v/>
      </c>
      <c r="G3135" t="inlineStr">
        <is>
          <t>2020-07-14 01:02:06</t>
        </is>
      </c>
      <c r="H3135" t="inlineStr">
        <is>
          <t>Tested Positive - Me</t>
        </is>
      </c>
    </row>
    <row r="3136">
      <c r="A3136" t="inlineStr">
        <is>
          <t>hqxl4m</t>
        </is>
      </c>
      <c r="B3136" t="inlineStr">
        <is>
          <t>Dizziness/Vertigo</t>
        </is>
      </c>
      <c r="C3136" t="inlineStr">
        <is>
          <t>I (18M) have been taking a heavy dosage of medicine for 3 days now.. I started feeling extremely dizzy since yesterday night.. Right now I feel like I’m gonna fall whenever I start walking.. When I’m sitting down I don’t feel my head.. I’ve had a spoon of honey and smelt alcohol but still nothing changes.. What should I do? Should I go take a shower? Or should i sleep for a bit? Help please!</t>
        </is>
      </c>
      <c r="D3136" t="n">
        <v>1</v>
      </c>
      <c r="E3136" t="n">
        <v>2</v>
      </c>
      <c r="F3136">
        <f>HYPERLINK("https://www.reddit.com/r/COVID19positive/comments/hqxl4m/dizzinessvertigo/")</f>
        <v/>
      </c>
      <c r="G3136" t="inlineStr">
        <is>
          <t>2020-07-14 01:12:02</t>
        </is>
      </c>
      <c r="H3136" t="inlineStr">
        <is>
          <t>Tested Positive</t>
        </is>
      </c>
    </row>
    <row r="3137">
      <c r="A3137" t="inlineStr">
        <is>
          <t>hqy9s0</t>
        </is>
      </c>
      <c r="B3137" t="inlineStr">
        <is>
          <t>Job not requiring negative retest, just 14 days of isolation</t>
        </is>
      </c>
      <c r="C3137" t="inlineStr">
        <is>
          <t>I know I post quite frequently here but the support and rapport I've found here is amazing. This will probably be my last thread until my next test as I want to contribute to the variety of cases. But this shit here worries me.
I live in Texas. Had symptoms on the 2nd, tested positive on the 9th. Just headache and chest congestion. My job has had an outbreak. Over 20 cases and GROWING! I work at a factory and they are not requiring a negative retest in order for those who tested positive to return. Now this scares tf outta me because I do not want to catch this again. I feel extremely lucky this go round. But who's to say that I'll be blessed again like that? So I'm just wondering on what my next steps should be. They obviously don't wanna require a retest because they pay you while off if you test positive but this thing can linger on and my job is damn near shoulder to shoulder. Just looking for advice as the Monday after next is when I'm set to return.</t>
        </is>
      </c>
      <c r="D3137" t="n">
        <v>1</v>
      </c>
      <c r="E3137" t="n">
        <v>10</v>
      </c>
      <c r="F3137">
        <f>HYPERLINK("https://www.reddit.com/r/COVID19positive/comments/hqy9s0/job_not_requiring_negative_retest_just_14_days_of/")</f>
        <v/>
      </c>
      <c r="G3137" t="inlineStr">
        <is>
          <t>2020-07-14 02:13:28</t>
        </is>
      </c>
      <c r="H3137" t="inlineStr">
        <is>
          <t>Tested Positive - Me</t>
        </is>
      </c>
    </row>
    <row r="3138">
      <c r="A3138" t="inlineStr">
        <is>
          <t>hqyiio</t>
        </is>
      </c>
      <c r="B3138" t="inlineStr">
        <is>
          <t>In recovery , when it’s safe to visit my elderly mom ?</t>
        </is>
      </c>
      <c r="C3138" t="inlineStr">
        <is>
          <t>I was exposed 27/28 June during international travel to visit my mom ( lost my brother suddenly), Tested positive 3 July without symptoms out of caution . Tested negative 11 July . 
I have quarantined in an empty apartment, since my very arrival- out of caution, and have seen no other human being except medical professionals. ( painful experience🥺)
Was a very mild case . Only shortness of breath , less Oxygen level than usual, tachycardia, more blocked nose than usual , 0.5 degree fever, sneeze , a bit of phlegm, heavy chest. 
CT scans have been normal ( done 2 scans, a few days apart). Comprehensive blood tests were fine too ( 2 sets , a few days apart). And anti body tests were negative but it’s too early . 
All symptoms resolved , except blocked nose which I always have , long before covid . And fatigue . 
When it’s safe to visit my mom ? All of my specialists ( have a few ) say it’s ok to leave quarantine if my second test is negative . But I cannot take any risk when it comes to my ♥️ mom ♥️.
Any personal experience with elderly or at risk family members? Will u pls elaborate? Thank you !
Also can u pls suggest any reference ?</t>
        </is>
      </c>
      <c r="D3138" t="n">
        <v>1</v>
      </c>
      <c r="E3138" t="n">
        <v>2</v>
      </c>
      <c r="F3138">
        <f>HYPERLINK("https://www.reddit.com/r/COVID19positive/comments/hqyiio/in_recovery_when_its_safe_to_visit_my_elderly_mom/")</f>
        <v/>
      </c>
      <c r="G3138" t="inlineStr">
        <is>
          <t>2020-07-14 02:35:28</t>
        </is>
      </c>
      <c r="H3138" t="inlineStr">
        <is>
          <t>Tested Positive - Me</t>
        </is>
      </c>
    </row>
    <row r="3139">
      <c r="A3139" t="inlineStr">
        <is>
          <t>hqzagu</t>
        </is>
      </c>
      <c r="B3139" t="inlineStr">
        <is>
          <t>How Long did you test positive?</t>
        </is>
      </c>
      <c r="C3139" t="inlineStr">
        <is>
          <t>Didn’t even know I had covid (mild headache and nasal congestion) did not go get tested when I had these symptoms thought allergies. Workplace required testing and I tested positive a week after symptoms.  Waited 10 days, still no other symptoms Re tested and still positive. Could I potentially get symptoms again later since mine were so mild at the start. How long will I test positive seems like even the Doctors are stumped.</t>
        </is>
      </c>
      <c r="D3139" t="n">
        <v>1</v>
      </c>
      <c r="E3139" t="n">
        <v>9</v>
      </c>
      <c r="F3139">
        <f>HYPERLINK("https://www.reddit.com/r/COVID19positive/comments/hqzagu/how_long_did_you_test_positive/")</f>
        <v/>
      </c>
      <c r="G3139" t="inlineStr">
        <is>
          <t>2020-07-14 03:46:46</t>
        </is>
      </c>
      <c r="H3139" t="inlineStr">
        <is>
          <t>Tested Positive - Me</t>
        </is>
      </c>
    </row>
    <row r="3140">
      <c r="A3140" t="inlineStr">
        <is>
          <t>hqzf88</t>
        </is>
      </c>
      <c r="B3140" t="inlineStr">
        <is>
          <t>Been having racing heart, shortness of breath, and circulation/tingling issues on and off for about a week now</t>
        </is>
      </c>
      <c r="C3140" t="inlineStr">
        <is>
          <t>People keep telling me it’s anxiety. I went to the doctor on Sunday and they told me it was anxiety, but then again that’s what I told them. They only gave me some hydroxyzine and told me to take some gas x for my bloating and was sent on my merry way home. I was doing fine yesterday but the symptoms I describe in title returned a few hours ago and I’m tired of it. It’s so scary. It feels like I’m gonna die. I really did try to distract myself by watching funny YouTube videos and I even took the hydroxyzine so I wouldn’t get “anxious” yet I still am. Has anyone else had similar symptoms?</t>
        </is>
      </c>
      <c r="D3140" t="n">
        <v>4</v>
      </c>
      <c r="E3140" t="n">
        <v>38</v>
      </c>
      <c r="F3140">
        <f>HYPERLINK("https://www.reddit.com/r/COVID19positive/comments/hqzf88/been_having_racing_heart_shortness_of_breath_and/")</f>
        <v/>
      </c>
      <c r="G3140" t="inlineStr">
        <is>
          <t>2020-07-14 03:59:02</t>
        </is>
      </c>
      <c r="H3140" t="inlineStr">
        <is>
          <t>Presumed Positive - From Test</t>
        </is>
      </c>
    </row>
    <row r="3141">
      <c r="A3141" t="inlineStr">
        <is>
          <t>hr0fd5</t>
        </is>
      </c>
      <c r="B3141" t="inlineStr">
        <is>
          <t>Urgent help regarding coronavirus needed. Please help. (Serious)</t>
        </is>
      </c>
      <c r="C3141" t="inlineStr">
        <is>
          <t>**My dad has been tested positive for Coronavirus and my family need help and useful information**
**2nd july:** My dad was feeling really tired and got a fever of 102°. We did the test , consulted the doctor and it turned out to be typhoid. He took his medication and all, then he started to feel good and kinda healthy. Things were looking good.
**9th july:** My dad was having trouble breathing, he was feeling a lot cold, fever returned. A friend of mine who is also a doctor came in to check on dad and for next four days he visited regularly in morning and his associate nurse during night. 
He attached an i.v to my dad and glucose was given along with other medication and injections on both morning and nighttime 
**12th july:** my dad was taken for a CT scan and check ups and an oxygen tank was brought around 9 p.m at home as he is unable to breathe properly. An oxygen was attached and he was mostly sleeping the whole time. An oximeter was attached to his finger which tells the oxygen levels in blood (i don't know much about the device myself). According to the doctors the oxygen levels on the device should above 90 if it's below 90 then it is displayed in red which means danger. When dad is connected to oxygen tank the reading on oximeter is always in the range of 90-96 but when he had to remove oxygen mask for bathroom the readings where between 85-90 which were displayed in red. And it goes above 90 once the oxygen tank is connected. 
**13th july:** Around 1 AM midnight a government van came and they took dad to Mumbai. Some stadium in worli NSCI which is turned into an hospital. I was home with mom but my brother and his friends went along with him. My brother was in the van with dad who is still on oxygen tank and friends followed in a car behind. The weren't allowed in the stadium and they took dad inside.
I have closed my dad's bedroom and no one is going near it until we can decide what to do and how to quarantine that room 
**14th july:** i have talked to my dad on phone his medical conditions seems to be same as they were at home.
**my dad does not have asthma, diabetes or any other disease or disorder. He just have high blood pressure**
**I am worried, don't know what to do, my brains not working and want to know few things urgently:**
**Q: is that NSCI stadium safe and is my dad gonna get the best treatment over there ?**
**Q: have you encountered any similar cases like this and have they recovered from this ?**
**Q: have you witnessed or can say for sure that people from NSCI have recovered properly back to normal life from coronavirus ?**
**Q: my dad has both typhoid and coronavirus and on oxygen currently at worli stadium hospital . What are the chances of his recovery ?**
**Q: how long is it gonna take him to recover from this ?**
**Q: is there anything i or my family should know or do to help dad or ourselves? something or is there anything you guys want to share which can help my dad and my family in this situation ?**
**Anything that can be useful is appreciated. Any information which can useful is highly appreciated. It can help me or someone out there who is reading this.** 
**Please reply back and DM me if it's something that   can't be said publicly. I can use whatever help i get.**
**will keep updating this post with other questions and dads health updates**
**sorry for bad English, spelling and grammatical mistakes**</t>
        </is>
      </c>
      <c r="D3141" t="n">
        <v>7</v>
      </c>
      <c r="E3141" t="n">
        <v>6</v>
      </c>
      <c r="F3141">
        <f>HYPERLINK("https://www.reddit.com/r/COVID19positive/comments/hr0fd5/urgent_help_regarding_coronavirus_needed_please/")</f>
        <v/>
      </c>
      <c r="G3141" t="inlineStr">
        <is>
          <t>2020-07-14 05:16:56</t>
        </is>
      </c>
      <c r="H3141" t="inlineStr">
        <is>
          <t>Tested Positive - Family</t>
        </is>
      </c>
    </row>
    <row r="3142">
      <c r="A3142" t="inlineStr">
        <is>
          <t>hr1n5k</t>
        </is>
      </c>
      <c r="B3142" t="inlineStr">
        <is>
          <t>Anxious</t>
        </is>
      </c>
      <c r="C3142" t="inlineStr">
        <is>
          <t>I knew I had it once i couldnt smell or taste anything so when i got the results i didnt freak out because i just knew I had it . It feels weird to me . Today is day 3 since ive tested positive but ive had symptoms for about 6 , chest pain is scaring me !!!!!! And whats weird is my blood pressure is like 80/40 I already run pretty low usually 100/60 but idk hospital just sent me home , said drink fluids. Im so fatigue it sucks and I have a uti on top off this . I know covid effects the brain but im also feeling weird and confused . Could be the uti and covid doing that . Its actually caused some mental problems like hearing things in my head and messing with vision , anyone else felt this or just me . Positive feedback needed on how yall recovered . I have anxiety and dont wanna read bad things , thanks .</t>
        </is>
      </c>
      <c r="D3142" t="n">
        <v>1</v>
      </c>
      <c r="E3142" t="n">
        <v>4</v>
      </c>
      <c r="F3142">
        <f>HYPERLINK("https://www.reddit.com/r/COVID19positive/comments/hr1n5k/anxious/")</f>
        <v/>
      </c>
      <c r="G3142" t="inlineStr">
        <is>
          <t>2020-07-14 06:36:18</t>
        </is>
      </c>
      <c r="H3142" t="inlineStr">
        <is>
          <t>Tested Positive</t>
        </is>
      </c>
    </row>
    <row r="3143">
      <c r="A3143" t="inlineStr">
        <is>
          <t>hr26fm</t>
        </is>
      </c>
      <c r="B3143" t="inlineStr">
        <is>
          <t>Covid remedy I felt I needed to share</t>
        </is>
      </c>
      <c r="C3143" t="inlineStr">
        <is>
          <t>My father tested positive for covid and was having panic attacks because he could not breath well. He lives in Miami and I was living in New Jersey. My sister called me at midnight saying she felt he would not make it. I flew the next morning and when we tried to go to the hospital, they had people waiting in lawn chairs outside. Desperate to find a way to save my father, I thought... what does the hospital even provide for a patient? IV, blood thinners for clots, and concentrated oxygen. 
So I went to a medical supply store. I told them I did not have a presceiption for an oxygen machine (why is that required anyways?) but that I could potentially fax one to them later. An hour later, we plug the machine. I had him drink pedialyte consistently, soup, fruit, and aspirin. Over night he did not have his usual cough attacks and he says throughout the day if he feels like he will cough, he plugs it back in and is relieved. 
I have heard of the trauma families experience when their loved ones are in the hospital away from them. I  respect nurses, but I don't trust anyone but myself to take care of my father. I really believe he would have died without this oxygen machine. It costs $2000, but I rented it for $300/month. I have never posted on reddit before, but I felt like I needed to put this out there. There is hope to saving covid patients at home.</t>
        </is>
      </c>
      <c r="D3143" t="n">
        <v>215</v>
      </c>
      <c r="E3143" t="n">
        <v>143</v>
      </c>
      <c r="F3143">
        <f>HYPERLINK("https://www.reddit.com/r/COVID19positive/comments/hr26fm/covid_remedy_i_felt_i_needed_to_share/")</f>
        <v/>
      </c>
      <c r="G3143" t="inlineStr">
        <is>
          <t>2020-07-14 07:08:50</t>
        </is>
      </c>
      <c r="H3143" t="inlineStr">
        <is>
          <t>Tested Positive - Family</t>
        </is>
      </c>
    </row>
    <row r="3144">
      <c r="A3144" t="inlineStr">
        <is>
          <t>hr2k94</t>
        </is>
      </c>
      <c r="B3144" t="inlineStr">
        <is>
          <t>How long from the date you test positive did your result finally become negative?</t>
        </is>
      </c>
      <c r="C3144" t="inlineStr">
        <is>
          <t>Just wondering how long it took people to get a negative test result? I first felt symptoms 6/30 and tested positive the next day. I now have been feeling good and fever free for over a week but still tested positive on 7/13</t>
        </is>
      </c>
      <c r="D3144" t="n">
        <v>2</v>
      </c>
      <c r="E3144" t="n">
        <v>5</v>
      </c>
      <c r="F3144">
        <f>HYPERLINK("https://www.reddit.com/r/COVID19positive/comments/hr2k94/how_long_from_the_date_you_test_positive_did_your/")</f>
        <v/>
      </c>
      <c r="G3144" t="inlineStr">
        <is>
          <t>2020-07-14 07:31:35</t>
        </is>
      </c>
      <c r="H3144" t="inlineStr">
        <is>
          <t>Tested Positive - Me</t>
        </is>
      </c>
    </row>
    <row r="3145">
      <c r="A3145" t="inlineStr">
        <is>
          <t>hr2p5o</t>
        </is>
      </c>
      <c r="B3145" t="inlineStr">
        <is>
          <t>Maybe a mild run?</t>
        </is>
      </c>
      <c r="C3145" t="inlineStr">
        <is>
          <t>On Friday I was extremely tired. Being fatigued isn’t new for me, but this was quite a bit worse. A bit of a cough, not nothing too bad. That night I didn’t sleep, mostly due to intense body aches—just putting one arm on top of the other was too painful. 
The next morning I was clearly sick. Cough, elevated temperature, fatigue, achy. They were doing a free drive-through testing event, so I went and got tested, but they said it could take up to 14 days to get my results. 
My symptoms gradually decreased each day after (my temperature never got above 99.9°F). As of today (Tuesday morning), I have a bit of a cough and fatigue, and that’s about it as far as I can tell. 
I’ll update this post with my test results when I get them. If it comes back positive, I’ll post my regimen I did to try and fight it.</t>
        </is>
      </c>
      <c r="D3145" t="n">
        <v>2</v>
      </c>
      <c r="E3145" t="n">
        <v>3</v>
      </c>
      <c r="F3145">
        <f>HYPERLINK("https://www.reddit.com/r/COVID19positive/comments/hr2p5o/maybe_a_mild_run/")</f>
        <v/>
      </c>
      <c r="G3145" t="inlineStr">
        <is>
          <t>2020-07-14 07:39:27</t>
        </is>
      </c>
      <c r="H3145" t="inlineStr">
        <is>
          <t>Presumed Positive - From Test</t>
        </is>
      </c>
    </row>
    <row r="3146">
      <c r="A3146" t="inlineStr">
        <is>
          <t>hr2un8</t>
        </is>
      </c>
      <c r="B3146" t="inlineStr">
        <is>
          <t>Loss of smell</t>
        </is>
      </c>
      <c r="C3146" t="inlineStr">
        <is>
          <t>I've lost my sense of smell and I'm worried about it being gone forever. Does anyone know how likely that is?</t>
        </is>
      </c>
      <c r="D3146" t="n">
        <v>3</v>
      </c>
      <c r="E3146" t="n">
        <v>6</v>
      </c>
      <c r="F3146">
        <f>HYPERLINK("https://www.reddit.com/r/COVID19positive/comments/hr2un8/loss_of_smell/")</f>
        <v/>
      </c>
      <c r="G3146" t="inlineStr">
        <is>
          <t>2020-07-14 07:48:22</t>
        </is>
      </c>
      <c r="H3146" t="inlineStr">
        <is>
          <t>Tested Positive - Me</t>
        </is>
      </c>
    </row>
    <row r="3147">
      <c r="A3147" t="inlineStr">
        <is>
          <t>hr2y98</t>
        </is>
      </c>
      <c r="B3147" t="inlineStr">
        <is>
          <t>The results came back positive a few hours ago. Thoughts while it's fresh on my mind.</t>
        </is>
      </c>
      <c r="C3147" t="inlineStr">
        <is>
          <t>Male, 28, good shape (workout 4-5x a week), no pre-existing conditions except a heart abnormality that is benign. It's called right bundle branch block (RBBB).
**Symptoms**: Allergy-like (runny nose, sore throat, sinus drainage), fatigue out of nowhere, slight cough, heart palpitations, heart rate higher than normal when resting, and "brain fog.". The symptoms all seemed fairly minor and it really just felt like allergies to me.
NEVER any fever and my oxygen hasn't dropped below 98. If you think you have it - just go get tested.
**How long I've had it**: No idea. I had my test last Thursday and just diagnosed this morning.
**Testing:** The test is uncomfortable, but DOES NOT HURT. It feels like saltwater in your nose.
**How I got it:** No freaking idea. I stayed mostly safe, but unfortunately I did get around a crowd a once or twice.
Please feel free to ask anything. Educating ourselves is really important during this time.
**Supplements**: I eat a high fruit and veggie diet w/ lean meats, but I am taking magnesium, vitamin c and zinc.
**Final thoughts**: I don't actually feel too bad. My throat is super sore today, and that's new, but otherwise I've been able to workout inside okay and take care of myself. I heard the 7-10 day is the worst so I'm waiting on that, but I'll post an update over the new few days if ya'll would like.
I am worried about this somehow affecting my heart or causing random blood clots, but I'm just going to do the best I can and stay positive.</t>
        </is>
      </c>
      <c r="D3147" t="n">
        <v>24</v>
      </c>
      <c r="E3147" t="n">
        <v>87</v>
      </c>
      <c r="F3147">
        <f>HYPERLINK("https://www.reddit.com/r/COVID19positive/comments/hr2y98/the_results_came_back_positive_a_few_hours_ago/")</f>
        <v/>
      </c>
      <c r="G3147" t="inlineStr">
        <is>
          <t>2020-07-14 07:54:15</t>
        </is>
      </c>
      <c r="H3147" t="inlineStr">
        <is>
          <t>Tested Positive - Me</t>
        </is>
      </c>
    </row>
    <row r="3148">
      <c r="A3148" t="inlineStr">
        <is>
          <t>hr32i5</t>
        </is>
      </c>
      <c r="B3148" t="inlineStr">
        <is>
          <t>Losing 100% of Smell and Taste: My experience of the process and diary of recovery.</t>
        </is>
      </c>
      <c r="C3148" t="inlineStr">
        <is>
          <t>This is a new account because I'm a lurker, but I hope mods will leave this up as I believe people will find it helpful.
TL:DR: A VERY LONG post about losing sense of smell, what it's like and my diary of trying to get it back, along with encouragement for sharing your stories.
I'm (hopefully) on the path of very gradually recovering my senses of smell and taste after Covid. To some it will sound very vain to say this in the context of the much bigger problems so many people have faced with Covid, but I have found it very hard to cope with. And while I am extremely grateful for the ways in which I have been fortunate with Covid (no short term serious ill-health, not passed it on to anyone, a nice living space where I live alone to self isolate, no huge financial impact etc etc), this doesn't take away from the fact that losing these senses has a much greater impact on my mental state than I could have imagined.
For a number of reasons, the amount of support and information for this issue seems to be very limited. Some of these reasons make sense, in that this symptom isn't one that can escalate to kill you. It's also a symptom that is invisible, won't stop you working long-term, and appears to be hugely different between sufferers and non-linear in its recovery.
Anyone in my shoes that has also lost these senses, is likely to be having the same realizations as me, that losing your senses of smell and taste are in fact incredibly impactful and devastating. For me, it's led to a crippling anxiety about not recovering these senses. I can live without them for weeks, even months, but the thought of potential permanence has kept me up at night in literal terms. And surprisingly it's not the thought of not tasting food that's the most scary (though it is scary), but the thought of never smelling my eventual wife. Of living in a world less vibrant and 'colorful', where experiences, travel, even sexual relationships, and life in general has less vibrancy and is dulled. One of the real eye-openers is when you first realize what you don't know what YOU smell like. If you smell good or bad, if you could really do with a shower etc...
I've found telling people about this issue has shown people that have not experienced it really struggle to relate to or understand the experience. Covid causes anosmia, which is the TOTAL loss of smell. This is NOT the same as when your senses are even very heavily dulled during a bad cold etc. It's the total, 100% loss of smell. There is no such thing as smell. You can eat a clove or garlic and taste pure nothingness. This symptom is caused by the virus killing the cells that are responsible for smell NOT by congestion or smelling and so it really is a totalistic impact.
This has all been a long way to say that losing these senses DOES matter, and it IS scary, and there's very little information out there. For that reason I wanted to write down my experience with this issue, which I will continue to update as my story progresses and to encourage other people to share their stories. I noticed on social media, where people do share their stories it's often just a "OMG I've lost my sense of smell" or "OMG I can taste again!" without context, timing or diarizing that journey, so I wanted to encourage people to keep updating so others that feel lost can at least see other people on the same journey. I was 'fortuanate' to at least have a cousin that had gone through the same thing, and having someone to talk to that had gone through exactly the same thing really helped me. And while I know no two experiences of this will be exactly the same, I hope it will at least make people feel less alone.
My diary:
Day 1.
At this point I had already been in quarantine for two days due to confirmed contact with a carrier. I did not feel unwell and it never really computed to me that I might actually have Covid. I noticed that my sense of taste felt dulled but even this didn't really make me thing much of it. I just thought the foods I was eating weren't very tasty (sounds stupid now!).
Day 2.
The same thing was happening with food. I hadn't noticed anything with smell, but hadn't actively done anything to test. I was on the phone with a family member saying I think food has started tasting boring, and she said to go and smell my cologne and see if it smelled right. I did it on the phone and had my 'omg' moment. I smelled nothing, zero. It may as well have been water. I went to test other items. Nothing. I had officially lost my sense of smell and taste entirely.
Day 3.
Got tested. Same, but a lot of anxiety kicked in (see intro). I began panicking that I'd never smell again and reading stories online of people that didn't have their senses back after many months. Started obsessing over a life with no smell. Spend all of my day repeatedly smelling items.
Day 4.
The only day I was somewhat unwell. Slight coughing and a lot of exhaustion. Quite a weird type of tiredness I'd never felt before where my face felt very heavy. In an out of bed all day but it never got any worse than this. No fever or other symptoms. No change in smell or taste.
Day 5.
Test came back positive. It was fully expected at this point. Still a little hard to take but would have been far more shocked for it to be negative. Symptoms of the previous day have subsided, and my only symptom is the taste and smell. It was on this day that I decided to be more proactive about doing something to help myself instead of just feeling defeated and miserable. I read about smell training online and did my own version of it which mainly included taking items and repeatedly smelling them while imagining what they used to smell like. I used a website from the Weizmann Institute in Israel to find household items that each went into a different smell 'group' and chose one item in each group from the options on their lists. For me it was: Mustard, perfume, instant coffee, ketchup, vanilla. I also started taking vitamins and drinking garlic, ginger and lemon juice.
Day 6.
No change to smell or taste. Struggling with a lot with anxiety and panic. Taste and smell has begun to feel so distant that it almost feels unimaginable that it will come back. Continued with routine of day 5. I mainly focused on 'smelling' the instant coffee almost obsessively. I've started finding foods I enjoy eating even without taste. Foods like crisp green apples that at least provide texture.
Day 7.
Am I smelling? I feel like somewhere in the back of my head I can get this vague recollection of smell but I can't know if it's real or my mind playing tricks on me. It's so faint that it smells like memory. It's happening with the instant coffee and the best explanation I can give is it's almost like you took a jar of coffee, cleaned it with water and soap and smelled it and could kind of maybe tell there there might have once been coffee in this jar. I'm not getting smells from any other item so assume it's just a mind trick.
Day 8.
I wake up smelling nothing. The coffee has lost its memory like smell and it's hard to cope with. But later on in the day the same thing happens. By the afternoon I feel I have this coffee memory smell back. And by the late night I feel maybe the same thing with perfume, but it's almost more of an alcohol burn around the nostrils than the actual smell.
Day 9.
Woke up smelling nothing. But the same routine happened again, by the afternoon I felt I could maybe smell the coffee again. Except this felt like the first day of some real improvement where I could be sure I was indeed getting very faint smells and that it wasn't just mind tricks. I was getting some kind of nostril burn from the mustard, and all of my items except the ketchup were giving extremely faint smells. The perfume has a tiny smell of its actual scent. By this time I was also smelling pickle juice every day and that had its clear scent too. I was smelling this because I hate pickles and thought it might be easier to smell what I hate. I could also just about pick out the vanilla.
Day 10.
I hadn't wanted to go to bed the night before as I was terrified of losing the slight smells I was getting. I was just smelling non-stop before going to bed. When I woke up my fears were confirmed. Whereas I had expected to wake up to more improvement, I woke up to no smell at all whatsoever. I rushed around the house smelling items and got nothing and was terrified I had smelled for the last time and that I had started recovering only for my cells to give up.
But by the afternoon the same routine had repeated itself. I was having the same experiences as the day before, with all of the items. I was relieved. I felt that very gradually throughout the day it was getting slightly better. Again, we're talking about dealing with the faintest of smells here so relatively it's still faint smells. But by the late night, I felt I had hit my highest peak and was clearly smelling all my previous household items albeit only just. I also felt I might have been smelling the ketchup, but this was the same kind of memory-like sensation I was first getting from coffee. I didn't want to go to sleep because it's felt so tenuous! I still did not have any taste.
Day 11.
I woke up to no smell at all, same emotions as day before (getting hard to go to bed when I know what's coming). But the same process repeated itself and it's now clear that there's an obvious trend and not just coincidence. Again all day the progress gets better. And I feel it's slightly accelerating. By the late afternoon I'm getting the same level as the previous night and by the night I'm reaching my new peak (again, do remember we are still talking subtle improvement, not eureka moment). I'm also noticing it's better after I've been standing and walking around my place for a while and worse after lying down and resting, almost like the cells need to be active and awake. I wonder whether quarantine has slowed down the progress as I've not been walking around the streets etc.
That evening I feel like I may experienced my first EXTREMELY subtle return of taste (note I never lost the heat from chili btw - but heat without any flavor isn't so fun!). I had a dinner with a LOT of garlic (ordered it from takeout on purpose as a test). And I feel when I breathe our through my nose while eating I'm picking up the faintest garlic feeling.
Went to bed.
Day 12 (today!)
Woke up and decided instead of testing my smell first thing decided to spend 30 minutes really getting active first. Walked around my apartment, played some piano, took some calls. Partly to see if waking up more would help and partly because of the fear and anxiety of the first smell always not being there. But today was the first day I got something in the morning. Again it's back to being very faint and much less than the previous morning but I'm taking hope from the fact that there's a trend developing and that so far (may it continue!) every night I'm experiencing a new high and the improvement starts earlier in the day.
In terms of 'goals' there are still some household items I can't get any smell from (sesame oil etc) and I am still getting no ambient smells at all (rooms don't smell, I do not smell fragrances when showering etc). All of the smells I do get are from very consciously and specifically smelling items close up. But I do hope that will change as I keep progressing.
I will continue sharing my daily progress in replies to this post. Please share your stories too!</t>
        </is>
      </c>
      <c r="D3148" t="n">
        <v>4</v>
      </c>
      <c r="E3148" t="n">
        <v>17</v>
      </c>
      <c r="F3148">
        <f>HYPERLINK("https://www.reddit.com/r/COVID19positive/comments/hr32i5/losing_100_of_smell_and_taste_my_experience_of/")</f>
        <v/>
      </c>
      <c r="G3148" t="inlineStr">
        <is>
          <t>2020-07-14 08:00:57</t>
        </is>
      </c>
      <c r="H3148" t="inlineStr">
        <is>
          <t>Tested Positive - Me</t>
        </is>
      </c>
    </row>
    <row r="3149">
      <c r="A3149" t="inlineStr">
        <is>
          <t>hr3b7p</t>
        </is>
      </c>
      <c r="B3149" t="inlineStr">
        <is>
          <t>Two IgM+ IgG- tests 3 weeks apart - how?</t>
        </is>
      </c>
      <c r="C3149" t="inlineStr">
        <is>
          <t>Hi,
I've been working from home office (which I hate) since mid-March (Hungary). 3 weeks ago I had to go to the office for the bi-annual general medical checkup (blood pressure, eyesight, questions), as it expired in June.
We had the possibility to take a COVID "rapid test" from a drop of blood which gave results in 15 minutes: IgM positive, IgG negative. The doctor told me that it means that supposedly I've been infected recently, and I had to stay in home isolation for 2 weeks, which I did. I hadn't had any symptoms before the test and haven't had any since either. The test was "1st generation Chinese" (manufactured 2020 Feb), namely "Core tests COVID-19 IgM/IgG AB Test", which as far as I know should be quite unreliable (and the parameters are suspicious: 94% sensitivity and 100% specificity - yeah, right), especially with the very low prevalence in my country.
After the 2 weeks were over, 2 days later (so 16 days after the test) I attended a team building with colleagues. This week, my company required me to take another test because I was supposed to attend a meeting next week (which in the meantime was cancelled). This time I had to go to the health centre of the company that is responsible for our medical checkups. Unfortunately, they used the same quick test, but nevertheless I got the same result: IgM positive, IgG negative, exactly 3 weeks after the first test!
My question is: how is that even possible? Based on what I've read, I have no idea how such results could happen. The doctor had some cool guesses like the virus is "hiding around" in me, I have some autoimmune disease (not that I know of), or that I take some medication (I don't).
I'll have a PCR test on Thurdsay and if negative, another one on next Tuesday before I'm considered "cleared for work", and could go into the office if needed (I would be working in home office as default anyway).
Edit: sp</t>
        </is>
      </c>
      <c r="D3149" t="n">
        <v>2</v>
      </c>
      <c r="E3149" t="n">
        <v>5</v>
      </c>
      <c r="F3149">
        <f>HYPERLINK("https://www.reddit.com/r/COVID19positive/comments/hr3b7p/two_igm_igg_tests_3_weeks_apart_how/")</f>
        <v/>
      </c>
      <c r="G3149" t="inlineStr">
        <is>
          <t>2020-07-14 08:14:09</t>
        </is>
      </c>
      <c r="H3149" t="inlineStr">
        <is>
          <t>Presumed Positive - From Test</t>
        </is>
      </c>
    </row>
    <row r="3150">
      <c r="A3150" t="inlineStr">
        <is>
          <t>hr3pm9</t>
        </is>
      </c>
      <c r="B3150" t="inlineStr">
        <is>
          <t>Long hauler experiencing arthritis. Am I alone?</t>
        </is>
      </c>
      <c r="C3150" t="inlineStr">
        <is>
          <t>It started off as stiff knees in the mornings. Now it’s all the time and in my elbows too. I’ve had upper back pain for a couple months now but I didn’t think it was arthritis. Just lots of cracking and pain on other side of the spine, that would switch off from one to the other. The joint pain is horrible and effecting my sleep and I already had insomnia from all this! Worried this has caused an autoimmune disease like RA. If there are others out there it would be so helpful to know.</t>
        </is>
      </c>
      <c r="D3150" t="n">
        <v>5</v>
      </c>
      <c r="E3150" t="n">
        <v>9</v>
      </c>
      <c r="F3150">
        <f>HYPERLINK("https://www.reddit.com/r/COVID19positive/comments/hr3pm9/long_hauler_experiencing_arthritis_am_i_alone/")</f>
        <v/>
      </c>
      <c r="G3150" t="inlineStr">
        <is>
          <t>2020-07-14 08:36:23</t>
        </is>
      </c>
      <c r="H3150" t="inlineStr">
        <is>
          <t>Tested Positive - Me</t>
        </is>
      </c>
    </row>
    <row r="3151">
      <c r="A3151" t="inlineStr">
        <is>
          <t>hr3ric</t>
        </is>
      </c>
      <c r="B3151" t="inlineStr">
        <is>
          <t>Left shoulder pain</t>
        </is>
      </c>
      <c r="C3151" t="inlineStr">
        <is>
          <t>Is left shoulder pain a known symptom of Covid-19 or another virus perhaps? I'm just wondering if this is related to Covid or something else entirely. I got Covid in mid to late March. My left shoulder has been bothering me for a while now.</t>
        </is>
      </c>
      <c r="D3151" t="n">
        <v>2</v>
      </c>
      <c r="E3151" t="n">
        <v>12</v>
      </c>
      <c r="F3151">
        <f>HYPERLINK("https://www.reddit.com/r/COVID19positive/comments/hr3ric/left_shoulder_pain/")</f>
        <v/>
      </c>
      <c r="G3151" t="inlineStr">
        <is>
          <t>2020-07-14 08:39:07</t>
        </is>
      </c>
      <c r="H3151" t="inlineStr">
        <is>
          <t>Tested Positive - Me</t>
        </is>
      </c>
    </row>
    <row r="3152">
      <c r="A3152" t="inlineStr">
        <is>
          <t>hr3zgd</t>
        </is>
      </c>
      <c r="B3152" t="inlineStr">
        <is>
          <t>Heat agitating symptoms?</t>
        </is>
      </c>
      <c r="C3152" t="inlineStr">
        <is>
          <t>I wasn’t sure if I was having symptoms or not because I have anxiety so I thought maybe it was just that. But then I was outside in the heat for a while while wearing a mask (I was protesting at my local school board to keep them from forcing the schools to open. I was wearing a mask and staying away from others, but I felt like it was important for me to be there). But being out in the heat really made my upper back (rib cage area) start hurting and made me feel short of breath for quite a bit. Does heat make symptoms worse or am I just exhausted from the heat? Does it sound like symptoms or am I being a hypochondriac ?
I did get tested a few days ago so I’ve been monitoring my symptoms but I haven’t gotten results yet. My roommate is currently in the hospital (why I got the test) but they tested him twice and both times it came up negative and the hospital seems very convinced he doesn’t have Covid and it’s just pneumonia.</t>
        </is>
      </c>
      <c r="D3152" t="n">
        <v>1</v>
      </c>
      <c r="E3152" t="n">
        <v>3</v>
      </c>
      <c r="F3152">
        <f>HYPERLINK("https://www.reddit.com/r/COVID19positive/comments/hr3zgd/heat_agitating_symptoms/")</f>
        <v/>
      </c>
      <c r="G3152" t="inlineStr">
        <is>
          <t>2020-07-14 08:51:17</t>
        </is>
      </c>
      <c r="H3152" t="inlineStr">
        <is>
          <t>Tested Positive - Friends</t>
        </is>
      </c>
    </row>
    <row r="3153">
      <c r="A3153" t="inlineStr">
        <is>
          <t>hr4lnb</t>
        </is>
      </c>
      <c r="B3153" t="inlineStr">
        <is>
          <t>SOB in middle of night</t>
        </is>
      </c>
      <c r="C3153" t="inlineStr">
        <is>
          <t>I woke up at 1 am feeling confused and agitated. Then I felt really hungry so I get up to go get food. As I stand up I get really light headed and fall back on the bed and I'm having difficulty breathing. This goes in for 2 minutes and it stops. EMS is called and I wait. I pee and it shows my piss is clear. I sit back down because standing makes me lightheaded. Then I get SOB again for 2 minutes. I had a pulse ox on and it dropped to 87% I think. In the EMS van they said my BP was in the 60s/40s. They gave me fluids. Got some more in the ED. Chest XR shows my lungs are fine. Bloodwork showed there was some issue with my kidneys due to dehydration. Actually while laying in bed I was having moments of almost going into respiratory distress again, it never fully happened. The doctor said I'm really dehydrated and low BP means I'm not perfuming well so it makes it hard to breathe.</t>
        </is>
      </c>
      <c r="D3153" t="n">
        <v>2</v>
      </c>
      <c r="E3153" t="n">
        <v>12</v>
      </c>
      <c r="F3153">
        <f>HYPERLINK("https://www.reddit.com/r/COVID19positive/comments/hr4lnb/sob_in_middle_of_night/")</f>
        <v/>
      </c>
      <c r="G3153" t="inlineStr">
        <is>
          <t>2020-07-14 09:24:41</t>
        </is>
      </c>
      <c r="H3153" t="inlineStr">
        <is>
          <t>Tested Positive - Me</t>
        </is>
      </c>
    </row>
    <row r="3154">
      <c r="A3154" t="inlineStr">
        <is>
          <t>hr4plb</t>
        </is>
      </c>
      <c r="B3154" t="inlineStr">
        <is>
          <t>Anyone else’s chest just get really tight sometimes?</t>
        </is>
      </c>
      <c r="C3154" t="inlineStr">
        <is>
          <t>I feel like I can feel my heart about to beat out of my chest.
The only symptom I had a was a stuffy nose and mucus running down throat. 19 M. I was super surprised when the test came back positive m.</t>
        </is>
      </c>
      <c r="D3154" t="n">
        <v>6</v>
      </c>
      <c r="E3154" t="n">
        <v>8</v>
      </c>
      <c r="F3154">
        <f>HYPERLINK("https://www.reddit.com/r/COVID19positive/comments/hr4plb/anyone_elses_chest_just_get_really_tight_sometimes/")</f>
        <v/>
      </c>
      <c r="G3154" t="inlineStr">
        <is>
          <t>2020-07-14 09:30:59</t>
        </is>
      </c>
      <c r="H3154" t="inlineStr">
        <is>
          <t>Tested Positive - Me</t>
        </is>
      </c>
    </row>
    <row r="3155">
      <c r="A3155" t="inlineStr">
        <is>
          <t>hr5ogj</t>
        </is>
      </c>
      <c r="B3155" t="inlineStr">
        <is>
          <t>I’ve caught it more than two months ago and the only symptom still lingering is a moderate- severe sore throat?</t>
        </is>
      </c>
      <c r="C3155" t="inlineStr">
        <is>
          <t>The cough, congestion and shortness of breath all went away and even the fatigue is like 80% gone but for some reason the sore throat is not going away and it comes in waves. Anyone else experiencing a lingering sore throat that comes in waves</t>
        </is>
      </c>
      <c r="D3155" t="n">
        <v>5</v>
      </c>
      <c r="E3155" t="n">
        <v>8</v>
      </c>
      <c r="F3155">
        <f>HYPERLINK("https://www.reddit.com/r/COVID19positive/comments/hr5ogj/ive_caught_it_more_than_two_months_ago_and_the/")</f>
        <v/>
      </c>
      <c r="G3155" t="inlineStr">
        <is>
          <t>2020-07-14 10:23:06</t>
        </is>
      </c>
      <c r="H3155" t="inlineStr">
        <is>
          <t>Tested Positive - Me</t>
        </is>
      </c>
    </row>
    <row r="3156">
      <c r="A3156" t="inlineStr">
        <is>
          <t>hr6lpt</t>
        </is>
      </c>
      <c r="B3156" t="inlineStr">
        <is>
          <t>Excruciating headache that never stops.</t>
        </is>
      </c>
      <c r="C3156" t="inlineStr">
        <is>
          <t>Day 1. I have had the first symptoms last friday 10th of July. I felt like this little pressure sensation deep inside my chest and had minor coughing, thought it was because of the drastic change in temperature from outside to my office. That evening i went out even though feeling a bit tired, which I shouldn’t have done. 
Day 2. Saturday morning I woke up with a stuffy nose, fatigued and with a terrible headache. I blamed the alcohol. In the afternoon it was like my body completely went to emergency mode. I had diarrhea, then body aches started and headache got worse. I had teary eyes and only felt like sleeping. Up until this point I had no temperature, no fever whatsoever. Only before going to bed, I had a temperature of 37 celcius.
Day 3. Sunday Morning, temperature was at 37.3 celcius. I felt fatigued during the day, body ached all over, headaches. Diarrhea again. Had a normal apetite, no cough of chest issues whatsoever. No more temperature after that point.
Day 4. Monday. Skipped work. No more body aches. Ongoing headaches. Overall tiredness. Sense of taste gone completely, but a good apetite overall. Normal temperature. Went out on a walk and it was a bit challenging. 
Day 5. Tuesday. Woke up with a headache. The headache feels like a huge tenssion around the upper part of the head, tempels, behind the eyes, strong light sensitivity. No body pain, fatigue is better. No cough still. Just minor minor runny nose. After a long nap, at 8pm i woke up with an excruciating headache and a temperature of 37.3. 
I live in Albania and they won’t test you unless you show fever or cough, but I’ve barely had fever 2 times and no cough. Please can anyone suggest what should I do. Is there anyone out there with similar experience? Does it usually get better from here or worse?</t>
        </is>
      </c>
      <c r="D3156" t="n">
        <v>1</v>
      </c>
      <c r="E3156" t="n">
        <v>5</v>
      </c>
      <c r="F3156">
        <f>HYPERLINK("https://www.reddit.com/r/COVID19positive/comments/hr6lpt/excruciating_headache_that_never_stops/")</f>
        <v/>
      </c>
      <c r="G3156" t="inlineStr">
        <is>
          <t>2020-07-14 11:09:13</t>
        </is>
      </c>
      <c r="H3156" t="inlineStr">
        <is>
          <t>Presumed Positive - From Doctor</t>
        </is>
      </c>
    </row>
    <row r="3157">
      <c r="A3157" t="inlineStr">
        <is>
          <t>hr6lrv</t>
        </is>
      </c>
      <c r="B3157" t="inlineStr">
        <is>
          <t>Tested positive today. Thought I'd share. Has this been anyone else's experience?</t>
        </is>
      </c>
      <c r="C3157" t="inlineStr">
        <is>
          <t>I'm a 24 yr old male. Relatively healthy (by no means a great athlete) but I'm not overweight, I don't drink or smoke, no major underlying health issues. I do have Factor V Leiden which is a clotting disorder, but I only have one copy of the gene. I started feeling unwell on Saturday (7/11). A slight cough, fatigue, and a low grade fever. I took Tylenol which seemed to help. Sunday came, still wasn't feeling great. Fever got up to 101, cough was still present but nothing terrible. I started to experience some diarrhea as well. To be fair, I have diagnosed IBS so whenever I'm sick I generally have diarrhea. On Monday I decided to get a test. For the rest of the day I tried to rest and drink plenty of water. This morning I got the call that it was positive. My anxiety has been getting the better of me now unfortunately, but I'm trying to stay calm and level headed. I'm lucky to be young and in general good health. As of right now my temp is slightly higher (99.4) than earlier today. My cough is not that bad at all, but does occasionally produce some phlegm (clear though). I've had no shortness of breath during any of this as far as I've noticed. I can walk room to room and up the stairs without having to catch my breath. My heart rate was high for a few days but now is pretty low. It sort of freaked me out a bit, because it's usually not this low. I assume it's just exhausted after having to work so hard for those few days. Anyway, here's to quarantine! Stay safe all!</t>
        </is>
      </c>
      <c r="D3157" t="n">
        <v>1</v>
      </c>
      <c r="E3157" t="n">
        <v>4</v>
      </c>
      <c r="F3157">
        <f>HYPERLINK("https://www.reddit.com/r/COVID19positive/comments/hr6lrv/tested_positive_today_thought_id_share_has_this/")</f>
        <v/>
      </c>
      <c r="G3157" t="inlineStr">
        <is>
          <t>2020-07-14 11:09:17</t>
        </is>
      </c>
      <c r="H3157" t="inlineStr">
        <is>
          <t>Tested Positive - Me</t>
        </is>
      </c>
    </row>
    <row r="3158">
      <c r="A3158" t="inlineStr">
        <is>
          <t>hr6m6v</t>
        </is>
      </c>
      <c r="B3158" t="inlineStr">
        <is>
          <t>Recovered COVID and retested negative now!</t>
        </is>
      </c>
      <c r="C3158" t="inlineStr">
        <is>
          <t>Hi everyone, I just wanted to post to give people going through it hope. I fully recovered, and retested (17 days later) and I’m NEGATIVE now !! even though my symptoms were mild I was extremely concerned about passing it onto my family (brother has severe asthma). Thankfully none of them were infected, due to my diligent isolation. I was so extremely stressed during this period and I know how overwhelming, lonely and scary COVID is. If anyone is going through a hard time feel free to message me. You will get through this!! You will be able to put it behind you. Stay safe everyone. ❤️</t>
        </is>
      </c>
      <c r="D3158" t="n">
        <v>61</v>
      </c>
      <c r="E3158" t="n">
        <v>28</v>
      </c>
      <c r="F3158">
        <f>HYPERLINK("https://www.reddit.com/r/COVID19positive/comments/hr6m6v/recovered_covid_and_retested_negative_now/")</f>
        <v/>
      </c>
      <c r="G3158" t="inlineStr">
        <is>
          <t>2020-07-14 11:09:53</t>
        </is>
      </c>
      <c r="H3158" t="inlineStr">
        <is>
          <t>Tested Positive - Me</t>
        </is>
      </c>
    </row>
    <row r="3159">
      <c r="A3159" t="inlineStr">
        <is>
          <t>hr76y3</t>
        </is>
      </c>
      <c r="B3159" t="inlineStr">
        <is>
          <t>Only 21 and I don't think im gonna make it , i was 100% healthy before .</t>
        </is>
      </c>
      <c r="C3159" t="inlineStr">
        <is>
          <t>I tested positive 2 days ago , i use to not wear a mask because i didnt think it was that serious . Now that i have it i feel so sorry for the people that dont wear mask . It started with just loss of smell and taste , now its diarrhea, confusion and delirium . It really affects the brain . My dreams are weird , i cant remember what im suppose to do  , cant remember if i ate . Oh and chest pains and heart flutter feelings . Im only 21 and its really messing with my mental . Pray for me , if you dont believe in God I hope he finds you . But pray that you dont get this . Some people can handle it and make a full recovery , i have no Health problems but rn my family is even scared for me and so am I . I hope you all find peace . Idc about my grammar rn i can barley think . Any words of encouragement would help , I am scared and dont know what to do at the hospital they literally treat you like a homeless person . I asked for a blanket and the lady just threw it in the room and slammed the door. Its nothing nobody can do , you either make it thru it or you don't . 
I will try my best to keep yall updated with my recovery, symptoms definitely change rapidly for me .</t>
        </is>
      </c>
      <c r="D3159" t="n">
        <v>447</v>
      </c>
      <c r="E3159" t="n">
        <v>535</v>
      </c>
      <c r="F3159">
        <f>HYPERLINK("https://www.reddit.com/r/COVID19positive/comments/hr76y3/only_21_and_i_dont_think_im_gonna_make_it_i_was/")</f>
        <v/>
      </c>
      <c r="G3159" t="inlineStr">
        <is>
          <t>2020-07-14 11:40:19</t>
        </is>
      </c>
      <c r="H3159" t="inlineStr">
        <is>
          <t>Tested Positive</t>
        </is>
      </c>
    </row>
    <row r="3160">
      <c r="A3160" t="inlineStr">
        <is>
          <t>hr80in</t>
        </is>
      </c>
      <c r="B3160" t="inlineStr">
        <is>
          <t>Smokers</t>
        </is>
      </c>
      <c r="C3160" t="inlineStr">
        <is>
          <t>My sister is a smoker in her late 20's with no underlying health conditions. She has been complaining about some body aches and headaches. She is scheduling to get tested. She smokes cigarettes pretty regularly. I worry about her getting the virus and having to be hospitalized or worse. If any of you are smokers and have had COVID, can you please tell me about your symptoms?</t>
        </is>
      </c>
      <c r="D3160" t="n">
        <v>0</v>
      </c>
      <c r="E3160" t="n">
        <v>3</v>
      </c>
      <c r="F3160">
        <f>HYPERLINK("https://www.reddit.com/r/COVID19positive/comments/hr80in/smokers/")</f>
        <v/>
      </c>
      <c r="G3160" t="inlineStr">
        <is>
          <t>2020-07-14 12:23:03</t>
        </is>
      </c>
      <c r="H3160" t="inlineStr">
        <is>
          <t>Presumed Positive - From Test</t>
        </is>
      </c>
    </row>
    <row r="3161">
      <c r="A3161" t="inlineStr">
        <is>
          <t>hr80jh</t>
        </is>
      </c>
      <c r="B3161" t="inlineStr">
        <is>
          <t>A Covid positive nurse, telling my story, my symptoms started on 6/21. I retested on the 7/9 still waiting on my results. I need a negative to get back to work. But I still don’t feel 100% 😭</t>
        </is>
      </c>
      <c r="C3161" t="inlineStr">
        <is>
          <t>I’m a nurse in central Florida, I have been a nurse for 10 yrs. I work for a few healthcare agencies and have worked in multiple long term care facilities. I been wearing my mask since mid March and practicing social distancing and I just knew I was using safe covid 19 prevention protocols and was not going to get this virus but guess what I did, I contracted covid 19, I believe it was at a bayview health care center in Eustis, the ppe was inadequate they had these thin garbage bags and arm sleeves, I was not even given a face shield. These places are ill equip for these situations. The people that suffer are the patients they get minimal human contact, the regular staff quits because  they contracted covid 19 or are afraid they will and the fill in staff (agency) will go in as little as possible, they can’t have visitors (family) These long term patients on isolation are alone and suffering. Every time a patient goes to the hospital when they come back they go on isolation. So if you are having respiratory issues unbeknownst to covid 19 and in and out of the hospital you may be on isolation for 3 months,  sadly that jus maybe what kills a 90 yr old in on of these facilities. 4 days after working at this facility I start with a dry cough, the next day I had body aches. But I was like maybe it’s just a flu, I was about to start a travel job but I knew I had to get tested beforehand to be absolutely sure I did not have covid 19. So I got tested, the day after my test I woke up and couldn’t smell a thing and I knew I was positive, then 2 days later I was called and got the positive stamp of covid 19 and the call from the health dept to quarantine for 14 days from the day of my test. This has now postponed my new employment and put my life on hold. Being unable to work has me stuck and the Florida unemployment system is not to par, and I haven’t received a dime yet. the struggle with no income is real. But I stay in the watchful eye of the lord and prayed up. I am thankful to not have severe symptoms and know that I will recover,  I need money to live, the bills unfortunately do not stop. And after My 14 days of quarantine if I get a negative result for covid 19,  I will be able to get back to work. Im waiting on my results now praying for a negative yet I still don’t feel 100%. Please stay safe out there in this pandemic. Thank you for your time.</t>
        </is>
      </c>
      <c r="D3161" t="n">
        <v>28</v>
      </c>
      <c r="E3161" t="n">
        <v>20</v>
      </c>
      <c r="F3161">
        <f>HYPERLINK("https://www.reddit.com/r/COVID19positive/comments/hr80jh/a_covid_positive_nurse_telling_my_story_my/")</f>
        <v/>
      </c>
      <c r="G3161" t="inlineStr">
        <is>
          <t>2020-07-14 12:23:06</t>
        </is>
      </c>
      <c r="H3161" t="inlineStr">
        <is>
          <t>Tested Positive - Me</t>
        </is>
      </c>
    </row>
    <row r="3162">
      <c r="A3162" t="inlineStr">
        <is>
          <t>hr84xl</t>
        </is>
      </c>
      <c r="B3162" t="inlineStr">
        <is>
          <t>will it show up on test?</t>
        </is>
      </c>
      <c r="C3162" t="inlineStr">
        <is>
          <t>i might have been exposed through a friend this sunday, and have a booked test for today because of it. I’ve heard that it might show up as negative if it is too early and you have not started developing symptoms. Is this true? if i am infected, is there a chance that it might not show up as positive already 2 days after exposure? am i safe if it does turn out negative?</t>
        </is>
      </c>
      <c r="D3162" t="n">
        <v>1</v>
      </c>
      <c r="E3162" t="n">
        <v>4</v>
      </c>
      <c r="F3162">
        <f>HYPERLINK("https://www.reddit.com/r/COVID19positive/comments/hr84xl/will_it_show_up_on_test/")</f>
        <v/>
      </c>
      <c r="G3162" t="inlineStr">
        <is>
          <t>2020-07-14 12:29:29</t>
        </is>
      </c>
      <c r="H3162" t="inlineStr">
        <is>
          <t>Tested Positive - Friends</t>
        </is>
      </c>
    </row>
    <row r="3163">
      <c r="A3163" t="inlineStr">
        <is>
          <t>hr8bzj</t>
        </is>
      </c>
      <c r="B3163" t="inlineStr">
        <is>
          <t>Wanted to provide an update on my recovery instead of dropping off this sub silently</t>
        </is>
      </c>
      <c r="C3163" t="inlineStr">
        <is>
          <t>I wrote this post a while back: https://www.reddit.com/r/COVID19positive/comments/gxndzf/what_is_working_for_me/
Now that some more time has passed I can say that things seem to be working out for me (28M). I am getting back to working out cautiously and have been able to identify the major trigger points of relapse. 
As long as I **avoid** the following things I seem to be getting better:
* Cardio workouts
* Caffeine, primarily in fast absorbing drinks such as coffee
* Stress
The following things are what I have identified as things I can **do** to speed up recovery:
* Get all the sleep my body asks for
* Take 4-factor-life supplements (2 tablets/day)
Apart from these things I am also supplementing with vitamin-C, zinc and a multi-vitamine but whether these are doing anything I cannot say. 
It is a slow recovery but at this point I feel about 80% of pre-covid. I expect there will still be 3-6 month before full recovery. Apart from the sense of smell, that seems to be gone and not improving... 
Either way, if you are in the early days of recovery just get rest and know that it gets better, even if it takes many months.</t>
        </is>
      </c>
      <c r="D3163" t="n">
        <v>5</v>
      </c>
      <c r="E3163" t="n">
        <v>10</v>
      </c>
      <c r="F3163">
        <f>HYPERLINK("https://www.reddit.com/r/COVID19positive/comments/hr8bzj/wanted_to_provide_an_update_on_my_recovery/")</f>
        <v/>
      </c>
      <c r="G3163" t="inlineStr">
        <is>
          <t>2020-07-14 12:39:46</t>
        </is>
      </c>
      <c r="H3163" t="inlineStr">
        <is>
          <t>Tested Positive - Me</t>
        </is>
      </c>
    </row>
    <row r="3164">
      <c r="A3164" t="inlineStr">
        <is>
          <t>hr8cmp</t>
        </is>
      </c>
      <c r="B3164" t="inlineStr">
        <is>
          <t>Tested positive 4 weeks ago. Haven't had symptoms for 3 weeks, still testing positive and can't return to work.</t>
        </is>
      </c>
      <c r="C3164" t="inlineStr">
        <is>
          <t>Anyone else having problems getting a negative read after not experiencing symptoms for 21+ days? 
I just want to return to my normal life.</t>
        </is>
      </c>
      <c r="D3164" t="n">
        <v>2</v>
      </c>
      <c r="E3164" t="n">
        <v>9</v>
      </c>
      <c r="F3164">
        <f>HYPERLINK("https://www.reddit.com/r/COVID19positive/comments/hr8cmp/tested_positive_4_weeks_ago_havent_had_symptoms/")</f>
        <v/>
      </c>
      <c r="G3164" t="inlineStr">
        <is>
          <t>2020-07-14 12:40:41</t>
        </is>
      </c>
      <c r="H3164" t="inlineStr">
        <is>
          <t>Tested Positive - Me</t>
        </is>
      </c>
    </row>
    <row r="3165">
      <c r="A3165" t="inlineStr">
        <is>
          <t>hr8f4g</t>
        </is>
      </c>
      <c r="B3165" t="inlineStr">
        <is>
          <t>Positive Rapid test but negative antibody test a month later?</t>
        </is>
      </c>
      <c r="C3165" t="inlineStr">
        <is>
          <t>Hi everyone! I developed very mild symptoms that mimicked a sinus infection at the end of June. I went and got tested only because I work in a hospital and wanted to be extra safe. My rapid test came back positive and I self isolated for 14 days and have since recovered. I had my antibodies checked today so that I could donate plasma, but they came back completely negative. 
The antibody test was Abbott Architect IgG only and my rapid test brand is unknown. It was 28 days in between tests. 
Has anybody else had this happen? I know our bodies can fight off infection using T and B cells, so is it even worth retesting in a few weeks? 
Thank you! :)</t>
        </is>
      </c>
      <c r="D3165" t="n">
        <v>2</v>
      </c>
      <c r="E3165" t="n">
        <v>3</v>
      </c>
      <c r="F3165">
        <f>HYPERLINK("https://www.reddit.com/r/COVID19positive/comments/hr8f4g/positive_rapid_test_but_negative_antibody_test_a/")</f>
        <v/>
      </c>
      <c r="G3165" t="inlineStr">
        <is>
          <t>2020-07-14 12:44:16</t>
        </is>
      </c>
      <c r="H3165" t="inlineStr">
        <is>
          <t>Tested Positive - Me</t>
        </is>
      </c>
    </row>
    <row r="3166">
      <c r="A3166" t="inlineStr">
        <is>
          <t>hr8j0g</t>
        </is>
      </c>
      <c r="B3166" t="inlineStr">
        <is>
          <t>Spouses with the same exposure but different symptoms?</t>
        </is>
      </c>
      <c r="C3166" t="inlineStr">
        <is>
          <t>Last week we found out that an acquaintance we were around 7/3 and 7/4 has tested positive but they were "feeling better" so she traveled multiple states to our area to see family. Friday my wife started having issues with her throat hurting. Saturday was worse during the day then she didn't sleep due to the pain that night. Slept most of the day sunday but now the pain is worse. Monday lots of pain and sleep. Today it's still hurting non stop, any drinking or eating she says feels like knives going down her throat and pain in her chest and she says it feels like a "ball" is in her throat/chest. She had some occasional coughing.  We took her and they tested her for Strep which came back negative and she goes for a covid test here in a few hours. I for the last few days had a little tickle in my throat with occasional coughing. Then all of a sudden this afternoon I feel like I got hit with a train. I can't stay awake, my extremities are freezing but my chest and belly "feel" hot. My face is hurting so badly I wanna puke and my jaw is trembling. Everywhere hurts, just the smallest amount of pressure on a body part and i'm aching like heck. Does this sound possible? TIA</t>
        </is>
      </c>
      <c r="D3166" t="n">
        <v>1</v>
      </c>
      <c r="E3166" t="n">
        <v>6</v>
      </c>
      <c r="F3166">
        <f>HYPERLINK("https://www.reddit.com/r/COVID19positive/comments/hr8j0g/spouses_with_the_same_exposure_but_different/")</f>
        <v/>
      </c>
      <c r="G3166" t="inlineStr">
        <is>
          <t>2020-07-14 12:49:57</t>
        </is>
      </c>
      <c r="H3166" t="inlineStr">
        <is>
          <t>Presumed Positive - From Doctor</t>
        </is>
      </c>
    </row>
    <row r="3167">
      <c r="A3167" t="inlineStr">
        <is>
          <t>hr9d7n</t>
        </is>
      </c>
      <c r="B3167" t="inlineStr">
        <is>
          <t>It really happened to me... (no symptoms)</t>
        </is>
      </c>
      <c r="C3167" t="inlineStr">
        <is>
          <t>I spent 3.5 months locked in my house in a rural town that had but a few cases. I wore a mask when I went through drive throughs and I did Walmart pick ups. I was as safe as you can be.
I spent 1... 1 single day with my girlfriend for her birthday 
And 1 day with my boys group as the lockdown had ended and everyone wanted to see me.
I then took a test so I could visit my family...and I tested positive.</t>
        </is>
      </c>
      <c r="D3167" t="n">
        <v>6</v>
      </c>
      <c r="E3167" t="n">
        <v>13</v>
      </c>
      <c r="F3167">
        <f>HYPERLINK("https://www.reddit.com/r/COVID19positive/comments/hr9d7n/it_really_happened_to_me_no_symptoms/")</f>
        <v/>
      </c>
      <c r="G3167" t="inlineStr">
        <is>
          <t>2020-07-14 13:33:01</t>
        </is>
      </c>
      <c r="H3167" t="inlineStr">
        <is>
          <t>Tested Positive - Me</t>
        </is>
      </c>
    </row>
    <row r="3168">
      <c r="A3168" t="inlineStr">
        <is>
          <t>hra2kk</t>
        </is>
      </c>
      <c r="B3168" t="inlineStr">
        <is>
          <t>Anyone else completely asymptomatic?</t>
        </is>
      </c>
      <c r="C3168" t="inlineStr">
        <is>
          <t>I got exposed from my cousin 11 days ago and just got the call that I tested positive. It’s crazy to think that if I didn’t know I was exposed I would have never gotten tested and would have never known I even had it. I’m 23 and in good shape so not sure if that has played a role in my prognosis. 
Anyways, was wondering if any other asymptomatic people can weigh in on their experiences.</t>
        </is>
      </c>
      <c r="D3168" t="n">
        <v>8</v>
      </c>
      <c r="E3168" t="n">
        <v>9</v>
      </c>
      <c r="F3168">
        <f>HYPERLINK("https://www.reddit.com/r/COVID19positive/comments/hra2kk/anyone_else_completely_asymptomatic/")</f>
        <v/>
      </c>
      <c r="G3168" t="inlineStr">
        <is>
          <t>2020-07-14 14:09:48</t>
        </is>
      </c>
      <c r="H3168" t="inlineStr">
        <is>
          <t>Tested Positive</t>
        </is>
      </c>
    </row>
    <row r="3169">
      <c r="A3169" t="inlineStr">
        <is>
          <t>hrac5e</t>
        </is>
      </c>
      <c r="B3169" t="inlineStr">
        <is>
          <t>19m Tested Positive on 7/7</t>
        </is>
      </c>
      <c r="C3169" t="inlineStr">
        <is>
          <t>i see a lot of people on here posting that they’re worried about what’s to come with the virus after contracting it and i’m hoping my post will shed some positive light.  my symptoms started on 7/5 with bad headaches, high fever, chills, and sweating. i completely lost my smell and taste also.  interestingly i did not have any respiratory issues.  i only had symptoms for about 3 days and then i’d only have a temperature of like 99.4 at night and i’d be a little sweaty.  after that my symptoms resided and i only couldn’t taste or smell.  today is now 7/14 and i’ve had no symptoms and my smell and taste are finally coming back.  my brother who is 21 also had it a couple days before me and he experienced the same symptoms as me and is now completely better.</t>
        </is>
      </c>
      <c r="D3169" t="n">
        <v>18</v>
      </c>
      <c r="E3169" t="n">
        <v>13</v>
      </c>
      <c r="F3169">
        <f>HYPERLINK("https://www.reddit.com/r/COVID19positive/comments/hrac5e/19m_tested_positive_on_77/")</f>
        <v/>
      </c>
      <c r="G3169" t="inlineStr">
        <is>
          <t>2020-07-14 14:23:54</t>
        </is>
      </c>
      <c r="H3169" t="inlineStr">
        <is>
          <t>Tested Positive - Me</t>
        </is>
      </c>
    </row>
    <row r="3170">
      <c r="A3170" t="inlineStr">
        <is>
          <t>hram0e</t>
        </is>
      </c>
      <c r="B3170" t="inlineStr">
        <is>
          <t>Full recovery (2 negative PCR tests) - experienced ~10 days of mild symptoms</t>
        </is>
      </c>
      <c r="C3170" t="inlineStr">
        <is>
          <t>Hi everyone, I'm so grateful to say I've tested negative twice after a mild course of COVID! I wanted to share my experience/symptom diary and give my best wishes to everyone struggling with this disease physically or mentally, test positive or not. I feel immensely lucky and am so relieved to have only experienced mild symptoms. Please feel free to message/comment any questions and I will do my best to reply! I am 21 F, blood type O+.
June 30 Day 1 (tested positive): tickle in back of throat, a little bit of coughing, some fatigue, slightly elevated temperature
July 1 Day 2: tickle in back of throat subsided a bit, more coughing, pressure in chest with deep breaths, intense fatigue, soreness around back, legs, arms, headache, elevated temperature during day and fever (around 101) at night
July 2 Day 3: minor sore throat (different from throat tickle), continued pressure in chest with deep breaths, coughing, fatigue and soreness improved
July 3 Day 4: minor sore throat, breathing feels almost back to normal, minor coughing, fatigue in afternoon/evening
July 4 Day 5: lost some sense of smell, stuffy nose, breathing completely normal
July 5 Day 6: lost much of smell, stuffy nose, some soreness, elevated temperature
July 6 Day 7: lost almost all smell, stuffy nose, postnasal drip sore throat, some fatigue
July 7 Day 8: lost almost all smell, congestion improved, some fatigue
July 8 Day 9: lost almost all smell, some fatigue
July 9 Day 10: smell a tiny bit improved, much less fatigue
July 10 Day 11 (tested again, results negative): smell remained the same
July 11 Day 12: smell remained the same
July 12 Day 13 (tested again, results negative): smell remained the same
My boyfriend had a 103º fever on June 29, which prompted us to get tested June 30. We’ve both been isolating and have been extremely fortunate to have mild cases of this illness. Not completely sure how we got it, but we drove together from Houston to Los Angeles June 26-28 (we’ve just moved to LA for his new job) and are thinking we contracted it somewhere on the road.
I'm still waiting for my smell to recover &amp;amp; will update if/when it does!</t>
        </is>
      </c>
      <c r="D3170" t="n">
        <v>5</v>
      </c>
      <c r="E3170" t="n">
        <v>11</v>
      </c>
      <c r="F3170">
        <f>HYPERLINK("https://www.reddit.com/r/COVID19positive/comments/hram0e/full_recovery_2_negative_pcr_tests_experienced_10/")</f>
        <v/>
      </c>
      <c r="G3170" t="inlineStr">
        <is>
          <t>2020-07-14 14:38:13</t>
        </is>
      </c>
      <c r="H3170" t="inlineStr">
        <is>
          <t>Tested Positive - Me</t>
        </is>
      </c>
    </row>
    <row r="3171">
      <c r="A3171" t="inlineStr">
        <is>
          <t>hrc5jk</t>
        </is>
      </c>
      <c r="B3171" t="inlineStr">
        <is>
          <t>[29/"young healthy"] Week 4 of Trouble Breathing, looking to relate to someone to calm my nerves</t>
        </is>
      </c>
      <c r="C3171" t="inlineStr">
        <is>
          <t>I went through a real "illness" phase a few weeks ago where I was so winded from sitting up or walking across the room, had really bad chest pains, never had a fever or cough, but def noticed a major loss of taste. I felt pretty "normal" at the end of week 3 of self isolation so this past weekend i was somewhat out and about. there were a few moments of exertion that basically knocked me back to week 2, so i'm not like week 1illness level, but my breathing feels really heavy again even though the rest of me feels normal. i am going to stay in bed but i am nervous about my trajectory, 3weeks of rest and some mild weekend walking around and now my progress is ruined.
i know people have been quoted to saying their breathing was bad for months but this just seems extreme since my lungs are apparently so weak they couldn't even handle some walking around, it wasn't like i full on exercized.
the main thing i'm feeling is my lungs feel suuuuuuper heavy and weak. i can sleep through the night fine and when the doctor ans hospital checked my oxygen levels (a few weeks ago at my worst) they were saying my oxygen seemed great.
my grandma was in the hospital a few months ago with pnemonia and was hooked up to oxygen in super bad shape and she was like back in action 2weeks later and was fine.
would realllllllllllllly love if someone does relate to this and to hear how they handled it</t>
        </is>
      </c>
      <c r="D3171" t="n">
        <v>1</v>
      </c>
      <c r="E3171" t="n">
        <v>11</v>
      </c>
      <c r="F3171">
        <f>HYPERLINK("https://www.reddit.com/r/COVID19positive/comments/hrc5jk/29young_healthy_week_4_of_trouble_breathing/")</f>
        <v/>
      </c>
      <c r="G3171" t="inlineStr">
        <is>
          <t>2020-07-14 16:05:39</t>
        </is>
      </c>
      <c r="H3171" t="inlineStr">
        <is>
          <t>Presumed Positive - From Doctor</t>
        </is>
      </c>
    </row>
    <row r="3172">
      <c r="A3172" t="inlineStr">
        <is>
          <t>hrcfj8</t>
        </is>
      </c>
      <c r="B3172" t="inlineStr">
        <is>
          <t>Healthcare worker husband with abnormal pulmonary function test and lungs of an 84 year old.</t>
        </is>
      </c>
      <c r="C3172" t="inlineStr">
        <is>
          <t>My husband is an RN at a pretty big hospital outside of a pretty big city, but we haven't really been hit too hard. His hospital was on board with all precautions pretty early in the game, and because he's a supervisor, he doesn't have as much patient care as a floor nurse.   
In early April, he got a call that a patient on the floor tested positive, so he got tested. He didn't have any symptoms at that point, so we weren't surprised, but relieved that he tested negative.  
For the last month or so, he has been complaining of mild chest tightness/shortness of breath. It was always kind of subtle, and it was worse when he was outside, so we assumed allergies, since he had no other symptoms whatsoever. 
It started to get worse, so he went to the his primary care doctor, but, again, had no other symptoms, so they wouldn't test him.  
Within the last two weeks, he started having heart palpitations, became short of breath with just talking, and would get pretty severe night sweats. We have a pulse oximeter and he never satted below 98% and we do temp checks every day and he never had a fever. He pretty much demanded that he be tested again. It came back negative, again. This was just days ago.  
He went back to his primary care doctor again and had a pulmonary function test. Every single thing they tested for was abnormal and it shows that his lungs are functioning at less than 60% of normal and he has the lungs of someone older than 84 years old (he is a 32 year old male with NO OTHER health conditions). We can't imagine it not being a result of having had covid at some point and how shitty it is that his life, our lives, can be potentially be changed like this forever because of his career choice.  
He is following up with a pulmonologist tomorrow, but we have just been panicked about what this means. I'm also a nurse and we have 2 small kids, and have no idea what this means for them. We were all mildly ill at the end of February, but it came and went, and was mostly gastrointestinal, so I doubt it was related, but who even knows? The results seemed to suggest fibroids or scarring of the lung tissue, similar to post-ARDS syndrome. No one knows if it's reversible, but usually it's not.  
It makes me angry that people are still refusing to wear masks or take this seriously but don't hesitate to seek the help of healthcare workers at the drop of a hat. The clapping, lining up of people to praise nurses and doctors, the free pizza for frontline workers, etc., won't or can't ever make up for how my family's life might possibly be affected by this. It is all I can think about now. Even some of his coworkers are making pretty reckless choices and putting themselves in a position to become infected or infect others; health care workers on his floor have tested positive after traveling, which is just irresponsible in my opinion.  
Now I just have to hope that I don't also get sick so that my kids don't have to watch us both die prematurely. I regret ever becoming a nurse.</t>
        </is>
      </c>
      <c r="D3172" t="n">
        <v>18</v>
      </c>
      <c r="E3172" t="n">
        <v>28</v>
      </c>
      <c r="F3172">
        <f>HYPERLINK("https://www.reddit.com/r/COVID19positive/comments/hrcfj8/healthcare_worker_husband_with_abnormal_pulmonary/")</f>
        <v/>
      </c>
      <c r="G3172" t="inlineStr">
        <is>
          <t>2020-07-14 16:22:16</t>
        </is>
      </c>
      <c r="H3172" t="inlineStr">
        <is>
          <t>Presumed Positive - From Doctor</t>
        </is>
      </c>
    </row>
    <row r="3173">
      <c r="A3173" t="inlineStr">
        <is>
          <t>hrcu8q</t>
        </is>
      </c>
      <c r="B3173" t="inlineStr">
        <is>
          <t>tested positive on 6/27. 20 yo female</t>
        </is>
      </c>
      <c r="C3173" t="inlineStr">
        <is>
          <t>i was tested positive on june 27th. i started having symptoms on the 25th. i got hospitalized for three days and was discharged last week. im past my two week mark and currently waiting on my results from my second test to see if im negative. while in the hospital they found it caused ground glass opacities on my lungs and inflammation in my colon. I was healthy before this and was not immunocompromised. i’ve noticed that while most of my other symptoms are gone i still have the following:
- brain fog/zaps. loss of memory. groggy. pounding headaches on and off. 
- fatigue, constantly tired and wanting to sleep but can’t sleep for more than 6 hours. 
- waking up drenched in sweat. 
- still suffering from loss of taste and smell. 
- unable to focus. difficulty recalling things. 
- my heart rate spikes from me doing barely anything. 
Im grateful im not in the hospital anymore however the symptoms with my heart rate and brain fog/grogginess are concerning me and i’m wondering if anyone else is experiencing this?</t>
        </is>
      </c>
      <c r="D3173" t="n">
        <v>1</v>
      </c>
      <c r="E3173" t="n">
        <v>10</v>
      </c>
      <c r="F3173">
        <f>HYPERLINK("https://www.reddit.com/r/COVID19positive/comments/hrcu8q/tested_positive_on_627_20_yo_female/")</f>
        <v/>
      </c>
      <c r="G3173" t="inlineStr">
        <is>
          <t>2020-07-14 16:47:10</t>
        </is>
      </c>
      <c r="H3173" t="inlineStr">
        <is>
          <t>Tested Positive - Me</t>
        </is>
      </c>
    </row>
    <row r="3174">
      <c r="A3174" t="inlineStr">
        <is>
          <t>hrdpzg</t>
        </is>
      </c>
      <c r="B3174" t="inlineStr">
        <is>
          <t>31 F With asthma tested positive today. I’m terrified of taking a turn for the worst.</t>
        </is>
      </c>
      <c r="C3174" t="inlineStr">
        <is>
          <t>I started feeling ill yesterday afternoon, fatigued with body chills, and slept about 15 hours since then. I woke up about 5:30 am with a terrible headache, swollen glands, a sore throat, and a fever. I don’t have any lung issues right now, other than a little mucus and it hurts to breathe. I went to the ER and tested positive. 
I am terrified. I have a history of bronchial asthma and relative issues. I was trying to be safe because of this and I honestly have no clue where I got it, maybe target. I’m worried about it going into my lungs and ending up on a respirator. Anyone with asthma test positive? Any tips or advice? Stay safe everyone!</t>
        </is>
      </c>
      <c r="D3174" t="n">
        <v>6</v>
      </c>
      <c r="E3174" t="n">
        <v>48</v>
      </c>
      <c r="F3174">
        <f>HYPERLINK("https://www.reddit.com/r/COVID19positive/comments/hrdpzg/31_f_with_asthma_tested_positive_today_im/")</f>
        <v/>
      </c>
      <c r="G3174" t="inlineStr">
        <is>
          <t>2020-07-14 17:43:26</t>
        </is>
      </c>
      <c r="H3174" t="inlineStr">
        <is>
          <t>Tested Positive - Me</t>
        </is>
      </c>
    </row>
    <row r="3175">
      <c r="A3175" t="inlineStr">
        <is>
          <t>hreswk</t>
        </is>
      </c>
      <c r="B3175" t="inlineStr">
        <is>
          <t>My results came positive and I don’t know what to do?</t>
        </is>
      </c>
      <c r="C3175" t="inlineStr">
        <is>
          <t>Hi I’m 18 and a male. I already kinda knew I had COVID-19 I got sick on July 5 and I had back pains, fever, headache, pain on my legs felt like hell for 3 days now I just have a mild chest pain and mild shortness of breath I feel pretty normal. I got tested July 13 and my results came positive today I’m confused on what to so do I just stay home into I get better and go to the hospital if I’m really in pain? another problem is half of my family is positive as we’ll and we live in same house do stay away from them? sorry if it sounds dumb but I really don’t know what to do hope y’all could help me.</t>
        </is>
      </c>
      <c r="D3175" t="n">
        <v>1</v>
      </c>
      <c r="E3175" t="n">
        <v>10</v>
      </c>
      <c r="F3175">
        <f>HYPERLINK("https://www.reddit.com/r/COVID19positive/comments/hreswk/my_results_came_positive_and_i_dont_know_what_to/")</f>
        <v/>
      </c>
      <c r="G3175" t="inlineStr">
        <is>
          <t>2020-07-14 18:54:33</t>
        </is>
      </c>
      <c r="H3175" t="inlineStr">
        <is>
          <t>Tested Positive - Family</t>
        </is>
      </c>
    </row>
    <row r="3176">
      <c r="A3176" t="inlineStr">
        <is>
          <t>hreu9m</t>
        </is>
      </c>
      <c r="B3176" t="inlineStr">
        <is>
          <t>36 and tested positive on 7/12</t>
        </is>
      </c>
      <c r="C3176" t="inlineStr">
        <is>
          <t>My symptoms started out on 7/10 with just a scratchy throat and a bit of fatigue. I Woke up on 7/12 with a terrible sore throat and chest pressure. Went to the ER thinking that it was strep or something similar, but the strep test came back negative and they tested me for covid as a precaution. The test results came back the next day as positive. Here I am on 7/14 stressed out of my mind. My throat is pretty much better now, but I have developed gastrointestinal symptoms. I'm overall annoyed that I've been staying home as much as possible and always wearing masks to the grocery store, but still ended up with this. For now my symptoms are very mild, but I have 4 small children and I can't stop thinking of this getting worse and possibly leaving them and their mother without a father/husband. I'm doing my best to stay positive, but it's been rough having these thoughts and also being isolated away from them in a seperate room.</t>
        </is>
      </c>
      <c r="D3176" t="n">
        <v>3</v>
      </c>
      <c r="E3176" t="n">
        <v>19</v>
      </c>
      <c r="F3176">
        <f>HYPERLINK("https://www.reddit.com/r/COVID19positive/comments/hreu9m/36_and_tested_positive_on_712/")</f>
        <v/>
      </c>
      <c r="G3176" t="inlineStr">
        <is>
          <t>2020-07-14 18:57:04</t>
        </is>
      </c>
      <c r="H3176" t="inlineStr">
        <is>
          <t>Tested Positive - Friends</t>
        </is>
      </c>
    </row>
    <row r="3177">
      <c r="A3177" t="inlineStr">
        <is>
          <t>hrfc2b</t>
        </is>
      </c>
      <c r="B3177" t="inlineStr">
        <is>
          <t>Symptom duration on relapse</t>
        </is>
      </c>
      <c r="C3177" t="inlineStr">
        <is>
          <t>35M no previous conditions, exercised regularly 3d/w before this. I had it back in 30/3 with SOB developing at the start of April. I been having almost all wave-like symptoms described by long haulers ( sob, body aches, GI issues, neck pain, chest pain and tightness, etc). Two weeks ago I finally got rid of SOB, and tiredness, along with almost all other symptoms. However, tree days ago I started feeling an itchy throat, and a light cough and today I have 98.6F (37C) of temperature again ( it was the same back in April). I know there are some people who had a sort of relapse/reinfeccion. Can you tell me please how long it lasted the second time and how bad it was? 
Thank you all.</t>
        </is>
      </c>
      <c r="D3177" t="n">
        <v>1</v>
      </c>
      <c r="E3177" t="n">
        <v>16</v>
      </c>
      <c r="F3177">
        <f>HYPERLINK("https://www.reddit.com/r/COVID19positive/comments/hrfc2b/symptom_duration_on_relapse/")</f>
        <v/>
      </c>
      <c r="G3177" t="inlineStr">
        <is>
          <t>2020-07-14 19:29:35</t>
        </is>
      </c>
      <c r="H3177" t="inlineStr">
        <is>
          <t>Presumed Positive - From Doctor</t>
        </is>
      </c>
    </row>
    <row r="3178">
      <c r="A3178" t="inlineStr">
        <is>
          <t>hrhvdx</t>
        </is>
      </c>
      <c r="B3178" t="inlineStr">
        <is>
          <t>I (21M) tested positive for COVID yesterday and the anxiety of it is killing me</t>
        </is>
      </c>
      <c r="C3178" t="inlineStr">
        <is>
          <t>Hello all, 
Starting nearly two weeks ago I began to develop a very mild sore throat. Ignored it thinking it was just my allergies, I often have sore throats due to my allergies so it was not a point of concern for me, but as the sore throat persisted I began to worry and eventually went to get tested for COVID on Thursday of last week.  The test was a rapid test and my results came back negative in less than an hour. I figured it was still just allergies at that point. Come Sunday morning, my sore throat is worse and not only that but I developed a fever and body chills and aches overnight. Because I already tested negative before I figured I might have had strep and took myself to my doctors, there they offer to test me for COVID again and the next day, on Monday,  I received my results which were positive. Since receiving my results, I have not had a fever or body aches, I've only popped a few painkillers on Monday and none on Tuesday.  I am still a little fatigued but I believe it is mainly due to my lack of sleep from worrying so much. 
&amp;amp;#x200B;
Tonight (Tuesday night) I lost my ability to smell and taste. This just threw me into an anxiety attack as I contemplated the possibility of this being permanent or me never getting my full sense of smell and taste back. Right now I am very anxious and worried, I am not sure where this illness is going or if I am near the end at all. The anxiety sucks because it causes me to have shortness of breath which is a symptom, thus causing me to get more anxiety. Honestly, other than the loss of smell and taste, I have no other symptoms right now, but the anxiety is making my experience a living hell. 
Has anyone else dealt with extreme anxiety while dealing with COVID? Any advice?
Also, is it safe to assume I am out of the worst of it? I started showing symptoms nearly two weeks ago and then a few days ago was when suddenly I woke up with the fever and aches which are gone now. Should I be worried about more to come?
Any advice or comments are appreciated. 
&amp;amp;#x200B;
Thank you for reading.</t>
        </is>
      </c>
      <c r="D3178" t="n">
        <v>3</v>
      </c>
      <c r="E3178" t="n">
        <v>8</v>
      </c>
      <c r="F3178">
        <f>HYPERLINK("https://www.reddit.com/r/COVID19positive/comments/hrhvdx/i_21m_tested_positive_for_covid_yesterday_and_the/")</f>
        <v/>
      </c>
      <c r="G3178" t="inlineStr">
        <is>
          <t>2020-07-14 22:33:27</t>
        </is>
      </c>
      <c r="H3178" t="inlineStr">
        <is>
          <t>Tested Positive - Me</t>
        </is>
      </c>
    </row>
    <row r="3179">
      <c r="A3179" t="inlineStr">
        <is>
          <t>hrhw7x</t>
        </is>
      </c>
      <c r="B3179" t="inlineStr">
        <is>
          <t>Stay in room or quarantine elsewhere?</t>
        </is>
      </c>
      <c r="C3179" t="inlineStr">
        <is>
          <t>My fiance and I have both tested for COVID on 7/13, She came up positive and I was negative which we found odd. We have a theory that, being a medical worker on the front lines, I may have developed antibodies  from consistent low level exposure. ( this seems kind of dumb to me but I'm a dietitian and not an epidemiologist so big shrug)
We both are living at my parents place for the time being in a small room and have been sharing the space for 6 months roughly. 
We are trying to figure out what to do now moving forward. Since the test we have been in the same confined space for roughly 2 days and I have likely been exposed by now. We aren't sure if I should quarantine elsewhere or just spent the rest of the time here in the same room. The way I see it, since I have spent this much time so close  it wont really matter since I have either been exposed enough by now or I have some odd resistance to it at this point.
&amp;amp;#x200B;
any advice?</t>
        </is>
      </c>
      <c r="D3179" t="n">
        <v>5</v>
      </c>
      <c r="E3179" t="n">
        <v>6</v>
      </c>
      <c r="F3179">
        <f>HYPERLINK("https://www.reddit.com/r/COVID19positive/comments/hrhw7x/stay_in_room_or_quarantine_elsewhere/")</f>
        <v/>
      </c>
      <c r="G3179" t="inlineStr">
        <is>
          <t>2020-07-14 22:35:14</t>
        </is>
      </c>
      <c r="H3179" t="inlineStr">
        <is>
          <t>Tested Positive - Family</t>
        </is>
      </c>
    </row>
    <row r="3180">
      <c r="A3180" t="inlineStr">
        <is>
          <t>hrjfys</t>
        </is>
      </c>
      <c r="B3180" t="inlineStr">
        <is>
          <t>A week since symptoms, was feeling better, fever is back?</t>
        </is>
      </c>
      <c r="C3180" t="inlineStr">
        <is>
          <t>Hi I’m a 26F who is overweight but otherwise healthy. I woke up 7/8 with fever, intense body and muscle aches, headache, fatigue, lightheaded. Went to pop up testing that afternoon. 7/9 more fever, awful body aches, exhausted but couldn’t sleep. 7/10 felt better just weak. Found out this day I was exposed on 7/4. 7/11 &amp;amp; 7/12 kept improving just tired and chest felt odd. 7/13 found out my test was positive but continued to feel better. 7/14 felt worse, needed a nap a couple hours after waking up, chest heaviness was worse, a bit before bed my back started hurting (bad symptom from the beginning) and I felt slightly fevered (we don’t have a thermometer 😩). It’s now 4am on 7/15 and sleep has been awful and I feel like I’m relapsing? Is this a normal thing? I haven’t been under a Drs care but I’m wondering if I should be. I have 2 young children I’m caring for and my husband also has symptoms and is continuing to work from home. I’m scared of things taking a turn but trying to stay optimistic. What should I be looking for? Any experiences would be great. Thanks.</t>
        </is>
      </c>
      <c r="D3180" t="n">
        <v>1</v>
      </c>
      <c r="E3180" t="n">
        <v>5</v>
      </c>
      <c r="F3180">
        <f>HYPERLINK("https://www.reddit.com/r/COVID19positive/comments/hrjfys/a_week_since_symptoms_was_feeling_better_fever_is/")</f>
        <v/>
      </c>
      <c r="G3180" t="inlineStr">
        <is>
          <t>2020-07-15 00:49:59</t>
        </is>
      </c>
      <c r="H3180" t="inlineStr">
        <is>
          <t>Tested Positive - Me</t>
        </is>
      </c>
    </row>
    <row r="3181">
      <c r="A3181" t="inlineStr">
        <is>
          <t>hrljqf</t>
        </is>
      </c>
      <c r="B3181" t="inlineStr">
        <is>
          <t>For the Long Haulers a few scattered questions</t>
        </is>
      </c>
      <c r="C3181" t="inlineStr">
        <is>
          <t>&amp;amp;#x200B;
I have a kid in their late 20's that moved back  home about 3 months ago and at the beginning of June started a cough. Second week of June they were sent home from work and told to take a test.  Did the drive-through test and week later came back positive.  Within that week the cough got worse and worse.  Kid doesn't have health insurance so, as many times as I begged them to go to the ER (yes, the 'can't catch my breath' is real and very scary) they didn't go because of not having insurance.
The 3 weeks of 'paid work leave' (2 at 100% and 1 at 75%) were done last week. The HHS finally gave  the okay paperwork to return to work because the bills are piling up and I think being quarantined at  home is awful for them (even though I can clearly see the cough is NOT gone and the fatigue has not let up). Kid goes to work today and has to come home one hour into shift because of light headed, dizzy, "can't breath" feeling.  The work itself is grueling in a shipping department. 
Long Haulers, what are the options here?  Calling work and asking for light duty?  Going on unemployment?  Will they lose their job? What about going for medical help without insurance (We are in PA btw)?  What about those medical bills?  I can see the worry on my kids face when they came home from work, but exhaustion took over so back into bed he crawled.
How long until this thing is gone and a feeling 'normal' returns? In the mean time, how does one cope with work and everyday life activities?
Thanks for any help or advice that I can pass along to him. I know he's an adult, but I have not seen him this literally 'sick' for decade, and as a mom I can't help but want to help.</t>
        </is>
      </c>
      <c r="D3181" t="n">
        <v>4</v>
      </c>
      <c r="E3181" t="n">
        <v>13</v>
      </c>
      <c r="F3181">
        <f>HYPERLINK("https://www.reddit.com/r/COVID19positive/comments/hrljqf/for_the_long_haulers_a_few_scattered_questions/")</f>
        <v/>
      </c>
      <c r="G3181" t="inlineStr">
        <is>
          <t>2020-07-15 04:01:40</t>
        </is>
      </c>
      <c r="H3181" t="inlineStr">
        <is>
          <t>Tested Positive - Family</t>
        </is>
      </c>
    </row>
    <row r="3182">
      <c r="A3182" t="inlineStr">
        <is>
          <t>hrmcaq</t>
        </is>
      </c>
      <c r="B3182" t="inlineStr">
        <is>
          <t>Tested positive for antibodies but swab test never showed - could I still have it?</t>
        </is>
      </c>
      <c r="C3182" t="inlineStr">
        <is>
          <t>Hi guys, I'm a bit confused. Does the presence of antibodies mean I had, but no longer have, covid? I ordered a swap test but it never showed up. Still struggling with what the GP said was likely post covid fatigue.</t>
        </is>
      </c>
      <c r="D3182" t="n">
        <v>3</v>
      </c>
      <c r="E3182" t="n">
        <v>15</v>
      </c>
      <c r="F3182">
        <f>HYPERLINK("https://www.reddit.com/r/COVID19positive/comments/hrmcaq/tested_positive_for_antibodies_but_swab_test/")</f>
        <v/>
      </c>
      <c r="G3182" t="inlineStr">
        <is>
          <t>2020-07-15 05:06:10</t>
        </is>
      </c>
      <c r="H3182" t="inlineStr">
        <is>
          <t>Tested Positive - Me</t>
        </is>
      </c>
    </row>
    <row r="3183">
      <c r="A3183" t="inlineStr">
        <is>
          <t>hrnpf3</t>
        </is>
      </c>
      <c r="B3183" t="inlineStr">
        <is>
          <t>False Positive or Asymptomatic. Tested Negative 5 Days after</t>
        </is>
      </c>
      <c r="C3183" t="inlineStr">
        <is>
          <t>I created a post on July 8th explaining how a group of us, no symptoms, were tested after someone around us was positive. That person had mild symptoms of headache and low fever for 2 days. They also lost taste and smell. 30 people were tested. 4 days later, 10 positive results. I was one of them. 
Most of us were in such shock that we went to get tested the next day after we received the results. That means, 3 of us tested 5 days after the initial test that resulted in positive. All three of those results came back 6 days later as NEGATIVE. So within 5 days of a positive, we tested negative.
All 10 positive results (including the eventual negative results) did not have any symptoms that even resembled a mild case. Paranoia made people believe they had a headache at one point, but only lasting an hour. Everyone that tested positive was tested again including some for antibodies.
The age group ranged from 23-67, all Males tested positive, and no underlying conditions except for some with high BP and others with Asthma. We are located in what many consider is now the epicenter of COVID that is reporting high positives. 
Pending the antibodies results, has anyone else personally experienced so many around them testing positive to then test negative quickly and to show no symptoms? 
**This post is not meant for conspiracies. This was a personal experience and observation.**</t>
        </is>
      </c>
      <c r="D3183" t="n">
        <v>5</v>
      </c>
      <c r="E3183" t="n">
        <v>21</v>
      </c>
      <c r="F3183">
        <f>HYPERLINK("https://www.reddit.com/r/COVID19positive/comments/hrnpf3/false_positive_or_asymptomatic_tested_negative_5/")</f>
        <v/>
      </c>
      <c r="G3183" t="inlineStr">
        <is>
          <t>2020-07-15 06:38:18</t>
        </is>
      </c>
      <c r="H3183" t="inlineStr">
        <is>
          <t>Tested Positive - Me</t>
        </is>
      </c>
    </row>
    <row r="3184">
      <c r="A3184" t="inlineStr">
        <is>
          <t>hro7c3</t>
        </is>
      </c>
      <c r="B3184" t="inlineStr">
        <is>
          <t>Where are all 4 months+ long haulers? Are there just a few of us left and the rest has cured?</t>
        </is>
      </c>
      <c r="C3184" t="inlineStr">
        <is>
          <t>I just cannot seem to get over it. Experiencing yet another bad day on day 125. Still home bound after such a long period. I was initially a mild case, no fever, lasted for about 2 weeks. The long haul symptoms started hitting me around day 21. I have had periods where i thought i was really doing better (2 weeks of 90+95%), managed to do some small walks (2km), cooking, chores etc but i am back again in bed, SOB, fatigue, overall energy drain.
The number of 4 months long haul here seems to decline. Are you all just tired of posting, or actually feeling better, while i stay stuck in this miserable situation?</t>
        </is>
      </c>
      <c r="D3184" t="n">
        <v>2</v>
      </c>
      <c r="E3184" t="n">
        <v>193</v>
      </c>
      <c r="F3184">
        <f>HYPERLINK("https://www.reddit.com/r/COVID19positive/comments/hro7c3/where_are_all_4_months_long_haulers_are_there/")</f>
        <v/>
      </c>
      <c r="G3184" t="inlineStr">
        <is>
          <t>2020-07-15 07:07:59</t>
        </is>
      </c>
      <c r="H3184" t="inlineStr">
        <is>
          <t>Presumed Positive - From Doctor</t>
        </is>
      </c>
    </row>
    <row r="3185">
      <c r="A3185" t="inlineStr">
        <is>
          <t>hrolvl</t>
        </is>
      </c>
      <c r="B3185" t="inlineStr">
        <is>
          <t>Asymptomatic or false positive?</t>
        </is>
      </c>
      <c r="C3185" t="inlineStr">
        <is>
          <t>I got a positive result this morning after being tested 07/13. I was exposed on 07/05 to someone who tested positive two days later. Oddly enough, my partner tested negative and so did the two other people who were exposed on 07/05. My only symptoms are so non-specific that I hesitate to call them symptoms: tired, mild and fleeting headache, some dizziness, mild chest pressure for about two days over the weekend (it honestly didn't feel that much different than when I drink too much coffee). I ran an average speed 5k yesterday morning with no issues. It's been 11 days since exposure, so I suppose symptoms could be delayed, but that seems unlikely.
I figured I didn't have it and my test would come back negative, so I was very surprised to see the positive result this morning and even more surprised when everyone else's tests came back negative. Has anyone else found themselves in this position? How common are false positives?</t>
        </is>
      </c>
      <c r="D3185" t="n">
        <v>1</v>
      </c>
      <c r="E3185" t="n">
        <v>4</v>
      </c>
      <c r="F3185">
        <f>HYPERLINK("https://www.reddit.com/r/COVID19positive/comments/hrolvl/asymptomatic_or_false_positive/")</f>
        <v/>
      </c>
      <c r="G3185" t="inlineStr">
        <is>
          <t>2020-07-15 07:31:20</t>
        </is>
      </c>
      <c r="H3185" t="inlineStr">
        <is>
          <t>Tested Positive - Me</t>
        </is>
      </c>
    </row>
    <row r="3186">
      <c r="A3186" t="inlineStr">
        <is>
          <t>hroma4</t>
        </is>
      </c>
      <c r="B3186" t="inlineStr">
        <is>
          <t>When can I (27m -Negative) see my girlfriend (27f -Positive) again?</t>
        </is>
      </c>
      <c r="C3186" t="inlineStr">
        <is>
          <t>Question for y'all,
&amp;amp;#x200B;
Two weeks ago (7/1) my girlfriend and I took COVID swab tests in preparation to go see her Grandparents and help them out around their home. I tested negative - but she got a positive result called in on 7/2. 
She was staying at my place 6/30-7/2, but upon the positive call immediately went back to her Apartment and has diligently been self-isolating there for the past 14 days. At no point did she experience ANY symptoms whatsoever.
I got two additional tests afterwards (on 7/3 and 7/7, my anxiety has been CRAZY high and I hoped test results would help stop my "the sky is falling" mental reactions) but both were negative. My PCP said to still assume positive and I've been self-isolating and pounding down vitamin supplements since. 
We both just got a call from our local health department saying that our 14 days were up and we were safe to rejoin society. This morning we both got swab tested again, hoping for two negatives over the next 3 days. 
&amp;amp;#x200B;
My question for y'all - when do you think it'd be TOTALLY safe for us to see each other again? Medical sources from the CDC to Harvard have given us some conflicting advice about when she is no-longer contagious (10 days, 14 days, two negative tests, etc), so it's been hard for us to set a specific reunion date. Obviously we aren't going to wear masks around each other - we had been transitioning to living together and that's not a long-term sustainable in-home solution - and she's said she doesn't want to even visit until we can act like "normal" again (read: until I feel comfortable cuddling). 
Thanks in advance for any advice/guidance/opinions you can share!</t>
        </is>
      </c>
      <c r="D3186" t="n">
        <v>2</v>
      </c>
      <c r="E3186" t="n">
        <v>4</v>
      </c>
      <c r="F3186">
        <f>HYPERLINK("https://www.reddit.com/r/COVID19positive/comments/hroma4/when_can_i_27m_negative_see_my_girlfriend_27f/")</f>
        <v/>
      </c>
      <c r="G3186" t="inlineStr">
        <is>
          <t>2020-07-15 07:31:58</t>
        </is>
      </c>
      <c r="H3186" t="inlineStr">
        <is>
          <t>Tested Positive - Family</t>
        </is>
      </c>
    </row>
    <row r="3187">
      <c r="A3187" t="inlineStr">
        <is>
          <t>hroxhx</t>
        </is>
      </c>
      <c r="B3187" t="inlineStr">
        <is>
          <t>tested positive 3 months ago, have had erectile dysfunction for the past 2 months. i'm only 24. could it be covid?</t>
        </is>
      </c>
      <c r="C3187" t="inlineStr">
        <is>
          <t>hi, what the title says basically. i haven't woken up with morning wood for about a month and a half now. getting an erection is so difficult, and i can only achieve 75% of what i used to at most.
my covid symptoms were heart palpitations, chest pain and kidney pain (nothing too serious but definitely worrying).
have there been other posts on this sub about similar issues? i really don't know what else it can be. i am circumcised but and at times looks like i have foreskin because my penis appears to be get sucked into my body?</t>
        </is>
      </c>
      <c r="D3187" t="n">
        <v>1</v>
      </c>
      <c r="E3187" t="n">
        <v>27</v>
      </c>
      <c r="F3187">
        <f>HYPERLINK("https://www.reddit.com/r/COVID19positive/comments/hroxhx/tested_positive_3_months_ago_have_had_erectile/")</f>
        <v/>
      </c>
      <c r="G3187" t="inlineStr">
        <is>
          <t>2020-07-15 07:49:34</t>
        </is>
      </c>
      <c r="H3187" t="inlineStr">
        <is>
          <t>Tested Positive - Me</t>
        </is>
      </c>
    </row>
    <row r="3188">
      <c r="A3188" t="inlineStr">
        <is>
          <t>hrp37z</t>
        </is>
      </c>
      <c r="B3188" t="inlineStr">
        <is>
          <t>I’m feeling better, but tested positive.</t>
        </is>
      </c>
      <c r="C3188" t="inlineStr">
        <is>
          <t>I’ve had this nagging dry cough for a few days, but on Sunday I started feeling “off” like I was starting to get a cold. I had the sensation of not being able to breathe.  I have asthma, so I used my rescue inhaler, and it didn’t really help. I came home from work and did a breathing treatment that seemed to help a little bit.  I’m in nursing school so I listened to my lungs and they were totally clear with no evidence of wheezing, but I still felt short of breath. By late Sunday evening my neck was hurting so much that it was hard to turn my head. I woke up Monday morning with a pounding headache, eyeballs that felt like they were about to explode, severe nasal congestion, sneezing, body aches and fever. Did a telemedicine visit with my doc and she recommended a Covid test. Had that done yesterday and got my results this morning. I am positive. I’ve actually been feeling much better. Fever hasn’t spiked back up other than the one time when it went up to 101, body aches are gone, head and eye pain are minimal. I’m just tired and instead of feeling nauseous and vomiting, I feel ravenous. I want to eat constantly. I feel like I’m hungry every other hour or so. 
I am hyper vigilant about wearing a mask and using sanitizer etc because I have RA and am on immunosuppressants. What I find kind of funny, just over 2 weeks ago I had Covid testing done when my county had a free testing event done. I had no symptoms then, but went since you can be an asymptomatic carrier. I stood in line for about 2.5 hours and there were 70 plus people that tested positive at that event. I can’t help but wonder if I got infected at that event!</t>
        </is>
      </c>
      <c r="D3188" t="n">
        <v>1</v>
      </c>
      <c r="E3188" t="n">
        <v>7</v>
      </c>
      <c r="F3188">
        <f>HYPERLINK("https://www.reddit.com/r/COVID19positive/comments/hrp37z/im_feeling_better_but_tested_positive/")</f>
        <v/>
      </c>
      <c r="G3188" t="inlineStr">
        <is>
          <t>2020-07-15 07:58:53</t>
        </is>
      </c>
      <c r="H3188" t="inlineStr">
        <is>
          <t>Tested Positive - Me</t>
        </is>
      </c>
    </row>
    <row r="3189">
      <c r="A3189" t="inlineStr">
        <is>
          <t>hrpedj</t>
        </is>
      </c>
      <c r="B3189" t="inlineStr">
        <is>
          <t>Anemia</t>
        </is>
      </c>
      <c r="C3189" t="inlineStr">
        <is>
          <t>Im just curious has anyone become slightly anemic since having covid? When i first felt sick in April my hemoglobin was around 13-14. I recently had more bloodwork done end of June and my hemoglobin is 11.6. I know infection can cause anemia but just wondering if anyone else has experienced this?</t>
        </is>
      </c>
      <c r="D3189" t="n">
        <v>1</v>
      </c>
      <c r="E3189" t="n">
        <v>3</v>
      </c>
      <c r="F3189">
        <f>HYPERLINK("https://www.reddit.com/r/COVID19positive/comments/hrpedj/anemia/")</f>
        <v/>
      </c>
      <c r="G3189" t="inlineStr">
        <is>
          <t>2020-07-15 08:15:31</t>
        </is>
      </c>
      <c r="H3189" t="inlineStr">
        <is>
          <t>Presumed Positive - From Doctor</t>
        </is>
      </c>
    </row>
    <row r="3190">
      <c r="A3190" t="inlineStr">
        <is>
          <t>hrpkbf</t>
        </is>
      </c>
      <c r="B3190" t="inlineStr">
        <is>
          <t>Tested positive for Covid out of state. In the middle of my illness, my family thinks they are positive as well (but not from me)</t>
        </is>
      </c>
      <c r="C3190" t="inlineStr">
        <is>
          <t>I tested positive for Covid the 10th of July. I left my state on the 3rd to come visit my boyfriend, we went to his family 4th of July party, and by the 7th we both started having symptoms. Today is the 15th of July, and my brother starts texting me asking what my first symptoms were, and that he feels off. He says my mom is feeling the same way, slightly sore throat and a lot of phlegm (both symptoms I’ve had with Covid) I’m scared for the safety of my parents because they are in their 50s, and have never used masks, or been mindful about going anywhere. However, I haven’t been home since before I got covid so they would not have gotten it from me. I’ve been out of state this whole time. I’m still in my quarantine from my illness. It makes me worried about going home once all of this is over for me, that I will catch it again as soon as I come home :/ I’m supposed to be able to come home by the end of this weekend/beginning of the week</t>
        </is>
      </c>
      <c r="D3190" t="n">
        <v>1</v>
      </c>
      <c r="E3190" t="n">
        <v>2</v>
      </c>
      <c r="F3190">
        <f>HYPERLINK("https://www.reddit.com/r/COVID19positive/comments/hrpkbf/tested_positive_for_covid_out_of_state_in_the/")</f>
        <v/>
      </c>
      <c r="G3190" t="inlineStr">
        <is>
          <t>2020-07-15 08:24:30</t>
        </is>
      </c>
      <c r="H3190" t="inlineStr">
        <is>
          <t>Tested Positive</t>
        </is>
      </c>
    </row>
    <row r="3191">
      <c r="A3191" t="inlineStr">
        <is>
          <t>hrqab5</t>
        </is>
      </c>
      <c r="B3191" t="inlineStr">
        <is>
          <t>Tested positive June 24th/Tested Negative July 10th/Symptoms might be resurfacing</t>
        </is>
      </c>
      <c r="C3191" t="inlineStr">
        <is>
          <t>Quick context, I tested positive last month on the 24th and experienced diarrhea, fever, cold sweats, pulsating headache, loss of smell and taste. But not once did I have difficulty breathing until now.
My first test was a swab in my mouth, the second test was the nasal swab. The nasal, which was my 2nd test, came back negative but I had my concerns. That same day I tested I noticed my breathing patterns were inconsistent. Fast forward to today and I STILL have trouble catching a full breath. I have to calmly inhale through my nose to hopefully catch a full breath and as I do that the areas behind my lungs start to hurt. I also noticed when I press against my rib cage that its really tender there.
I'm confused, anxious, mad, and above all I'm scared. My job just sent me home again and I honestly don't have any idea what to do next. I feel as if I am slowly decaying away, and any optimism I had has been shattered leaving me no hope to ever continue living life. I feel as if these are my last days.</t>
        </is>
      </c>
      <c r="D3191" t="n">
        <v>1</v>
      </c>
      <c r="E3191" t="n">
        <v>4</v>
      </c>
      <c r="F3191">
        <f>HYPERLINK("https://www.reddit.com/r/COVID19positive/comments/hrqab5/tested_positive_june_24thtested_negative_july/")</f>
        <v/>
      </c>
      <c r="G3191" t="inlineStr">
        <is>
          <t>2020-07-15 09:03:24</t>
        </is>
      </c>
      <c r="H3191" t="inlineStr">
        <is>
          <t>Tested Positive - Me</t>
        </is>
      </c>
    </row>
    <row r="3192">
      <c r="A3192" t="inlineStr">
        <is>
          <t>hrqfig</t>
        </is>
      </c>
      <c r="B3192" t="inlineStr">
        <is>
          <t>Impatiently waiting for results</t>
        </is>
      </c>
      <c r="C3192" t="inlineStr">
        <is>
          <t>Hi all,
Last Monday I started to have a lot of pressure in my head, minor chills, and my temperature reached 99.5. During the week I continued to feel the pressure, and the following Thursday I went to my local urgent care and was diagnosed with a sinus infection. I was given antibiotics and a decongestant. It didn’t feel like it helped too much but I continued to take it.
This past Monday, I wokeup in the middle of the night with chills and my body felt extremely sore. I went back to sleep and when I wokeup again I ate a banana and took my antibiotics and Tylenol, and checked my temperature which was 99.9, and went back to sleep. I wokeup about two hours later and had a wave of nausea hit me. I ended up running to the bathroom and throwing up. I assumed it was due to taking the medicine on a slightly empty stomach. I stayed up a little longer and then ordered some lunch. I ate it and went back to sleep. After I wokeup, I once again threw up. I checked my temperature again and it was 101.2. Once again I went back to sleep, and wokeup again extremely nauseous but I had nothing to throw up. My temperature was 103.1. I immediately contacted my family and my sister came and took me to the hospital since I felt extremely weak. Fortunately, it didn’t take long for me to get checked in. I got put on an IV, was given anti nausea medicine and Tylenol. I got my blood tested, a X-ray of my lungs, and a COVID test. According to the PA, my white blood cell count was really low, and he said that correlates often with a positive COVID test. I stayed in the hospital until the IV fluid finished and then went home. My fiancé tried to force feed me some chicken noodle soup, and although I was starving, I couldn’t eat. Off to bed I went.
I woke up three times in the middle of the night with chills and the feeling of needing to throw up. It was horrible. My fiancé brought me to my parents house so I can stay in their spare bedroom since my mom works from home and is able to check on me. Side note, my whole family had COVID about a month and a half away, so they felt better with having me come over than staying at my house and getting my fiancé sick. My mom cooked me some food and I barely had an appetite but attempted to eat. My dad picked up the prescription I was given for Zofran, and after i took it, I took a little bit of Tylenol then went back to sleep. As soon as I wokeup, I ran to the bathroom and threw everything up. I immediately texted my cousin who is a PA and she called in a prescription for promethazine in hopes that I’ll stop feeling nauseous. Thankfully it WORKED. I have eaten about 4 apples and 3 peaches since last night, and my mom came and woke me up in the middle of the night to make sure I take the medicine so that I don’t feel nauseous in the morning. I’m still experiencing body chills, a fever, body aches, and now eye pain. I feel better than yesterday since the nausea is gone, but man this is the worst feeling ever. I’m still waiting for official results of a positive test, but even if i test negative why the hell am I feeling this way? I’m sure it’s COVID and I just hope people take this seriously. I feel like I really was and yet I potentially have it. Stay safe everyone!</t>
        </is>
      </c>
      <c r="D3192" t="n">
        <v>1</v>
      </c>
      <c r="E3192" t="n">
        <v>4</v>
      </c>
      <c r="F3192">
        <f>HYPERLINK("https://www.reddit.com/r/COVID19positive/comments/hrqfig/impatiently_waiting_for_results/")</f>
        <v/>
      </c>
      <c r="G3192" t="inlineStr">
        <is>
          <t>2020-07-15 09:11:06</t>
        </is>
      </c>
      <c r="H3192" t="inlineStr">
        <is>
          <t>Presumed Positive - From Doctor</t>
        </is>
      </c>
    </row>
    <row r="3193">
      <c r="A3193" t="inlineStr">
        <is>
          <t>hrqgnn</t>
        </is>
      </c>
      <c r="B3193" t="inlineStr">
        <is>
          <t>Direct contact with someone who tested positive</t>
        </is>
      </c>
      <c r="C3193" t="inlineStr">
        <is>
          <t>Sorry I’m advance i know everyone is probably sick of these questions 
I stayed with my friend July 9th-11th. She tested positive today. She said maybe she contracted it on the evening of the 11th or later while I wasn’t with her, does anyone know how likely that would be? 
I’m getting tested in 2 hours but won’t have results for a few days. I felt a little under the weather last night, but I also know I haven’t been drinking enough water. I’m 24 and I don’t have any major issues. I outgrew asthma as a child, but I do feel like I have a weak immune system because I constantly have colds and it takes me weeks to fight it off 
So what I’m trying to ask: could it be possible for her to have gotten it on the 12-14th and test positive this early? 
Thanks</t>
        </is>
      </c>
      <c r="D3193" t="n">
        <v>1</v>
      </c>
      <c r="E3193" t="n">
        <v>3</v>
      </c>
      <c r="F3193">
        <f>HYPERLINK("https://www.reddit.com/r/COVID19positive/comments/hrqgnn/direct_contact_with_someone_who_tested_positive/")</f>
        <v/>
      </c>
      <c r="G3193" t="inlineStr">
        <is>
          <t>2020-07-15 09:12:45</t>
        </is>
      </c>
      <c r="H3193" t="inlineStr">
        <is>
          <t>Tested Positive - Friends</t>
        </is>
      </c>
    </row>
    <row r="3194">
      <c r="A3194" t="inlineStr">
        <is>
          <t>hrqjxt</t>
        </is>
      </c>
      <c r="B3194" t="inlineStr">
        <is>
          <t>MY DOG ATE MY NEIGHBORS LEFTOVERS AND THEY ALL HAVE COVID</t>
        </is>
      </c>
      <c r="C3194" t="inlineStr">
        <is>
          <t>My neighbors have this habit of throwing their leftovers over the fence to feed my cat and dog even though they’re well fed. I had been meaning to tell them but didn’t because I didn’t want to be confrontational about it since one of them is also my best friend. A few days ago my friend told me all her family has COVID. I figured they’d know it’s common sense not to toss their leftovers during this time but I was wrong. I though of telling them before it happened but I didn’t. I know that was stupid of me. Anyway, this morning I let my dog out for his morning doodie. I went outside after a few minutes and saw the bag of leftovers ripped open. I sprayed Lysol on the left overs and picked up with a plastic bag covering my hand. I bathed my dog and I took a shower afterwards. Right now he’s in quarantine in one of our restrooms. Did I do enough to ensure we don’t get COVID? Or is there still a possibility of my family contracting it from our dog? I’ve read articles that state you can’t get COVID from eating food infected with it. You can only get it through the respiratory system. But I know my dog doesn’t eat like a human and it’s possible he inhaled some of it by digging into the leftovers snout first. I’m paranoid and fear for my mother. She is a dialysis patient with high blood pressure and uncontrolled diabetes. If someone is a doctor, virologist, biologist, geneticist, scientist, or any type of expert in COVID I’d really appreciate your input in this matter. Anyone else’s input is also appreciated.</t>
        </is>
      </c>
      <c r="D3194" t="n">
        <v>3</v>
      </c>
      <c r="E3194" t="n">
        <v>44</v>
      </c>
      <c r="F3194">
        <f>HYPERLINK("https://www.reddit.com/r/COVID19positive/comments/hrqjxt/my_dog_ate_my_neighbors_leftovers_and_they_all/")</f>
        <v/>
      </c>
      <c r="G3194" t="inlineStr">
        <is>
          <t>2020-07-15 09:17:55</t>
        </is>
      </c>
      <c r="H3194" t="inlineStr">
        <is>
          <t>Tested Positive - Friends</t>
        </is>
      </c>
    </row>
    <row r="3195">
      <c r="A3195" t="inlineStr">
        <is>
          <t>hrqmm0</t>
        </is>
      </c>
      <c r="B3195" t="inlineStr">
        <is>
          <t>False-positive?</t>
        </is>
      </c>
      <c r="C3195" t="inlineStr">
        <is>
          <t>Hear me out. I went to Florida with a group of 10 of my friends. The day I got back I got treated and tested positive. I’m 90% sure I got this virus in Florida. How did all my friends test negative, literally all 10 of them. It doesn’t make since to me. The only symptoms I have is a stuffy nose and sore throat sometimes. Starting to question my positive now.</t>
        </is>
      </c>
      <c r="D3195" t="n">
        <v>2</v>
      </c>
      <c r="E3195" t="n">
        <v>17</v>
      </c>
      <c r="F3195">
        <f>HYPERLINK("https://www.reddit.com/r/COVID19positive/comments/hrqmm0/falsepositive/")</f>
        <v/>
      </c>
      <c r="G3195" t="inlineStr">
        <is>
          <t>2020-07-15 09:21:52</t>
        </is>
      </c>
      <c r="H3195" t="inlineStr">
        <is>
          <t>Tested Positive</t>
        </is>
      </c>
    </row>
    <row r="3196">
      <c r="A3196" t="inlineStr">
        <is>
          <t>hrqpzo</t>
        </is>
      </c>
      <c r="B3196" t="inlineStr">
        <is>
          <t>What things at home made you feel better</t>
        </is>
      </c>
      <c r="C3196" t="inlineStr">
        <is>
          <t>Im 21, tested positive about 3 days ago yesterday was my worst day chest pains like crazy and confusion , today i feel better mentally but my head hurts and i get really tired after walking and short of of breath sometimes . Im not sure what vitamins to take or how much really . But for those that tested positive what helped you ? And what helps with loss of smell bc that sucks</t>
        </is>
      </c>
      <c r="D3196" t="n">
        <v>3</v>
      </c>
      <c r="E3196" t="n">
        <v>19</v>
      </c>
      <c r="F3196">
        <f>HYPERLINK("https://www.reddit.com/r/COVID19positive/comments/hrqpzo/what_things_at_home_made_you_feel_better/")</f>
        <v/>
      </c>
      <c r="G3196" t="inlineStr">
        <is>
          <t>2020-07-15 09:26:44</t>
        </is>
      </c>
      <c r="H3196" t="inlineStr">
        <is>
          <t>Tested Positive</t>
        </is>
      </c>
    </row>
    <row r="3197">
      <c r="A3197" t="inlineStr">
        <is>
          <t>hrqriw</t>
        </is>
      </c>
      <c r="B3197" t="inlineStr">
        <is>
          <t>Covid Symptom Relapse?</t>
        </is>
      </c>
      <c r="C3197" t="inlineStr">
        <is>
          <t>Has anyone here dealt with symptom(s) coming back after being cleared? Quick summary: 6/21 (Sun) felt the symptoms, tested positive, quarantined for two weeks. Just the first 2 days had a fever, then had mild symptoms - light cough, stuffy nose, loss of smell/taste, but overall I felt fine inside/out. 
Then on 7/12 (exactly 3 weeks later), I have been having on and off loss of appetite (with no other symptoms currently). I notice I am eating less and not having too much of desire to eat, but then at random times I get hungry and I quickly eat in that window to get some food in.
Anyone dealt with any 'Covid relapse' ? I read one article stating it's one of the on going 'mysteries' of this whole virus. TIA</t>
        </is>
      </c>
      <c r="D3197" t="n">
        <v>4</v>
      </c>
      <c r="E3197" t="n">
        <v>31</v>
      </c>
      <c r="F3197">
        <f>HYPERLINK("https://www.reddit.com/r/COVID19positive/comments/hrqriw/covid_symptom_relapse/")</f>
        <v/>
      </c>
      <c r="G3197" t="inlineStr">
        <is>
          <t>2020-07-15 09:29:02</t>
        </is>
      </c>
      <c r="H3197" t="inlineStr">
        <is>
          <t>Tested Positive</t>
        </is>
      </c>
    </row>
    <row r="3198">
      <c r="A3198" t="inlineStr">
        <is>
          <t>hrqvno</t>
        </is>
      </c>
      <c r="B3198" t="inlineStr">
        <is>
          <t>The passed 4 days of quarantine have been absolute mental torture, I feel doomed I feel no hope and that breaks my heart.</t>
        </is>
      </c>
      <c r="C3198" t="inlineStr">
        <is>
          <t>A family member in our home tested positive for COVID. The whole family is now in there rooms for the next 14 days. Today is day 4 of quarantine and everyday I think “today the day I’ll get a symptom”. I’m scared for my husband who has a heart condition , I’m scared for my baby who’s just turned 8 weeks Monday. I’m angry that our family member never told us they were feeling sick. They tested for COVID and told us 4 days later when the results came back positive. They didn’t  distance them self’s during that time and in fact they watched my baby the day after they tested. In my mind I have COVID, I’m just waiting for it to take me and my family. I’m scared, I’m really scared.</t>
        </is>
      </c>
      <c r="D3198" t="n">
        <v>1</v>
      </c>
      <c r="E3198" t="n">
        <v>12</v>
      </c>
      <c r="F3198">
        <f>HYPERLINK("https://www.reddit.com/r/COVID19positive/comments/hrqvno/the_passed_4_days_of_quarantine_have_been/")</f>
        <v/>
      </c>
      <c r="G3198" t="inlineStr">
        <is>
          <t>2020-07-15 09:35:10</t>
        </is>
      </c>
      <c r="H3198" t="inlineStr">
        <is>
          <t>Tested Positive - Family</t>
        </is>
      </c>
    </row>
    <row r="3199">
      <c r="A3199" t="inlineStr">
        <is>
          <t>hrr0bp</t>
        </is>
      </c>
      <c r="B3199" t="inlineStr">
        <is>
          <t>Tested Negative Twice, Assumed Positive By 3 Doctors</t>
        </is>
      </c>
      <c r="C3199" t="inlineStr">
        <is>
          <t>Title tells it all. I started symptoms July 2nd. Fever, SOB, chest pain/burning, fatigue, sore throat, congestion, you name it... I was tested on July 3rd and July 10th. I just got test results back for both tests. I tested negative for both. I'm not sure if I tested too soon and then too late, if I'm just incredibly unlucky, or both.
I have been assumed positive by 3 different doctors and an entire ER team at the Mayo Clinic. One nurse even said "you 100% have COVID." I know I have COVID. My doctors know I have COVID, but the test results don't help my case with my employer. 
My employer requires a positive test result for me to qualify for their Emergency Paid Leave policy. I can't work at this point with how bad the SOB is. I've scheduled another test for today and tomorrow, but I have little faith that I'll test positive this far along into it (now 15 days into symptoms). Is it possible to still test positive at this point? 
It's absolutely incredible how inaccurate these tests are. My advice to anyone who has tested negative but still has COVID symptoms is to remain quarantined and be tested again. It's better safe than sorry.</t>
        </is>
      </c>
      <c r="D3199" t="n">
        <v>6</v>
      </c>
      <c r="E3199" t="n">
        <v>60</v>
      </c>
      <c r="F3199">
        <f>HYPERLINK("https://www.reddit.com/r/COVID19positive/comments/hrr0bp/tested_negative_twice_assumed_positive_by_3/")</f>
        <v/>
      </c>
      <c r="G3199" t="inlineStr">
        <is>
          <t>2020-07-15 09:42:12</t>
        </is>
      </c>
      <c r="H3199" t="inlineStr">
        <is>
          <t>Presumed Positive - From Doctor</t>
        </is>
      </c>
    </row>
    <row r="3200">
      <c r="A3200" t="inlineStr">
        <is>
          <t>hrrd7u</t>
        </is>
      </c>
      <c r="B3200" t="inlineStr">
        <is>
          <t>Getting much better - pretty much back to normal</t>
        </is>
      </c>
      <c r="C3200" t="inlineStr">
        <is>
          <t>Hi all
This is a post to hopefully give some positivity and hope to anyone who feels stuck and in a low place because of persistent symptoms. I’ve been there but I’m pretty sure I’m nearly over it. I’ve benefited so much from the support and info here that I feel it’s almost a duty to post positive progress. 
I’ve posted elsewhere about my symptoms so won’t rehash that here other than to say I was still having significant issues at week 8. I had a sore chest and tachycardia remaining and still SOB at times. I had a lung CT which was thankfully clear but I was getting exceedingly exasperated. Just as I thought I was getting to the end, COVID hit me with a last, new blow around week 9 I think - a rash. For an evening or so, I was about as mentally low as I have felt in a long, long time. But, behind it all, I knew that I had been improving and at that point I thought ‘enough is enough’ - I promised myself that I didn’t know what was coming my way but I would meet it with positivity and a fight. 
Pretty much immediately after, I got myself back in my gym. I utilised my Apple Watch HR monitor to the utmost. I kept my workouts light initially - halved intensity, doubled time between sets - to ensure HR didn’t increase too much. Every now and again, I would definitely have mild relapses of sensation of fever, sore chest, mildly sore ears and throat but I would take paracetamol and work through it - never really lasted much more than a day and I stopped letting it get me down. 
I avoided cardio completely for the first couple of weeks or so.  Over time, I noticed that my stamina, strength and cardiovascular fitness was improving. I noticed that my HR was not rising as fast or as dramatically. Sessions in the gym became easier and I was able to superset again without having to have large rest periods. I’ve literally just finished a pretty hard half hour on my elliptical trainer and I feel absolutely great - over the moon to be honest! I knew I was approaching normality when I found myself running up the stairs at home - have always done pre COVID - without consciously deciding to!
Often, people ask what meds/supplements were taken so I’ll add that here. I’ve always taken Vit D and my diabetes meds (Type 1) and the only new supplement I took consistently was turmeric and black pepper. It could be a total placebo effect (and if so, so what?!) but the symptoms of inflammation started easing somewhat after I started it. 
So, here I am on week 13/14 and I have been pretty much symptom free for a month or more. Maybe HR can improve a little more but everything is essentially normal. My CV fitness and strength has come back and I haven’t had a relapse for at least a couple of weeks. It literally has been a ‘day on day’ improvement. 
I know it’s different for everybody but I hope this post does give some hope to those stuck in the doldrums that it can get better. I know I was coming out of it anyway but my shift in attitude was a massive factor in how I processed everything and allowed me to take some positive risks with carefully controlled exercise. YMMV, of course, but please be as positive as possible - my best wishes to all of you still in the throes of this bloody disease - I’m certain that, for most of you, it will get better. 
Take care.</t>
        </is>
      </c>
      <c r="D3200" t="n">
        <v>1</v>
      </c>
      <c r="E3200" t="n">
        <v>39</v>
      </c>
      <c r="F3200">
        <f>HYPERLINK("https://www.reddit.com/r/COVID19positive/comments/hrrd7u/getting_much_better_pretty_much_back_to_normal/")</f>
        <v/>
      </c>
      <c r="G3200" t="inlineStr">
        <is>
          <t>2020-07-15 10:01:28</t>
        </is>
      </c>
      <c r="H3200" t="inlineStr">
        <is>
          <t>Tested Positive - Me</t>
        </is>
      </c>
    </row>
    <row r="3201">
      <c r="A3201" t="inlineStr">
        <is>
          <t>hrrh4s</t>
        </is>
      </c>
      <c r="B3201" t="inlineStr">
        <is>
          <t>Hospital visits banned</t>
        </is>
      </c>
      <c r="C3201" t="inlineStr">
        <is>
          <t>I get that they want to cut down on spreading COVID but not allowing visitors for a patient at the hospital is just plain wrong. Has anyone had this issue. If so how did you go about it. We’re you able to visit your loved one ?</t>
        </is>
      </c>
      <c r="D3201" t="n">
        <v>0</v>
      </c>
      <c r="E3201" t="n">
        <v>7</v>
      </c>
      <c r="F3201">
        <f>HYPERLINK("https://www.reddit.com/r/COVID19positive/comments/hrrh4s/hospital_visits_banned/")</f>
        <v/>
      </c>
      <c r="G3201" t="inlineStr">
        <is>
          <t>2020-07-15 10:07:15</t>
        </is>
      </c>
      <c r="H3201" t="inlineStr">
        <is>
          <t>Tested Positive - Family</t>
        </is>
      </c>
    </row>
    <row r="3202">
      <c r="A3202" t="inlineStr">
        <is>
          <t>hrt0pl</t>
        </is>
      </c>
      <c r="B3202" t="inlineStr">
        <is>
          <t>28F, Anyone else experiencing leg pain?</t>
        </is>
      </c>
      <c r="C3202" t="inlineStr">
        <is>
          <t>Just received my swab test today and doctor is presuming me positive. On 7/12, woke up with a dry/tickle-y cough in the center of my chest. Also been experiencing abdominal pain and diarrhea. Barely below a fever, body has continued to stay around 99-100 degrees (I normally read 97.6). 
Yesterday on 7/14, I began to feel general malaise, fatigue, a stuffy nose and slightly scratchy throat. Woke up this morning with no improvement and a brand new symptom; body aches in my lower back, hips, but especially my legs, specifically my thighs. 
It’s the front, not the back so I don’t have reason to believe it’s related to sciatica, but this ache in my legs is INTENSE. It feels like the pain is radiating from the bone and always moving around. It’s put me into such a high pain level today that I’ve literally cried out in anguish. 
Is anyone else out there who’s tested positive dealt with this as a symptom??</t>
        </is>
      </c>
      <c r="D3202" t="n">
        <v>1</v>
      </c>
      <c r="E3202" t="n">
        <v>10</v>
      </c>
      <c r="F3202">
        <f>HYPERLINK("https://www.reddit.com/r/COVID19positive/comments/hrt0pl/28f_anyone_else_experiencing_leg_pain/")</f>
        <v/>
      </c>
      <c r="G3202" t="inlineStr">
        <is>
          <t>2020-07-15 11:26:49</t>
        </is>
      </c>
      <c r="H3202" t="inlineStr">
        <is>
          <t>Presumed Positive - From Doctor</t>
        </is>
      </c>
    </row>
    <row r="3203">
      <c r="A3203" t="inlineStr">
        <is>
          <t>hrtljt</t>
        </is>
      </c>
      <c r="B3203" t="inlineStr">
        <is>
          <t>Eye floaters?</t>
        </is>
      </c>
      <c r="C3203" t="inlineStr">
        <is>
          <t>Has anyone else experienced the sudden onset of black eye floaters? Could this be related to covid?</t>
        </is>
      </c>
      <c r="D3203" t="n">
        <v>1</v>
      </c>
      <c r="E3203" t="n">
        <v>11</v>
      </c>
      <c r="F3203">
        <f>HYPERLINK("https://www.reddit.com/r/COVID19positive/comments/hrtljt/eye_floaters/")</f>
        <v/>
      </c>
      <c r="G3203" t="inlineStr">
        <is>
          <t>2020-07-15 11:56:56</t>
        </is>
      </c>
      <c r="H3203" t="inlineStr">
        <is>
          <t>Tested Positive - Me</t>
        </is>
      </c>
    </row>
    <row r="3204">
      <c r="A3204" t="inlineStr">
        <is>
          <t>hrts0f</t>
        </is>
      </c>
      <c r="B3204" t="inlineStr">
        <is>
          <t>22F with Asthma, Anyone have any home remedy’s?</t>
        </is>
      </c>
      <c r="C3204" t="inlineStr">
        <is>
          <t>Hello! I tested positive yesterday after about 4 days of feeling pretty crappy to say the least. Everyone is freaking me out and treating it like a death sentence. To make things worse I also have asthma and anxiety (which causes me to have shortness of breath). Some days I feel fine &amp;amp; others I feel horrible. I’m not going to lie I’m freaking out a bit (which sucks for me because then my anxiety kicks in and boom, shortness of breath). 
My symptoms: 
- fever (102f) 
- severe body aches 
- chills/sweating 
- dizziness/blacking out 
- cough 
- most recently, pain when breathing through nose/talking 
Any tips/tricks would be much appreciated!</t>
        </is>
      </c>
      <c r="D3204" t="n">
        <v>1</v>
      </c>
      <c r="E3204" t="n">
        <v>4</v>
      </c>
      <c r="F3204">
        <f>HYPERLINK("https://www.reddit.com/r/COVID19positive/comments/hrts0f/22f_with_asthma_anyone_have_any_home_remedys/")</f>
        <v/>
      </c>
      <c r="G3204" t="inlineStr">
        <is>
          <t>2020-07-15 12:05:33</t>
        </is>
      </c>
      <c r="H3204" t="inlineStr">
        <is>
          <t>Tested Positive - Me</t>
        </is>
      </c>
    </row>
    <row r="3205">
      <c r="A3205" t="inlineStr">
        <is>
          <t>hrtsr4</t>
        </is>
      </c>
      <c r="B3205" t="inlineStr">
        <is>
          <t>Has anyone else had lasting chest pain after mostly recovering? If so, how would you describe it?</t>
        </is>
      </c>
      <c r="C3205" t="inlineStr">
        <is>
          <t>My COVID-19 symptoms were: lethargy; very high fever (terrible dreams the first night); bad sore throat; congestion; and a very bad cough -- made my chest hurt -- which eventually, I think, turned into walking pneumonia, because I had some shortness of breath towards the end.
Also, for weeks after, I had a weird kind of chest pain -- mostly in the place where I felt the worst pain while coughing. I'm not sure what it was, but it seems like it could be described as *costochondritis*? Basically, for some weeks after recovering from the illness, if I sat down on a bench or slouched, when I got up, I would have a weird chest pain. If I brushed my teeth or washed my hands forcefully, I'd have this chest pain. And then, just a few weeks ago, it basically stopped.
Has anyone else had this kind of lingering chest pain?</t>
        </is>
      </c>
      <c r="D3205" t="n">
        <v>1</v>
      </c>
      <c r="E3205" t="n">
        <v>18</v>
      </c>
      <c r="F3205">
        <f>HYPERLINK("https://www.reddit.com/r/COVID19positive/comments/hrtsr4/has_anyone_else_had_lasting_chest_pain_after/")</f>
        <v/>
      </c>
      <c r="G3205" t="inlineStr">
        <is>
          <t>2020-07-15 12:06:25</t>
        </is>
      </c>
      <c r="H3205" t="inlineStr">
        <is>
          <t>Presumed Positive - From Doctor</t>
        </is>
      </c>
    </row>
    <row r="3206">
      <c r="A3206" t="inlineStr">
        <is>
          <t>hrtwtg</t>
        </is>
      </c>
      <c r="B3206" t="inlineStr">
        <is>
          <t>Tested positive over a week ago - partner just tested negative</t>
        </is>
      </c>
      <c r="C3206" t="inlineStr">
        <is>
          <t>My boyfriend and I live in a small enough apartment together and we took it as inevitable he got COVID too, and he has been self isolating with me. However, he just got test results back today from a test yesterday that was negative. He also tested negative midweek last week.
I tested positive in a test I did last Monday. I had a mild case thankfully, with a bad head cold at the weekend, but feel good now. Fingers crossed that continues.
My boyfriend and I live in a small enough apartment together and we took it as intevitable he got COVID too, and he has been self isolating with me. However, he just got test results back today from a test yesterday that was negative. He also tested negative midweek last week.
Is it realistic he's been cooped up with me for over a week while I was positive, but managed to dodge it somehow?
I have not had coughing as a symptom, so I guess that helps the odds, but it still feels unlikely.
Anyone have similar experiences?</t>
        </is>
      </c>
      <c r="D3206" t="n">
        <v>2</v>
      </c>
      <c r="E3206" t="n">
        <v>5</v>
      </c>
      <c r="F3206">
        <f>HYPERLINK("https://www.reddit.com/r/COVID19positive/comments/hrtwtg/tested_positive_over_a_week_ago_partner_just/")</f>
        <v/>
      </c>
      <c r="G3206" t="inlineStr">
        <is>
          <t>2020-07-15 12:12:10</t>
        </is>
      </c>
      <c r="H3206" t="inlineStr">
        <is>
          <t>Tested Positive - Me</t>
        </is>
      </c>
    </row>
    <row r="3207">
      <c r="A3207" t="inlineStr">
        <is>
          <t>hrv6dd</t>
        </is>
      </c>
      <c r="B3207" t="inlineStr">
        <is>
          <t>Day 2 and I am worried about the next month</t>
        </is>
      </c>
      <c r="C3207" t="inlineStr">
        <is>
          <t>Day 2 is bad. I can’t imagine what the next few weeks will hold. I am running a fever, losing sense of smell. Taste is sort of there but it comes and goes. Coughing a bit that’s either dry or wet. The worst part is the headache and body aches. I feel like I have the flu but not. I’m friends with a girl who ended up on oxygen last night. She’s home now but that’s the part that worries me the most.</t>
        </is>
      </c>
      <c r="D3207" t="n">
        <v>1</v>
      </c>
      <c r="E3207" t="n">
        <v>5</v>
      </c>
      <c r="F3207">
        <f>HYPERLINK("https://www.reddit.com/r/COVID19positive/comments/hrv6dd/day_2_and_i_am_worried_about_the_next_month/")</f>
        <v/>
      </c>
      <c r="G3207" t="inlineStr">
        <is>
          <t>2020-07-15 13:17:09</t>
        </is>
      </c>
      <c r="H3207" t="inlineStr">
        <is>
          <t>Presumed Positive - From Test</t>
        </is>
      </c>
    </row>
    <row r="3208">
      <c r="A3208" t="inlineStr">
        <is>
          <t>hrv6uf</t>
        </is>
      </c>
      <c r="B3208" t="inlineStr">
        <is>
          <t>Day 14, timeline of my somewhat normal experience with COVID.</t>
        </is>
      </c>
      <c r="C3208" t="inlineStr">
        <is>
          <t>Hi all. Today is about 2 weeks-ish since I first started experiencing symptoms. I tested positive on 7/13, but here is a timeline of what I've experienced, and hoping that it stays mild...
7/2: Woke up to body aches, and had sore eyes. I thought it was from hiking/doing 6 mile beach walks, etc. 
7/3: Sore eyes continue, body aches go away.
7/4, 7/5, 7/6: Sore eyes. When I say sore eyes, they felt sore whenever moving them to the left or right.
7/7: Sore eyes, slight loss in smell and taste.
7/8: Sore eyes, feel a bit better today. Smell and taste completely gone.
7/9-7/15 (TODAY): Still haven't gotten my smell or taste back, I've experienced some nasuea when consuming foods, some slight chest pain (nothing too serious, might be anxiety?) but overall feel pretty normal, just dealing with the loss of smell/taste. Also, tested positive on 7/13 if that helps anyone. 
I can smell certain candles very faintly, others I can smell okay. So it's hard to tell if it's improving or not. But today officially marks 1 week of having no smell/taste. Anyone else have pretty mild symptoms like this that recovered? I'm itching to hear more positive stories, it's the only thing really helping me out these days. Thank you.</t>
        </is>
      </c>
      <c r="D3208" t="n">
        <v>1</v>
      </c>
      <c r="E3208" t="n">
        <v>7</v>
      </c>
      <c r="F3208">
        <f>HYPERLINK("https://www.reddit.com/r/COVID19positive/comments/hrv6uf/day_14_timeline_of_my_somewhat_normal_experience/")</f>
        <v/>
      </c>
      <c r="G3208" t="inlineStr">
        <is>
          <t>2020-07-15 13:17:55</t>
        </is>
      </c>
      <c r="H3208" t="inlineStr">
        <is>
          <t>Tested Positive - Me</t>
        </is>
      </c>
    </row>
    <row r="3209">
      <c r="A3209" t="inlineStr">
        <is>
          <t>hrv8nx</t>
        </is>
      </c>
      <c r="B3209" t="inlineStr">
        <is>
          <t>Positive after 21 Days post initial test.</t>
        </is>
      </c>
      <c r="C3209" t="inlineStr">
        <is>
          <t>I tested positive on June 24, I had very mild symptoms, no taste/smell, headaches and fatigue. Never and respiratory symptoms or fever. I got retested 14 days later and again, positive. They told me to wait 5 days and test again. I tested again on Monday, which would be 21 days and I just got the results back, POSITIVE AGAIN. The health department cleared me to come out of self isolation but my question is, am I still contagious? Can I see my boyfriend? I haven’t seen him in 6 weeks and after 24 days in the house my depression has gotten pretty bad. Any insight would help!</t>
        </is>
      </c>
      <c r="D3209" t="n">
        <v>2</v>
      </c>
      <c r="E3209" t="n">
        <v>33</v>
      </c>
      <c r="F3209">
        <f>HYPERLINK("https://www.reddit.com/r/COVID19positive/comments/hrv8nx/positive_after_21_days_post_initial_test/")</f>
        <v/>
      </c>
      <c r="G3209" t="inlineStr">
        <is>
          <t>2020-07-15 13:20:32</t>
        </is>
      </c>
      <c r="H3209" t="inlineStr">
        <is>
          <t>Tested Positive - Me</t>
        </is>
      </c>
    </row>
    <row r="3210">
      <c r="A3210" t="inlineStr">
        <is>
          <t>hrvamw</t>
        </is>
      </c>
      <c r="B3210" t="inlineStr">
        <is>
          <t>Sharing our current status</t>
        </is>
      </c>
      <c r="C3210" t="inlineStr">
        <is>
          <t>My husband is on Day 9 of fever and today is the first day that he said he had even the slightest improvement.  His fever is under 100 for a change.  He’s lost over 5 lbs.  He got his positive test result on Monday after a 5 day wait.  His other main symptoms are limited taste/smell, chest tightness, cough, muscle aches, upset stomach.  
For myself, I’m on day 4 of fever, but have been congested for over a week.  I went to get a nasal swab test yesterday.  My sense of smell left last night.  My cough is more about clearing congestion, I don’t have urge to cough.  Fever has been up to about 101, but on advice of a coworker who survived I have stopped taking Tylenol.  He suggested just letting fever run high until it finally breaks.  I sweated all night and I woke up with SOB this morning.  had a panic around pulse ox readings varying in the low 90s. Also my blood pressure is unusually low.   I’m usually 130/90 but never on bp meds.  Today I am 115/80.  Drinking pedialyte in case that is from dehydration as I had diarrhea for 2 days.  
I called my PCP and they told me just to ride it out with OTC meds and go to ER if my temp got above 101 again.  The ER says not to show up there and talk to PCP first.  What I am seeing is that you have to be an advocate for your own healthcare.  No one wants you to come in to their facility until it’s too late.   I wanted a chest X-ray, so I told my doc and he ordered it for me.  I made it a point to let the imaging center know what was going on and they were very nice about bringing me in through the back with a mask on so I was not around any other patients.  Results ended up being normal.  pulse ox is also normal now.  
The waiting game is really driving us crazy but I refuse to just blindly hope we’re going to be lucky.  We have a right to get diagnostics to help guide our therapy!</t>
        </is>
      </c>
      <c r="D3210" t="n">
        <v>1</v>
      </c>
      <c r="E3210" t="n">
        <v>5</v>
      </c>
      <c r="F3210">
        <f>HYPERLINK("https://www.reddit.com/r/COVID19positive/comments/hrvamw/sharing_our_current_status/")</f>
        <v/>
      </c>
      <c r="G3210" t="inlineStr">
        <is>
          <t>2020-07-15 13:23:18</t>
        </is>
      </c>
      <c r="H3210" t="inlineStr">
        <is>
          <t>Presumed Positive - From Test</t>
        </is>
      </c>
    </row>
    <row r="3211">
      <c r="A3211" t="inlineStr">
        <is>
          <t>hrvjhl</t>
        </is>
      </c>
      <c r="B3211" t="inlineStr">
        <is>
          <t>Heart rate questions</t>
        </is>
      </c>
      <c r="C3211" t="inlineStr">
        <is>
          <t>Hey all,
So just some background. I tested positive on June 29th after my brother had a positive test. I’ve felt zero symptoms other than an elevated resting heart rate that is no longer elevated. 
My normal resting heart rate has always been at about 65-70 BPM. Before I received my positive test result, I had used a pulse oximeter a couple times and my resting heart rate was always above 85bpm, sometimes around 90-91. After I got my positive result I continued to check and my heart rate had been consistently around that range of 85-91 bpm. 
I noticed my heart rate has been back to the normal range of 65-70 since July 6th, so I stopped checking it after a few days of consistently being at that range. I decided to check it now and I was at 58 and 60. I feel like that’s low for me. I know it’s still within a good range, but I was never that low before.
Anyone think I should get my heart looked at? Just slightly worried since I know the virus can mess with the heart.</t>
        </is>
      </c>
      <c r="D3211" t="n">
        <v>1</v>
      </c>
      <c r="E3211" t="n">
        <v>3</v>
      </c>
      <c r="F3211">
        <f>HYPERLINK("https://www.reddit.com/r/COVID19positive/comments/hrvjhl/heart_rate_questions/")</f>
        <v/>
      </c>
      <c r="G3211" t="inlineStr">
        <is>
          <t>2020-07-15 13:36:02</t>
        </is>
      </c>
      <c r="H3211" t="inlineStr">
        <is>
          <t>Tested Positive - Me</t>
        </is>
      </c>
    </row>
    <row r="3212">
      <c r="A3212" t="inlineStr">
        <is>
          <t>hrw7vb</t>
        </is>
      </c>
      <c r="B3212" t="inlineStr">
        <is>
          <t>Obesity and mortality</t>
        </is>
      </c>
      <c r="C3212" t="inlineStr">
        <is>
          <t>My husband and I are awaiting test results in 2-4 days but are showing classic symptoms. I’m worried about my husband. He’s 35 and is morbidly obese but no other underlying conditions and good blood pressure. I know obesity contributes to more severe outcomes. I guess I’m just looking for some good stories or ante rotes of people on his age group and weight range making it.</t>
        </is>
      </c>
      <c r="D3212" t="n">
        <v>1</v>
      </c>
      <c r="E3212" t="n">
        <v>10</v>
      </c>
      <c r="F3212">
        <f>HYPERLINK("https://www.reddit.com/r/COVID19positive/comments/hrw7vb/obesity_and_mortality/")</f>
        <v/>
      </c>
      <c r="G3212" t="inlineStr">
        <is>
          <t>2020-07-15 14:12:02</t>
        </is>
      </c>
      <c r="H3212" t="inlineStr">
        <is>
          <t>Presumed Positive - From Doctor</t>
        </is>
      </c>
    </row>
    <row r="3213">
      <c r="A3213" t="inlineStr">
        <is>
          <t>hrw9el</t>
        </is>
      </c>
      <c r="B3213" t="inlineStr">
        <is>
          <t>No Fever, but all the other symptoms.</t>
        </is>
      </c>
      <c r="C3213" t="inlineStr">
        <is>
          <t>Sunday I started feeling unwell. I went to urgent care Tuesday because I was dizzy, weak, sore muscles, winded easily, and no appetite. They took a test. 
Today, my taste is going out along with smell.
I have most symptoms of Covid except fever. No chills, no fever, etc.
Has anyone heard of people getting Covid-19 and NOT having a fever?
I'm ordered to stay at home until I hear back on the test.</t>
        </is>
      </c>
      <c r="D3213" t="n">
        <v>1</v>
      </c>
      <c r="E3213" t="n">
        <v>12</v>
      </c>
      <c r="F3213">
        <f>HYPERLINK("https://www.reddit.com/r/COVID19positive/comments/hrw9el/no_fever_but_all_the_other_symptoms/")</f>
        <v/>
      </c>
      <c r="G3213" t="inlineStr">
        <is>
          <t>2020-07-15 14:14:15</t>
        </is>
      </c>
      <c r="H3213" t="inlineStr">
        <is>
          <t>Presumed Positive - From Doctor</t>
        </is>
      </c>
    </row>
    <row r="3214">
      <c r="A3214" t="inlineStr">
        <is>
          <t>hrwezf</t>
        </is>
      </c>
      <c r="B3214" t="inlineStr">
        <is>
          <t>Since the time you noticed your smell was gone, how long did it take for you to regain at least 90%+ of your smell?</t>
        </is>
      </c>
      <c r="C3214" t="inlineStr">
        <is>
          <t xml:space="preserve">
[View Poll](https://www.reddit.com/poll/hrwezf)</t>
        </is>
      </c>
      <c r="D3214" t="n">
        <v>1</v>
      </c>
      <c r="E3214" t="n">
        <v>4</v>
      </c>
      <c r="F3214">
        <f>HYPERLINK("https://www.reddit.com/r/COVID19positive/comments/hrwezf/since_the_time_you_noticed_your_smell_was_gone/")</f>
        <v/>
      </c>
      <c r="G3214" t="inlineStr">
        <is>
          <t>2020-07-15 14:22:33</t>
        </is>
      </c>
      <c r="H3214" t="inlineStr">
        <is>
          <t>Tested Positive</t>
        </is>
      </c>
    </row>
    <row r="3215">
      <c r="A3215" t="inlineStr">
        <is>
          <t>hrwlg0</t>
        </is>
      </c>
      <c r="B3215" t="inlineStr">
        <is>
          <t>I'm scared.</t>
        </is>
      </c>
      <c r="C3215" t="inlineStr">
        <is>
          <t>Maybe I'm overreacting, but I've had health anxiety for a few years now, and when I learned about COVID, it became my worst nightmare. Sure enough, I ended up with it. 
My symptoms were overall more mild than most, and I'm grateful for that at least. But it's been nearly two weeks since I got the okay to go out, and not only do I have yet to receive a negative test, but I still get chest pains, heart pains, occasional difficulty breathing (this could all be anxiety though but I'm not sure), and occasional strong headaches that turn scary. 
I haven't been eating much, because my body reacts poorly when I eat oftentimes. And since I haven't been eating much, my anxiety has been through the roof, and I'm sure I'm becoming deficient in several vitamins and minerals, which is further diminishing my mental health. 
I read that 'most people who get the coronavirus never fully recover' and that people can experience permanent damage to viral organs, whether or not the case was mild. Reading that made me cry, and I don't cry much. 
I'm truly scared to be alive, but I'm even more scared to die. This feels like a nightmare that I'll be stuck in for the rest of my life. 😥 Am I overreacting, or should I be concerned?</t>
        </is>
      </c>
      <c r="D3215" t="n">
        <v>1</v>
      </c>
      <c r="E3215" t="n">
        <v>11</v>
      </c>
      <c r="F3215">
        <f>HYPERLINK("https://www.reddit.com/r/COVID19positive/comments/hrwlg0/im_scared/")</f>
        <v/>
      </c>
      <c r="G3215" t="inlineStr">
        <is>
          <t>2020-07-15 14:32:15</t>
        </is>
      </c>
      <c r="H3215" t="inlineStr">
        <is>
          <t>Tested Positive</t>
        </is>
      </c>
    </row>
    <row r="3216">
      <c r="A3216" t="inlineStr">
        <is>
          <t>hrxew4</t>
        </is>
      </c>
      <c r="B3216" t="inlineStr">
        <is>
          <t>Does a second positive test restart the clock??</t>
        </is>
      </c>
      <c r="C3216" t="inlineStr">
        <is>
          <t>I tested positive 7/4 (symptoms started 7/1). I retested on 7/13 (, symptoms cleared 7/10, doctor said 10 days after they started to retest). It just came back positive. Does this restart the quarantine period? Or extend it, I guess? I'm not sure if anyone really knows the answer, whether it's still contagious or whatnot. I'm just wondering if there's an official CDC rule regarding a follow-up test being positive in regards to quarantine. I'm sure I can ask in my daily call from the health department tomorrow. Unfortunately, the severe fatigue and aches came back today. No clue what tomorrow will hold. I'm so over this.</t>
        </is>
      </c>
      <c r="D3216" t="n">
        <v>1</v>
      </c>
      <c r="E3216" t="n">
        <v>5</v>
      </c>
      <c r="F3216">
        <f>HYPERLINK("https://www.reddit.com/r/COVID19positive/comments/hrxew4/does_a_second_positive_test_restart_the_clock/")</f>
        <v/>
      </c>
      <c r="G3216" t="inlineStr">
        <is>
          <t>2020-07-15 15:16:45</t>
        </is>
      </c>
      <c r="H3216" t="inlineStr">
        <is>
          <t>Tested Positive - Me</t>
        </is>
      </c>
    </row>
    <row r="3217">
      <c r="A3217" t="inlineStr">
        <is>
          <t>hrxi0m</t>
        </is>
      </c>
      <c r="B3217" t="inlineStr">
        <is>
          <t>Symptoms worsening, especially at night</t>
        </is>
      </c>
      <c r="C3217" t="inlineStr">
        <is>
          <t>Is anyone else struggling to sleep because it exacerbates their symptoms?
When i lie down and try to sleep, I wake up gasping for air. My o2 sats were just 89% on waking (it's 11.20pm here). But if I sit up and do some deep breath exercises, they quickly climb to 94/95, hover there for a bit, then recover to 96/97.
I'm also having higher fevers (39.1/102) and lower blood pressure (95/60) when trying to sleep. Fever comes down with paracetamol and BP rises when awake to 105/65ish.
It's making me not want to go to back to sleep. My stats are okay when I'm awake and not okay when I try to sleep.</t>
        </is>
      </c>
      <c r="D3217" t="n">
        <v>1</v>
      </c>
      <c r="E3217" t="n">
        <v>28</v>
      </c>
      <c r="F3217">
        <f>HYPERLINK("https://www.reddit.com/r/COVID19positive/comments/hrxi0m/symptoms_worsening_especially_at_night/")</f>
        <v/>
      </c>
      <c r="G3217" t="inlineStr">
        <is>
          <t>2020-07-15 15:21:42</t>
        </is>
      </c>
      <c r="H3217" t="inlineStr">
        <is>
          <t>Tested Positive - Me</t>
        </is>
      </c>
    </row>
    <row r="3218">
      <c r="A3218" t="inlineStr">
        <is>
          <t>hrxni0</t>
        </is>
      </c>
      <c r="B3218" t="inlineStr">
        <is>
          <t>Positive negative positive negative roller coaster</t>
        </is>
      </c>
      <c r="C3218" t="inlineStr">
        <is>
          <t>I tested positive about a month ago, negative two weeks ago, and now am positive again. How?! I felt the same when I tested negative. Going back in two days. 
My symptoms now: EXTREME sleep inertia, most sense of taste / smell gone. 
What the fuck</t>
        </is>
      </c>
      <c r="D3218" t="n">
        <v>1</v>
      </c>
      <c r="E3218" t="n">
        <v>2</v>
      </c>
      <c r="F3218">
        <f>HYPERLINK("https://www.reddit.com/r/COVID19positive/comments/hrxni0/positive_negative_positive_negative_roller_coaster/")</f>
        <v/>
      </c>
      <c r="G3218" t="inlineStr">
        <is>
          <t>2020-07-15 15:30:02</t>
        </is>
      </c>
      <c r="H3218" t="inlineStr">
        <is>
          <t>Tested Positive</t>
        </is>
      </c>
    </row>
    <row r="3219">
      <c r="A3219" t="inlineStr">
        <is>
          <t>hrxqjk</t>
        </is>
      </c>
      <c r="B3219" t="inlineStr">
        <is>
          <t>Can employer require you to show results?</t>
        </is>
      </c>
      <c r="C3219" t="inlineStr">
        <is>
          <t>Developed symptoms last week. Video chatted with doctor and he gave me a presumed positive doctors note and said we are awaiting test results in the note. I live in Iowa and we have a 3rd party tester here ( TestIowa, they are terrible). Anyway, I got my results back via email with a login to a portal to view results and was told to call my doctor with results. My doctor says they can’t write me a Covid positive note since the test was through a third party. My work is now requesting me to send my Covid results via picture which I am not at all comfortable with due to privacy reasons. Can they penalize me for not sending them?</t>
        </is>
      </c>
      <c r="D3219" t="n">
        <v>1</v>
      </c>
      <c r="E3219" t="n">
        <v>10</v>
      </c>
      <c r="F3219">
        <f>HYPERLINK("https://www.reddit.com/r/COVID19positive/comments/hrxqjk/can_employer_require_you_to_show_results/")</f>
        <v/>
      </c>
      <c r="G3219" t="inlineStr">
        <is>
          <t>2020-07-15 15:34:41</t>
        </is>
      </c>
      <c r="H3219" t="inlineStr">
        <is>
          <t>Presumed Positive - From Doctor</t>
        </is>
      </c>
    </row>
    <row r="3220">
      <c r="A3220" t="inlineStr">
        <is>
          <t>hry40w</t>
        </is>
      </c>
      <c r="B3220" t="inlineStr">
        <is>
          <t>Low Ferritin anyone? Mine is usually very good. (Hemolytic Anemia?)</t>
        </is>
      </c>
      <c r="C3220" t="inlineStr">
        <is>
          <t>Anyone else get anemia of any sort? Or Hemolytic Anemia? 
I’ve been having mostly the neurological (brain fog, tingles, dizzy, tinnitus, ataxia) symptoms with shortness of breath. Today the doc called because they may run an anemia panel on me due to a low ferritin read. I give blood fairly regularly (last time was March) and my iron is always “great”. 
I’ve read people having HIGH ferritin getting worse symptoms, but the only thing I’m seeing on LOW is 
  studies suggesting some COVID-19 patients get Hemolytic Anemia. Usually older and with other conditions. I’m 34 with a good BMI and overall healthy.</t>
        </is>
      </c>
      <c r="D3220" t="n">
        <v>1</v>
      </c>
      <c r="E3220" t="n">
        <v>16</v>
      </c>
      <c r="F3220">
        <f>HYPERLINK("https://www.reddit.com/r/COVID19positive/comments/hry40w/low_ferritin_anyone_mine_is_usually_very_good/")</f>
        <v/>
      </c>
      <c r="G3220" t="inlineStr">
        <is>
          <t>2020-07-15 15:55:26</t>
        </is>
      </c>
      <c r="H3220" t="inlineStr">
        <is>
          <t>Tested Positive - Me</t>
        </is>
      </c>
    </row>
    <row r="3221">
      <c r="A3221" t="inlineStr">
        <is>
          <t>hry8je</t>
        </is>
      </c>
      <c r="B3221" t="inlineStr">
        <is>
          <t>Possibly in for another ride...</t>
        </is>
      </c>
      <c r="C3221" t="inlineStr">
        <is>
          <t>I’ve been recovering from the virus since February. For over 4 months now. I’ve Been feeling GREAT the last couple weeks. Today, my dad came home and told me that his boss was sniffling and had some pretty disgusting coughs, and that his boss stood over him while he was working. I really don’t want to go through this again, and I certainly don’t want my family to get infected. My parents are semi-high risk, and that’s what makes me nervous.
What makes this worse is the fact that my dad’s work has not taken this thing seriously whatsoever, and my dad is the only one using a mask and social distancing. I am really REALLY hoping his boss was just feeling off today. 
(I have no idea what to put as a flair...)</t>
        </is>
      </c>
      <c r="D3221" t="n">
        <v>1</v>
      </c>
      <c r="E3221" t="n">
        <v>14</v>
      </c>
      <c r="F3221">
        <f>HYPERLINK("https://www.reddit.com/r/COVID19positive/comments/hry8je/possibly_in_for_another_ride/")</f>
        <v/>
      </c>
      <c r="G3221" t="inlineStr">
        <is>
          <t>2020-07-15 16:02:57</t>
        </is>
      </c>
      <c r="H3221" t="inlineStr">
        <is>
          <t>Presumed Positive - From Test</t>
        </is>
      </c>
    </row>
    <row r="3222">
      <c r="A3222" t="inlineStr">
        <is>
          <t>hs0iqh</t>
        </is>
      </c>
      <c r="B3222" t="inlineStr">
        <is>
          <t>Covid and hair shed</t>
        </is>
      </c>
      <c r="C3222" t="inlineStr">
        <is>
          <t>So my hair is very sensitive lol stress to my body or mental stress always causes a little hair shed for me. Im presumed to have it back in April and now a few months later bam my hair is shedding everywhere.
Anyone else experiencing this?</t>
        </is>
      </c>
      <c r="D3222" t="n">
        <v>1</v>
      </c>
      <c r="E3222" t="n">
        <v>11</v>
      </c>
      <c r="F3222">
        <f>HYPERLINK("https://www.reddit.com/r/COVID19positive/comments/hs0iqh/covid_and_hair_shed/")</f>
        <v/>
      </c>
      <c r="G3222" t="inlineStr">
        <is>
          <t>2020-07-15 18:25:50</t>
        </is>
      </c>
      <c r="H3222" t="inlineStr">
        <is>
          <t>Presumed Positive - From Doctor</t>
        </is>
      </c>
    </row>
    <row r="3223">
      <c r="A3223" t="inlineStr">
        <is>
          <t>hs0v7o</t>
        </is>
      </c>
      <c r="B3223" t="inlineStr">
        <is>
          <t>went for a walk</t>
        </is>
      </c>
      <c r="C3223" t="inlineStr">
        <is>
          <t>i have been sick off and on like never before in my life since march 8th.  i get better for a few weeks and then i relapse.  sometimes it feels like the sickest i have ever been.  SoB, bronchitis, fatigue, sweats and chills, lots of coughing.  crazy bags under my eyes.  im only 35 and have never experienced this kind of roller coaster with my health before.  
anyway last night was really gnarly and i woke up feeling the same as did going to sleep.  i have been staying inside sooooo much that i began to wonder if this house air is messing with me, so i put on my n99 mask and went for a walk.  probably about 2 miles.  i think it really helped.  my chest and airways were sore all day and as i write this not long after the walk, that soreness seems to not be there right now, and i feel refreshed.
i have heard from numerous accounts that this virus hates motion.  also fresh air and sunlight is the oldest viral treatment in the book.  i made sure to take alleyways and avoid crossing paths with anyone.  i really hope this isnt just a placeebo effect.  i am gonna do it again tomorrow too.  
cheers.</t>
        </is>
      </c>
      <c r="D3223" t="n">
        <v>1</v>
      </c>
      <c r="E3223" t="n">
        <v>11</v>
      </c>
      <c r="F3223">
        <f>HYPERLINK("https://www.reddit.com/r/COVID19positive/comments/hs0v7o/went_for_a_walk/")</f>
        <v/>
      </c>
      <c r="G3223" t="inlineStr">
        <is>
          <t>2020-07-15 18:48:25</t>
        </is>
      </c>
      <c r="H3223" t="inlineStr">
        <is>
          <t>Presumed Positive - From Doctor</t>
        </is>
      </c>
    </row>
    <row r="3224">
      <c r="A3224" t="inlineStr">
        <is>
          <t>hs1102</t>
        </is>
      </c>
      <c r="B3224" t="inlineStr">
        <is>
          <t>I dont know who to talk to about all this</t>
        </is>
      </c>
      <c r="C3224" t="inlineStr">
        <is>
          <t>hi so I tested positive for covid. I'm a teenager with asthma and I'm so scared man. I'm in my room and my non asthmatic twin brother also has it but he seems to be doing fine. my back hurts like hell and it feels like every joint I have is on fire. I'm cold all the time and I found a rash on my thigh today. I told some of my friends and they're supportive and want to help but the only thing I can do is wait and I'm so scared. my asthma is getting really bad and it hurts to breathe and I'm scared something will happen to me. does anybody have any advice on what to do while I'm stuck in my room or the hospital for the next 2 weeks or so? is there any advice on how to make this easier or do I just grit my teeth and get through it? I know this is nonsensical but it all happened so fast and it felt like 2 days ago I was doing just fine and now I cant even get out of bed without crying from pain. any advice would be so appreciated. thanks in advance</t>
        </is>
      </c>
      <c r="D3224" t="n">
        <v>1</v>
      </c>
      <c r="E3224" t="n">
        <v>14</v>
      </c>
      <c r="F3224">
        <f>HYPERLINK("https://www.reddit.com/r/COVID19positive/comments/hs1102/i_dont_know_who_to_talk_to_about_all_this/")</f>
        <v/>
      </c>
      <c r="G3224" t="inlineStr">
        <is>
          <t>2020-07-15 18:59:06</t>
        </is>
      </c>
      <c r="H3224" t="inlineStr">
        <is>
          <t>Tested Positive - Me</t>
        </is>
      </c>
    </row>
    <row r="3225">
      <c r="A3225" t="inlineStr">
        <is>
          <t>hs15mb</t>
        </is>
      </c>
      <c r="B3225" t="inlineStr">
        <is>
          <t>My mom and dad just came out positive.</t>
        </is>
      </c>
      <c r="C3225" t="inlineStr">
        <is>
          <t>My dad was having issues with breathing, my mom and I were having what we though was a cold last week. This Monday their results came and they were both positive. Because I don't have any symptoms now I can't do a PCR test with no medical order, so I just got a blood test and came negative. However I feel I got it. Anyway they live together with my older brother. My dad is 70 and my mom 66, my brother 40. I live next building. I just got a oxigen concentrator for my dad (o2 lvls are 87-83). My mom does still have to care for my dad cause he's weak. Do you have any advice on how to handle?</t>
        </is>
      </c>
      <c r="D3225" t="n">
        <v>1</v>
      </c>
      <c r="E3225" t="n">
        <v>18</v>
      </c>
      <c r="F3225">
        <f>HYPERLINK("https://www.reddit.com/r/COVID19positive/comments/hs15mb/my_mom_and_dad_just_came_out_positive/")</f>
        <v/>
      </c>
      <c r="G3225" t="inlineStr">
        <is>
          <t>2020-07-15 19:07:24</t>
        </is>
      </c>
      <c r="H3225" t="inlineStr">
        <is>
          <t>Tested Positive - Family</t>
        </is>
      </c>
    </row>
    <row r="3226">
      <c r="A3226" t="inlineStr">
        <is>
          <t>hs1qiq</t>
        </is>
      </c>
      <c r="B3226" t="inlineStr">
        <is>
          <t>How long am I contagious for?</t>
        </is>
      </c>
      <c r="C3226" t="inlineStr">
        <is>
          <t>It’s been about 2 weeks now since my exposure to this virus and I just tested positive yesterday. I hadn’t shown any symptoms for days but yesterday my symptoms flared up again after hearing my results. I’m feeling back to normal again and blessed that I didn’t have a severe case, but when will I be able to safely leave the house again? I’ve been self quarantined this whole time but I don’t want to risk infecting anybody that I love.</t>
        </is>
      </c>
      <c r="D3226" t="n">
        <v>1</v>
      </c>
      <c r="E3226" t="n">
        <v>5</v>
      </c>
      <c r="F3226">
        <f>HYPERLINK("https://www.reddit.com/r/COVID19positive/comments/hs1qiq/how_long_am_i_contagious_for/")</f>
        <v/>
      </c>
      <c r="G3226" t="inlineStr">
        <is>
          <t>2020-07-15 19:46:59</t>
        </is>
      </c>
      <c r="H3226" t="inlineStr">
        <is>
          <t>Tested Positive - Me</t>
        </is>
      </c>
    </row>
    <row r="3227">
      <c r="A3227" t="inlineStr">
        <is>
          <t>hs1wh8</t>
        </is>
      </c>
      <c r="B3227" t="inlineStr">
        <is>
          <t>Chest cold or COVID relapse/reinfection?</t>
        </is>
      </c>
      <c r="C3227" t="inlineStr">
        <is>
          <t>Hey everyone! I’m a 24 year old guy I had all the symptoms of COVID the entire month of February. It really knocked me on my butt but I got better. I got tested for antibodies in June but I think I lost them by then. 
The last few days I’ve been anxious about getting reinfected. 
At the same time I’ve had what feels like a chest cold. No pain or mucus though. Just a tired feeling in my chest. 
I thought it might be allergies or bronchitis but I’m not really congested and have no phlegm.
I’m barely coughing it all all. I think I’ve coughed one time in the last few days. 
It’s my only symptom. 
I haven’t been sleeping well or all that much so it could just be that I’m exhausted and that I’m feeling it in my chest or it’s from the anxiety attacks I had earlier this week 
When I had covid in February it started out as a sore throat and continued to get worse with a fever, terribly fatigue, swollen lymph nodes, aches, etc. I don’t have any of the same symptoms that I had before.
I’m not sure if I should get tested again</t>
        </is>
      </c>
      <c r="D3227" t="n">
        <v>1</v>
      </c>
      <c r="E3227" t="n">
        <v>3</v>
      </c>
      <c r="F3227">
        <f>HYPERLINK("https://www.reddit.com/r/COVID19positive/comments/hs1wh8/chest_cold_or_covid_relapsereinfection/")</f>
        <v/>
      </c>
      <c r="G3227" t="inlineStr">
        <is>
          <t>2020-07-15 19:58:33</t>
        </is>
      </c>
      <c r="H3227" t="inlineStr">
        <is>
          <t>Tested Positive - Me</t>
        </is>
      </c>
    </row>
    <row r="3228">
      <c r="A3228" t="inlineStr">
        <is>
          <t>hs2boq</t>
        </is>
      </c>
      <c r="B3228" t="inlineStr">
        <is>
          <t>Tingling in toes and hands</t>
        </is>
      </c>
      <c r="C3228" t="inlineStr">
        <is>
          <t>Did anyone else experience a tingling sensation in the toes and fingers? It goes away a little when I walk around. I’m presuming I’m positive due to being in close contact with someone who just confirmed positive and I have a sore throat and general fatigue. 
The tingling has been a strange symptom that I’m most worried about. For those who had this same experience, when did it go away? Is it an indication of poor blood flow or just a weird effect? I have called a doctor and they said not to worry unless discoloration occurs. Did that happen to anyone else?</t>
        </is>
      </c>
      <c r="D3228" t="n">
        <v>1</v>
      </c>
      <c r="E3228" t="n">
        <v>6</v>
      </c>
      <c r="F3228">
        <f>HYPERLINK("https://www.reddit.com/r/COVID19positive/comments/hs2boq/tingling_in_toes_and_hands/")</f>
        <v/>
      </c>
      <c r="G3228" t="inlineStr">
        <is>
          <t>2020-07-15 20:27:33</t>
        </is>
      </c>
      <c r="H3228" t="inlineStr">
        <is>
          <t>Presumed Positive - From Test</t>
        </is>
      </c>
    </row>
    <row r="3229">
      <c r="A3229" t="inlineStr">
        <is>
          <t>hs2hs6</t>
        </is>
      </c>
      <c r="B3229" t="inlineStr">
        <is>
          <t>I find meditation helpful. How about you?</t>
        </is>
      </c>
      <c r="C3229" t="inlineStr">
        <is>
          <t>I started doing meditation about the same time as I came down with coronavirus (6/19). It was something I had already decided to pursue and self-quarantine time just gave me a good opportunity to explore it. I'm only in the 5-10 minute range and I've learned a lot in the process.
I'm already very involved in pilates, which has a huge emphasis on breath connections. Meditation does as well, but in a different way. The practice of being there with the breath and clearing out thoughts helps me be there for myself. Like I'm holding my own hand. 
Coronavirus is isolating enough as it is, and I don't get the luxury of always having someone with me, but I have meditation to help me self-soothe. What about y'all?</t>
        </is>
      </c>
      <c r="D3229" t="n">
        <v>1</v>
      </c>
      <c r="E3229" t="n">
        <v>4</v>
      </c>
      <c r="F3229">
        <f>HYPERLINK("https://www.reddit.com/r/COVID19positive/comments/hs2hs6/i_find_meditation_helpful_how_about_you/")</f>
        <v/>
      </c>
      <c r="G3229" t="inlineStr">
        <is>
          <t>2020-07-15 20:39:22</t>
        </is>
      </c>
      <c r="H3229" t="inlineStr">
        <is>
          <t>Tested Positive</t>
        </is>
      </c>
    </row>
    <row r="3230">
      <c r="A3230" t="inlineStr">
        <is>
          <t>hs2l9m</t>
        </is>
      </c>
      <c r="B3230" t="inlineStr">
        <is>
          <t>I don’t know what to expect and I am absolutely terrified.</t>
        </is>
      </c>
      <c r="C3230" t="inlineStr">
        <is>
          <t>I went to my local testing center today to get a nasal swab test done.  Reason why is because my mom was experiencing symptoms and ended up testing positive. (Her symptoms started on the 5th of July, she got tested on the 7th, got her results back on the 13th).  I started feeling symptoms yesterday (July 14th) which included a dry cough and shortness of breath.  Today I feel the same but now I have a ton of congestion. 
My mom doesn’t appear to be getting any better despite her saying she feels fine.  I’m sure she is lying to me so I don’t get stressed out.  I’m just scared about what these two upcoming weeks have in store for me.  I have terrible anxiety and suffer from panic attacks.  If I turn out to be positive (probably will) is this going to affect me for the rest of my life? I see people on this subreddit sharing how it’s day 100+ and they’re still recovering.
I’m sorry if I sound stupid but I didn’t expect this to happen to me or my family.  I’m just extremely worried and I am in desperate need of some type of advice.</t>
        </is>
      </c>
      <c r="D3230" t="n">
        <v>1</v>
      </c>
      <c r="E3230" t="n">
        <v>7</v>
      </c>
      <c r="F3230">
        <f>HYPERLINK("https://www.reddit.com/r/COVID19positive/comments/hs2l9m/i_dont_know_what_to_expect_and_i_am_absolutely/")</f>
        <v/>
      </c>
      <c r="G3230" t="inlineStr">
        <is>
          <t>2020-07-15 20:45:47</t>
        </is>
      </c>
      <c r="H3230" t="inlineStr">
        <is>
          <t>Presumed Positive - From Test</t>
        </is>
      </c>
    </row>
    <row r="3231">
      <c r="A3231" t="inlineStr">
        <is>
          <t>hs2mws</t>
        </is>
      </c>
      <c r="B3231" t="inlineStr">
        <is>
          <t>After recovery question</t>
        </is>
      </c>
      <c r="C3231" t="inlineStr">
        <is>
          <t>So basically my partner recieved COVID and we are waiting for a negative test result to get close as I am immunocompromised.
She works as a dancer and is wondering if she should go back to work once she is confirmed COVID free.
However we are concerned she could bring it home and infect me, even if she cannot get sick a second time due to antibodies. 
Advice?</t>
        </is>
      </c>
      <c r="D3231" t="n">
        <v>1</v>
      </c>
      <c r="E3231" t="n">
        <v>2</v>
      </c>
      <c r="F3231">
        <f>HYPERLINK("https://www.reddit.com/r/COVID19positive/comments/hs2mws/after_recovery_question/")</f>
        <v/>
      </c>
      <c r="G3231" t="inlineStr">
        <is>
          <t>2020-07-15 20:49:14</t>
        </is>
      </c>
      <c r="H3231" t="inlineStr">
        <is>
          <t>Tested Positive - Family</t>
        </is>
      </c>
    </row>
    <row r="3232">
      <c r="A3232" t="inlineStr">
        <is>
          <t>hs2zu7</t>
        </is>
      </c>
      <c r="B3232" t="inlineStr">
        <is>
          <t>When will i get my taste/smell back ???</t>
        </is>
      </c>
      <c r="C3232" t="inlineStr">
        <is>
          <t>my (21m)  symptoms were pretty mild, i started off with a cough on the first day ( Monday 6/22) and some congestion and a very mild sore throat on the second and third day (Tuesday and Wednesday )  but nothing to bad, as a precaution i decided to quarantine even though i didn't really think much of it and got an appointment to get tested the following Monday ,however Thursday morning i woke up feeling perfectly fine and i considered not even bothering getting tested since I no longer had any symptoms and i just simply chalked it up to my allergies acting up until i realized on Saturday 6/27 that i couldn't taste or smell nothing at all which i found odd because my nasal passage was clear and i no longer felt any congestion or any other symptoms for that matter , I ended up getting tested the following Monday since i had heard that loss of smell/taste was a predominate symptom for people with mild to no symptoms and Surprise, surprise  i ended up testing Positive for Covid. Now, i got tested on Monday 6/29 and since then i have tested negative for Covid and I'm already out of quarantine, however i still can't taste or smell at all and have I already lost 8 lbs since then. I don't really eat unless i feel hungry and even when i do its typically just something very small. i was fine for the first couple of days but its been almost three weeks now (Day 19)without taste or smell  and I'm starting to get worried that it may never come back. has anyone had a similar experience and if so how long did it take you to finally get it back ? Thank you in advance</t>
        </is>
      </c>
      <c r="D3232" t="n">
        <v>1</v>
      </c>
      <c r="E3232" t="n">
        <v>21</v>
      </c>
      <c r="F3232">
        <f>HYPERLINK("https://www.reddit.com/r/COVID19positive/comments/hs2zu7/when_will_i_get_my_tastesmell_back/")</f>
        <v/>
      </c>
      <c r="G3232" t="inlineStr">
        <is>
          <t>2020-07-15 21:15:32</t>
        </is>
      </c>
      <c r="H3232" t="inlineStr">
        <is>
          <t>Tested Positive</t>
        </is>
      </c>
    </row>
    <row r="3233">
      <c r="A3233" t="inlineStr">
        <is>
          <t>hs3bwv</t>
        </is>
      </c>
      <c r="B3233" t="inlineStr">
        <is>
          <t>Any experience with Ibuprofen?</t>
        </is>
      </c>
      <c r="C3233" t="inlineStr">
        <is>
          <t>I’m having a lot of chest inflammation post virus or I’m not sure if I could be flaring up with it again but had anybody used ibuprofen or naproxen? I know in the early days it was recommended to not use it but Tylenol just isn’t working for me</t>
        </is>
      </c>
      <c r="D3233" t="n">
        <v>1</v>
      </c>
      <c r="E3233" t="n">
        <v>6</v>
      </c>
      <c r="F3233">
        <f>HYPERLINK("https://www.reddit.com/r/COVID19positive/comments/hs3bwv/any_experience_with_ibuprofen/")</f>
        <v/>
      </c>
      <c r="G3233" t="inlineStr">
        <is>
          <t>2020-07-15 21:40:42</t>
        </is>
      </c>
      <c r="H3233" t="inlineStr">
        <is>
          <t>Tested Positive - Me</t>
        </is>
      </c>
    </row>
    <row r="3234">
      <c r="A3234" t="inlineStr">
        <is>
          <t>hs3eve</t>
        </is>
      </c>
      <c r="B3234" t="inlineStr">
        <is>
          <t>Specfic Smell?</t>
        </is>
      </c>
      <c r="C3234" t="inlineStr">
        <is>
          <t>20F, I’ve been sick for about 2 weeks, but only found out today that I tested positive. I had all of the symptoms - fever, headache, stuffy, cough, lost of taste/smell, etc. 
Today is the first day I’ve started to feel somewhat better. I’m able to taste, but unable to smell anything now. EXCEPT when I breathe in there’s this very specific smell that I can’t describe and it almost makes me nauseous because I can taste it too. No one else can smell it either, just me. It’s not a good smell, it’s almost bitter and metallic. I’m just wondering if anyone else has experienced it and if it goes away?? I tried video chatting with my doctor to see if there’s anything to help and she suggested a nasal rinse. I’ve been doing that for a couple days, but that smell won’t go away. It’s so bad that I just breathe thru my mouth now because it’s a weird smell.</t>
        </is>
      </c>
      <c r="D3234" t="n">
        <v>1</v>
      </c>
      <c r="E3234" t="n">
        <v>10</v>
      </c>
      <c r="F3234">
        <f>HYPERLINK("https://www.reddit.com/r/COVID19positive/comments/hs3eve/specfic_smell/")</f>
        <v/>
      </c>
      <c r="G3234" t="inlineStr">
        <is>
          <t>2020-07-15 21:46:55</t>
        </is>
      </c>
      <c r="H3234" t="inlineStr">
        <is>
          <t>Tested Positive - Me</t>
        </is>
      </c>
    </row>
    <row r="3235">
      <c r="A3235" t="inlineStr">
        <is>
          <t>hs3fuh</t>
        </is>
      </c>
      <c r="B3235" t="inlineStr">
        <is>
          <t>Chest tightness 2 weeks later</t>
        </is>
      </c>
      <c r="C3235" t="inlineStr">
        <is>
          <t>I tested positive on July 3rd, and it was also the last day of my symptoms - which were only loss of smell and a minor cough. I'm 21M in overall great shape and health.
Now, two weeks later, I'm having some chest tightness with minor sharp pain occasionally if I breathe in deep or cough. I went to a doctor today and my O2 level was 100% but apparently my breathing did not sound normal. I got some antibiotics for pnemonia and I have to get a chest x-ray.
I'm a little nervous about permanent lung damage or something. Any similar experiences?</t>
        </is>
      </c>
      <c r="D3235" t="n">
        <v>1</v>
      </c>
      <c r="E3235" t="n">
        <v>14</v>
      </c>
      <c r="F3235">
        <f>HYPERLINK("https://www.reddit.com/r/COVID19positive/comments/hs3fuh/chest_tightness_2_weeks_later/")</f>
        <v/>
      </c>
      <c r="G3235" t="inlineStr">
        <is>
          <t>2020-07-15 21:49:04</t>
        </is>
      </c>
      <c r="H3235" t="inlineStr">
        <is>
          <t>Tested Positive - Me</t>
        </is>
      </c>
    </row>
    <row r="3236">
      <c r="A3236" t="inlineStr">
        <is>
          <t>hs3n7i</t>
        </is>
      </c>
      <c r="B3236" t="inlineStr">
        <is>
          <t>(18F) log of symptoms (will be updated)</t>
        </is>
      </c>
      <c r="C3236" t="inlineStr">
        <is>
          <t>coronavirus chart
 July 11: day one: swollen lymph nodes, tired, no fever, diarrhea
July 12: day two: swollen lymph nodes, tired, chills diarrhea - presum positive today
July 13: day three: extremely tired but can’t sleep, chills, sweats, no diarrhea, horrible body aches, fever, sore throat
July 14: day four: sore throat gone, slept all day, didnt wake up until 4 pm, started menstrual cycle (ugh), sweaty, heavy chest at night
July 15: day five: slight chest tightness, still a bit tired, feeling a bit better, small fever, partial loss of smell
 | o2: 97-98</t>
        </is>
      </c>
      <c r="D3236" t="n">
        <v>1</v>
      </c>
      <c r="E3236" t="n">
        <v>8</v>
      </c>
      <c r="F3236">
        <f>HYPERLINK("https://www.reddit.com/r/COVID19positive/comments/hs3n7i/18f_log_of_symptoms_will_be_updated/")</f>
        <v/>
      </c>
      <c r="G3236" t="inlineStr">
        <is>
          <t>2020-07-15 22:05:09</t>
        </is>
      </c>
      <c r="H3236" t="inlineStr">
        <is>
          <t>Tested Positive - Me</t>
        </is>
      </c>
    </row>
    <row r="3237">
      <c r="A3237" t="inlineStr">
        <is>
          <t>hs3nia</t>
        </is>
      </c>
      <c r="B3237" t="inlineStr">
        <is>
          <t>Should I not see my boyfriend? His brother tested positive.</t>
        </is>
      </c>
      <c r="C3237" t="inlineStr">
        <is>
          <t>Today my BF found out his brother got tested and is positive. They don’t live together but my BF does interact with his parents who his brother lives with. I’m assuming if brother has it, the parents will get it or already it. They’re going to get tested but for now they don’t know. My BF sleeps at my house a lot and is at my house now. I don’t know if it’s too late now or if I should not see him after tomorrow until he gets tested. Does anyone have advice? My mom is at risk so that’s what I’m mostly worried about, but am also super scared in general for everyone involved. I didn’t know my his brother had it until after he was at my house.</t>
        </is>
      </c>
      <c r="D3237" t="n">
        <v>1</v>
      </c>
      <c r="E3237" t="n">
        <v>3</v>
      </c>
      <c r="F3237">
        <f>HYPERLINK("https://www.reddit.com/r/COVID19positive/comments/hs3nia/should_i_not_see_my_boyfriend_his_brother_tested/")</f>
        <v/>
      </c>
      <c r="G3237" t="inlineStr">
        <is>
          <t>2020-07-15 22:05:46</t>
        </is>
      </c>
      <c r="H3237" t="inlineStr">
        <is>
          <t>Tested Positive - Friends</t>
        </is>
      </c>
    </row>
    <row r="3238">
      <c r="A3238" t="inlineStr">
        <is>
          <t>hs4s6s</t>
        </is>
      </c>
      <c r="B3238" t="inlineStr">
        <is>
          <t>Day 2 and it hurts to breathe, but oxygen levels are high. Anyone else experience this?</t>
        </is>
      </c>
      <c r="C3238" t="inlineStr">
        <is>
          <t>31F with asthma. I’m day two, was diagnosed yesterday in the ER. My fever seem to break last night, but spiked to 99 this evening. Aside from that I’m doing fairly well, but it hurts to take a deep breath. I’m doing nebulizer treatments, which help, and taking all my asthma meds as usual; brio and prednisone. My ox level was at 99 right now. Should I still be concerned about the pain? When should I really worry?</t>
        </is>
      </c>
      <c r="D3238" t="n">
        <v>1</v>
      </c>
      <c r="E3238" t="n">
        <v>3</v>
      </c>
      <c r="F3238">
        <f>HYPERLINK("https://www.reddit.com/r/COVID19positive/comments/hs4s6s/day_2_and_it_hurts_to_breathe_but_oxygen_levels/")</f>
        <v/>
      </c>
      <c r="G3238" t="inlineStr">
        <is>
          <t>2020-07-15 23:42:38</t>
        </is>
      </c>
      <c r="H3238" t="inlineStr">
        <is>
          <t>Tested Positive - Me</t>
        </is>
      </c>
    </row>
    <row r="3239">
      <c r="A3239" t="inlineStr">
        <is>
          <t>hs5gtx</t>
        </is>
      </c>
      <c r="B3239" t="inlineStr">
        <is>
          <t>Suggested ways to combat the cognitive decay that some are experiencing</t>
        </is>
      </c>
      <c r="C3239" t="inlineStr">
        <is>
          <t>Turn this into another post I had. I mentioned that there are studies that are finding that if you were diagnosed with the coronavirus and get over it or still have it you may experience cognitive decay in a way of like foggyness in your mind. 
Upon some of my research they suggested three things. Working out, eating healthy and spending time with other people. The first two are doable. At least in my area some of the gyms are still open. But the third one, where they suggest you spend time with your peers seems a little counterproductive to me. They say that you shouldn't be spending time around groups of people. But at the same time it is a recommended thing for us to do if experiencing this type of decay. I just find it crazy and counterproductive.
Just a little update on my situation, I am taking over the counter medication now that seems to be helping a little bit. On top of that I am eating healthier and working out more often. I haven't noticed a change yet, for better or for worse, but I'm at least trying.</t>
        </is>
      </c>
      <c r="D3239" t="n">
        <v>1</v>
      </c>
      <c r="E3239" t="n">
        <v>4</v>
      </c>
      <c r="F3239">
        <f>HYPERLINK("https://www.reddit.com/r/COVID19positive/comments/hs5gtx/suggested_ways_to_combat_the_cognitive_decay_that/")</f>
        <v/>
      </c>
      <c r="G3239" t="inlineStr">
        <is>
          <t>2020-07-16 00:44:06</t>
        </is>
      </c>
      <c r="H3239" t="inlineStr">
        <is>
          <t>Tested Positive - Me</t>
        </is>
      </c>
    </row>
    <row r="3240">
      <c r="A3240" t="inlineStr">
        <is>
          <t>hs6lpt</t>
        </is>
      </c>
      <c r="B3240" t="inlineStr">
        <is>
          <t>Anyone has low grade fever after recovery ? How severe was ur case , for how long ?</t>
        </is>
      </c>
      <c r="C3240" t="inlineStr">
        <is>
          <t>I am in recovery . Tested negative twice after a mild covid. 
But I still have a low grade fever like 0.5 .</t>
        </is>
      </c>
      <c r="D3240" t="n">
        <v>1</v>
      </c>
      <c r="E3240" t="n">
        <v>5</v>
      </c>
      <c r="F3240">
        <f>HYPERLINK("https://www.reddit.com/r/COVID19positive/comments/hs6lpt/anyone_has_low_grade_fever_after_recovery_how/")</f>
        <v/>
      </c>
      <c r="G3240" t="inlineStr">
        <is>
          <t>2020-07-16 02:32:34</t>
        </is>
      </c>
      <c r="H3240" t="inlineStr">
        <is>
          <t>Tested Positive - Me</t>
        </is>
      </c>
    </row>
    <row r="3241">
      <c r="A3241" t="inlineStr">
        <is>
          <t>hs7tpz</t>
        </is>
      </c>
      <c r="B3241" t="inlineStr">
        <is>
          <t>Anyone else still swollen with love handles after months?</t>
        </is>
      </c>
      <c r="C3241" t="inlineStr">
        <is>
          <t>Like, I bloat up all the time. Is it because I’m drinking too much or can I blame covid?</t>
        </is>
      </c>
      <c r="D3241" t="n">
        <v>1</v>
      </c>
      <c r="E3241" t="n">
        <v>4</v>
      </c>
      <c r="F3241">
        <f>HYPERLINK("https://www.reddit.com/r/COVID19positive/comments/hs7tpz/anyone_else_still_swollen_with_love_handles_after/")</f>
        <v/>
      </c>
      <c r="G3241" t="inlineStr">
        <is>
          <t>2020-07-16 04:21:06</t>
        </is>
      </c>
      <c r="H3241" t="inlineStr">
        <is>
          <t>Tested Positive - Me</t>
        </is>
      </c>
    </row>
    <row r="3242">
      <c r="A3242" t="inlineStr">
        <is>
          <t>hs7y8g</t>
        </is>
      </c>
      <c r="B3242" t="inlineStr">
        <is>
          <t>Headache and fever</t>
        </is>
      </c>
      <c r="C3242" t="inlineStr">
        <is>
          <t>So it's been 4 days since my symptom started and I'm feeling a little bit under the weather. Here are my symptoms progression.
Day 1 : Headache, Diarhea, Dizziness
Still went to work. I thought the headache and diarhea was because of beer which I drink thight before
Day 2: Headache, Dizziness
Feels like I'm about to broke into a fever every night however after waking up I'm drenched in sweat
Day 3: Same symptoms, except for the headache, pain had multiplied twice
Day 4: Same symptoms but with fever ranging fr 37 to 38
After Day 4 is when I decided to go to the hospital. Fever has subsided. Blood test, urine is normal. Xray shows irregularity in my left lung, doctor says it could be pneumonia. I'm scheduled to get the test tomorrow. 
I don't have any respiratory symptoms like cough or cold. Breathing is fine. I wish this is not Covid.</t>
        </is>
      </c>
      <c r="D3242" t="n">
        <v>1</v>
      </c>
      <c r="E3242" t="n">
        <v>2</v>
      </c>
      <c r="F3242">
        <f>HYPERLINK("https://www.reddit.com/r/COVID19positive/comments/hs7y8g/headache_and_fever/")</f>
        <v/>
      </c>
      <c r="G3242" t="inlineStr">
        <is>
          <t>2020-07-16 04:30:53</t>
        </is>
      </c>
      <c r="H3242" t="inlineStr">
        <is>
          <t>Presumed Positive - From Doctor</t>
        </is>
      </c>
    </row>
    <row r="3243">
      <c r="A3243" t="inlineStr">
        <is>
          <t>hs7zjb</t>
        </is>
      </c>
      <c r="B3243" t="inlineStr">
        <is>
          <t>I've been cleared by my doctor! I am a Covid survivor.</t>
        </is>
      </c>
      <c r="C3243" t="inlineStr">
        <is>
          <t>It came on day 32 for me. I've been home continuing my recovery after discharged from ICU Isolation ward. I worked at recovery very committed beginning in ICU by walking as I could. Yesterday, I walked 2 1/2 miles at a quick pace. Interestingly, there are simple tasks that still leave me winded, with the most common being taking a shower. I still have an irregular sleep pattern, and muscle &amp;amp; joint aches, but almost zero coughing. 
The doctor cautioned me that were I to contract Covid again, I need to understand I now fall into a high risk category with my diminished lung capacity. 
I've read here of others worry they are not "themselves" as they were before Covid. I know I'm not, but I'm choosing to see it like "me before knee surgery, and me after knee surgery". Def not 100% ever again, but ok with what I see as the new me- with limits. 
I hope I can keep the promise to myself to keep working on improving my diminished lung volume by walking, but am also ok knowing from the lowest of depths in ICU Isolation that I came from.
To all of you on this sub, I got mad love &amp;amp; respect for you all. We are the faces of Covid family. We understand one another in a way even doctors are still learning. We don't need to say it, but the tears of thinking we are in a bottomless pit with no return were very real tears. I was fortunate in being so sick, I tested positive in the E.R. in just 2 hours, and was admitted. It's a horrible thing to call "fortunate", but sadly it's true when I know that so many others have been turned away. 
So to all of you, my new family, I implore you to find it in you to make yourselves well. I encourage you to accept a new you with new limits. We are, after all, still us, just now we have this thing that tried to kick my butt. I won, and I want you to win.</t>
        </is>
      </c>
      <c r="D3243" t="n">
        <v>1</v>
      </c>
      <c r="E3243" t="n">
        <v>52</v>
      </c>
      <c r="F3243">
        <f>HYPERLINK("https://www.reddit.com/r/COVID19positive/comments/hs7zjb/ive_been_cleared_by_my_doctor_i_am_a_covid/")</f>
        <v/>
      </c>
      <c r="G3243" t="inlineStr">
        <is>
          <t>2020-07-16 04:33:41</t>
        </is>
      </c>
      <c r="H3243" t="inlineStr">
        <is>
          <t>Tested Positive - Me</t>
        </is>
      </c>
    </row>
    <row r="3244">
      <c r="A3244" t="inlineStr">
        <is>
          <t>hs8ibe</t>
        </is>
      </c>
      <c r="B3244" t="inlineStr">
        <is>
          <t>Lingering loss of smell from previous or new infection?</t>
        </is>
      </c>
      <c r="C3244" t="inlineStr">
        <is>
          <t>So long story short: myself and 5 friends were exposed on 6/13, all tested positive on 6/17, and have now all recovered with mild to no symptoms. I tested negative on 7/7, and since then have hung out with 2 of said friends.
During my experience with it, and a few others as well, we lost our sense of smell and taste. It eventually returned along the same timeline as everything else improving, but starting yesterday my sense of smell seems...less intense? It’s not entirely gone at all, but certain scents aren’t as strong as on Monday, let’s say.
At this stage, said friends shouldn’t be contagious anymore as everyone’s symptoms went away and we’re a month past exposure, but I still can’t help getting paranoid that I got it from lingering virus cells in them or something.
I’ve also read that this symptom can be one that comes and goes long after testing negative, so I’m not sure what to think. Am I just overthinking?</t>
        </is>
      </c>
      <c r="D3244" t="n">
        <v>1</v>
      </c>
      <c r="E3244" t="n">
        <v>5</v>
      </c>
      <c r="F3244">
        <f>HYPERLINK("https://www.reddit.com/r/COVID19positive/comments/hs8ibe/lingering_loss_of_smell_from_previous_or_new/")</f>
        <v/>
      </c>
      <c r="G3244" t="inlineStr">
        <is>
          <t>2020-07-16 05:13:04</t>
        </is>
      </c>
      <c r="H3244" t="inlineStr">
        <is>
          <t>Tested Positive - Me</t>
        </is>
      </c>
    </row>
    <row r="3245">
      <c r="A3245" t="inlineStr">
        <is>
          <t>hs8w34</t>
        </is>
      </c>
      <c r="B3245" t="inlineStr">
        <is>
          <t>Day 3 being sick with my wife</t>
        </is>
      </c>
      <c r="C3245" t="inlineStr">
        <is>
          <t>Day 1 for my wife was Monday: extreme pain in her throat, whenever she would swallow anything she said it felt like knives were going down her throat and that there was like a "ball" deep in her throat bothering. 
Day 2: for her was better basically the same symptoms but I got hit for my first day: I had everything different basically, around 11 am I started getting really clammy. I was freezing but my chest and midsection was on fire. I was struggling to stay awake and make it through work. Everything hurt, the littlest movements were sore for minutes. I actually slept in the afternoon because I was so out of it. Tried to go to bed at 1030 but couldn't sleep a minute. My chest was on fire! I'm exclusively a side sleeper but I felt like I couldn't breathe when on my side. I eventually got up and used my rescue inhaler took some vitamin D3 and sat in our recliner I finally fell asleep at 515 but got up at 730. 
Day 3: My wife's throat is feeling much better than it was but she's coughing a fair amount, definitely way more than the days before. Myself: Despite the minimal sleep i'm functioning pretty good, not as much brain fog or soreness. I am still kinda clammy and can't seem to regulate how my temp is making me feel. I did notice yesterday afternoon that my tongue felt "numb" and the back of my throat felt like a "ball" that was going to start to get mad. Also a new symptom I noticed was rashes or breakouts from the sides of my neck down my chest, I can basically make an outline of it. Last night went to bed at 930 and slept like a baby all night. 
Day 4 morning: Wife still has some pain in her neck or lymph nodes. But for the most part is good. I don't really hurt anywhere but keep having like "hot flashes" and my throat feels tight and my voice is tighter. Quite a bit of needing to take deep breaths especially while talking. Face is hurting some and a bit of a headache. Chest feels like has some tightness and maybe some pain. 
At no time through this have either of us had a temp above 98.</t>
        </is>
      </c>
      <c r="D3245" t="n">
        <v>1</v>
      </c>
      <c r="E3245" t="n">
        <v>9</v>
      </c>
      <c r="F3245">
        <f>HYPERLINK("https://www.reddit.com/r/COVID19positive/comments/hs8w34/day_3_being_sick_with_my_wife/")</f>
        <v/>
      </c>
      <c r="G3245" t="inlineStr">
        <is>
          <t>2020-07-16 05:39:57</t>
        </is>
      </c>
      <c r="H3245" t="inlineStr">
        <is>
          <t>Presumed Positive - From Doctor</t>
        </is>
      </c>
    </row>
    <row r="3246">
      <c r="A3246" t="inlineStr">
        <is>
          <t>hs93sc</t>
        </is>
      </c>
      <c r="B3246" t="inlineStr">
        <is>
          <t>What kind of precautions have you taken, living with a positive person?</t>
        </is>
      </c>
      <c r="C3246" t="inlineStr">
        <is>
          <t>My SO tested positive yesterday.  I work from home, so have been taking care of her.  She has segregated herself to one bedroom and one bathroom, and if she needs anything she sticks to coming to the door to get it.  We are both wearing masks whenever we can see each other, I've been washing my hands non-stop, and cleaning things like the door handles with what supplies I have.
Some people have asked if there's someone I could stay with for two weeks.  Others just assume I'm here.
What sorts of precautions have all of you taken when you are living with a positive?</t>
        </is>
      </c>
      <c r="D3246" t="n">
        <v>1</v>
      </c>
      <c r="E3246" t="n">
        <v>6</v>
      </c>
      <c r="F3246">
        <f>HYPERLINK("https://www.reddit.com/r/COVID19positive/comments/hs93sc/what_kind_of_precautions_have_you_taken_living/")</f>
        <v/>
      </c>
      <c r="G3246" t="inlineStr">
        <is>
          <t>2020-07-16 05:54:35</t>
        </is>
      </c>
      <c r="H3246" t="inlineStr">
        <is>
          <t>Tested Positive - Family</t>
        </is>
      </c>
    </row>
    <row r="3247">
      <c r="A3247" t="inlineStr">
        <is>
          <t>hs99oa</t>
        </is>
      </c>
      <c r="B3247" t="inlineStr">
        <is>
          <t>Are results reported to insurance?</t>
        </is>
      </c>
      <c r="C3247" t="inlineStr">
        <is>
          <t>I tested positive today and have a weird question. I have insurance through work but am worried that if I tell work I have it, they will tell my insurance company I have it causing my insurance to go up. Can they or the testing facility report it to insurance?</t>
        </is>
      </c>
      <c r="D3247" t="n">
        <v>1</v>
      </c>
      <c r="E3247" t="n">
        <v>5</v>
      </c>
      <c r="F3247">
        <f>HYPERLINK("https://www.reddit.com/r/COVID19positive/comments/hs99oa/are_results_reported_to_insurance/")</f>
        <v/>
      </c>
      <c r="G3247" t="inlineStr">
        <is>
          <t>2020-07-16 06:05:41</t>
        </is>
      </c>
      <c r="H3247" t="inlineStr">
        <is>
          <t>Tested Positive - Me</t>
        </is>
      </c>
    </row>
    <row r="3248">
      <c r="A3248" t="inlineStr">
        <is>
          <t>hsa5w2</t>
        </is>
      </c>
      <c r="B3248" t="inlineStr">
        <is>
          <t>Having difficulty sleeping</t>
        </is>
      </c>
      <c r="C3248" t="inlineStr">
        <is>
          <t>Any one having trouble sleeping after having Covid 19 ? I am on my 18th week, can’t sleep and my stress level is through the roof. I am also having pains in my knees, elbows, hands. Totally burnt out.</t>
        </is>
      </c>
      <c r="D3248" t="n">
        <v>1</v>
      </c>
      <c r="E3248" t="n">
        <v>13</v>
      </c>
      <c r="F3248">
        <f>HYPERLINK("https://www.reddit.com/r/COVID19positive/comments/hsa5w2/having_difficulty_sleeping/")</f>
        <v/>
      </c>
      <c r="G3248" t="inlineStr">
        <is>
          <t>2020-07-16 07:01:38</t>
        </is>
      </c>
      <c r="H3248" t="inlineStr">
        <is>
          <t>Presumed Positive - From Doctor</t>
        </is>
      </c>
    </row>
    <row r="3249">
      <c r="A3249" t="inlineStr">
        <is>
          <t>hsafoz</t>
        </is>
      </c>
      <c r="B3249" t="inlineStr">
        <is>
          <t>Can you be be tested negative for COVID after surviving it but still have a loss of smell?</t>
        </is>
      </c>
      <c r="C3249" t="inlineStr">
        <is>
          <t>Day 4 of what I'm almost certain is COVID, only symptom so far is loss of smell. My symptoms are extremely mild and I'm full of energy. If I go through with the virus and test myself in circa 14 days, will my smell come back or did anyone else get rid of the virus but still have the problem? Thanks in advance</t>
        </is>
      </c>
      <c r="D3249" t="n">
        <v>1</v>
      </c>
      <c r="E3249" t="n">
        <v>8</v>
      </c>
      <c r="F3249">
        <f>HYPERLINK("https://www.reddit.com/r/COVID19positive/comments/hsafoz/can_you_be_be_tested_negative_for_covid_after/")</f>
        <v/>
      </c>
      <c r="G3249" t="inlineStr">
        <is>
          <t>2020-07-16 07:18:20</t>
        </is>
      </c>
      <c r="H3249" t="inlineStr">
        <is>
          <t>Tested Positive - Friends</t>
        </is>
      </c>
    </row>
    <row r="3250">
      <c r="A3250" t="inlineStr">
        <is>
          <t>hsba4r</t>
        </is>
      </c>
      <c r="B3250" t="inlineStr">
        <is>
          <t>Anyone experiencing severe depression?</t>
        </is>
      </c>
      <c r="C3250" t="inlineStr">
        <is>
          <t>I began experiencing symptoms on July 6th. It began with fatigue, fever, body aches, chills, migraine, allergy symptoms, and loss of taste and smell. I then was tested the following Saturday and results were positive. Now, 10 days in, I have been experiencing really bad depression with suicidal ideation. I have lived with depression before, but now it seems... heightened. The quarantine has no influence on my mentality because my day to day pre-Covid was keeping to myself anyways. I just wanted to know if anyone else feels their mental health has progressively declined after testing positive?</t>
        </is>
      </c>
      <c r="D3250" t="n">
        <v>1</v>
      </c>
      <c r="E3250" t="n">
        <v>10</v>
      </c>
      <c r="F3250">
        <f>HYPERLINK("https://www.reddit.com/r/COVID19positive/comments/hsba4r/anyone_experiencing_severe_depression/")</f>
        <v/>
      </c>
      <c r="G3250" t="inlineStr">
        <is>
          <t>2020-07-16 08:08:08</t>
        </is>
      </c>
      <c r="H3250" t="inlineStr">
        <is>
          <t>Tested Positive - Me</t>
        </is>
      </c>
    </row>
    <row r="3251">
      <c r="A3251" t="inlineStr">
        <is>
          <t>hsbqwc</t>
        </is>
      </c>
      <c r="B3251" t="inlineStr">
        <is>
          <t>what helped you feel better?</t>
        </is>
      </c>
      <c r="C3251" t="inlineStr">
        <is>
          <t>let me start by saying i feel fine but my boyfriend was tested yesterday, we thought it was strep but doctors say it sounds like both covid and strep. he’s 20 and has really bad asthma and an irregular heart beat and size.. he’s had a fever we can’t break. i’ve given him tylenol, advil, sponge baths, lukewarm shower, no blanket, even some old tricks like alcohol in the bellybutton. his fever will not go down. he’s been fluctuating between 101.5 and 102.8. his throat is also very sore. he winces when he swallows because it’s so painful. he also has SEVERE body aches his back was hurting so bad he was crying and couldn’t move he said the pain was 10/10. no cough or chest pain, he can still taste and smell. he took vicodin and flexaryl for the pain and he gargled with peroxide for his throat but it doesn’t seem like he’s getting better.. what have you done or heard that’s helped covid positive people?</t>
        </is>
      </c>
      <c r="D3251" t="n">
        <v>1</v>
      </c>
      <c r="E3251" t="n">
        <v>5</v>
      </c>
      <c r="F3251">
        <f>HYPERLINK("https://www.reddit.com/r/COVID19positive/comments/hsbqwc/what_helped_you_feel_better/")</f>
        <v/>
      </c>
      <c r="G3251" t="inlineStr">
        <is>
          <t>2020-07-16 08:34:44</t>
        </is>
      </c>
      <c r="H3251" t="inlineStr">
        <is>
          <t>Presumed Positive - From Doctor</t>
        </is>
      </c>
    </row>
    <row r="3252">
      <c r="A3252" t="inlineStr">
        <is>
          <t>hsbtta</t>
        </is>
      </c>
      <c r="B3252" t="inlineStr">
        <is>
          <t>I was in a sweaty car getting tested have I got it?</t>
        </is>
      </c>
      <c r="C3252" t="inlineStr">
        <is>
          <t>28 f here, I went for a test yesterday I’m currently a key worker and the girl I went testing with was positive, we had to keep our windows up and the car was so sweaty I had to write help on the window? I’m so scared I feel now like I will 100% have it? I have a dry throat today and the waiting is driving me crazy.. thanks</t>
        </is>
      </c>
      <c r="D3252" t="n">
        <v>1</v>
      </c>
      <c r="E3252" t="n">
        <v>4</v>
      </c>
      <c r="F3252">
        <f>HYPERLINK("https://www.reddit.com/r/COVID19positive/comments/hsbtta/i_was_in_a_sweaty_car_getting_tested_have_i_got_it/")</f>
        <v/>
      </c>
      <c r="G3252" t="inlineStr">
        <is>
          <t>2020-07-16 08:39:17</t>
        </is>
      </c>
      <c r="H3252" t="inlineStr">
        <is>
          <t>Presumed Positive - From Test</t>
        </is>
      </c>
    </row>
    <row r="3253">
      <c r="A3253" t="inlineStr">
        <is>
          <t>hsbyka</t>
        </is>
      </c>
      <c r="B3253" t="inlineStr">
        <is>
          <t>Keep testing positive even though I feel fine</t>
        </is>
      </c>
      <c r="C3253" t="inlineStr">
        <is>
          <t>Hello!
I have been tested twice and come back positive twice, even though I feel %100 normal and fine. When I first saw symptoms, it was the 25-26th of June and those consisted of a headache, muscle pain, fatigue, and a little bit of nausea but not enough to make you throw up or anything, just to make you want to lay down. By the 28th or 29th all symptoms went away and on the 30th I was tested, which came back positive. From the 30th, I have felt completely fine. There was no gradual buildup to feeling better it jumped from feeling terrible to normal as soon as I woke up.  
Since then I have felt fine. 0 symptoms or anything that even looks like a symptom. I stayed quarantined until July 10th, when I went to get retested. My test results came back this morning and I have again tested positive. Is this normal? Am I actually sick? I read online that my body could be shedding dead virus but I’m not actually contagious. I just don’t know what to think and would like some insight from the community. Thank you!</t>
        </is>
      </c>
      <c r="D3253" t="n">
        <v>1</v>
      </c>
      <c r="E3253" t="n">
        <v>10</v>
      </c>
      <c r="F3253">
        <f>HYPERLINK("https://www.reddit.com/r/COVID19positive/comments/hsbyka/keep_testing_positive_even_though_i_feel_fine/")</f>
        <v/>
      </c>
      <c r="G3253" t="inlineStr">
        <is>
          <t>2020-07-16 08:47:02</t>
        </is>
      </c>
      <c r="H3253" t="inlineStr">
        <is>
          <t>Tested Positive - Me</t>
        </is>
      </c>
    </row>
    <row r="3254">
      <c r="A3254" t="inlineStr">
        <is>
          <t>hsc3mf</t>
        </is>
      </c>
      <c r="B3254" t="inlineStr">
        <is>
          <t>My dad only coughs</t>
        </is>
      </c>
      <c r="C3254" t="inlineStr">
        <is>
          <t>We all tested positive but apparently we've recovered. The only one left is my dad and he's dry coughing ONLY. No body aches no nothing.. but when he goes upstairs or does some effort he gets difficulty breathing. Please I need your help. 
Btw this is the 3rd day since the results came back positive. He might have caught it like a week ago</t>
        </is>
      </c>
      <c r="D3254" t="n">
        <v>1</v>
      </c>
      <c r="E3254" t="n">
        <v>4</v>
      </c>
      <c r="F3254">
        <f>HYPERLINK("https://www.reddit.com/r/COVID19positive/comments/hsc3mf/my_dad_only_coughs/")</f>
        <v/>
      </c>
      <c r="G3254" t="inlineStr">
        <is>
          <t>2020-07-16 08:54:56</t>
        </is>
      </c>
      <c r="H3254" t="inlineStr">
        <is>
          <t>Tested Positive - Family</t>
        </is>
      </c>
    </row>
    <row r="3255">
      <c r="A3255" t="inlineStr">
        <is>
          <t>hscld2</t>
        </is>
      </c>
      <c r="B3255" t="inlineStr">
        <is>
          <t>Day 7 - Just Received Positive Results</t>
        </is>
      </c>
      <c r="C3255" t="inlineStr">
        <is>
          <t>My symptoms started last Thursday; I started running a fever Thursday evening, which peaked at 100.7.  It continued to run around 100 Friday so I went to my doctor to get tested.  They did the basic nasal swab, one q-tip, both nostrils, not the Nasopharyngeal swab.  I was not running a fever at the doctor's office and I only ran a fever one more time after getting home before the fever stopped.  That was my main symptom for days one and two (I did have some nausea, some diarrhea and what I would term general sinus issues that I've had for going on 4 months now - stuffy nose, sinus drainage, etc).  Day three I began to cough, but it was managed easily with Mucinex-DM.  This continued through day four into day five (Monday).  I have a history of developing upper respiratory infections easily, so I called my doctor's office and they called me in Bromfed DM.  This pretty much cleared the cough up.  Since Monday, all I've had are sinus type symptoms; runny nose, itchy eyes, everything stuffy, a sinus headache last night, etc.  My tongue hurts and my chest is tight and congested (but again, it has been for months, I've really suffered hard this allergy season).  I was really ready to write it all off as the weirdest sinus infection I've ever had so I was a little caught off guard when my test came back positive this morning.  My doctor called me in a steroid to help with the overall congestion issues I've been having.
Trying to stay as positive as possible - I'm a week in to this now.  I've done my best to stay away from everyone in my household.  No one else is showing any signs of being sick; in fact, someone who I would have been in contact with when I had it the day before I became had a negative test.  So I'm thankful for that.  I've been pushing a lot of water and doubled my vitamin D dosage and I had literally just added Zinc into my daily vitamin regiment earlier Thursday.  I'm a 35 y/o female who smokes - working on quitting and just about there.  It's frustrating for me because I was cautious - we didn't go unnecessary places, we don't go out and party, we mostly stay home, wear our masks every where, I don't work so no exposure there....  
When I asked my doctor what I should watch for this far in to it, the only thing she told me was to watch for the fever or cough coming back.  Is there anything else anyone has had experience with just randomly popping up after day 7?  I want to be optimistic that I'm over the hump and that I was incredibly lucky to have such a mild case this time but I also want to be realistic in case I should expect it to change all of a sudden.</t>
        </is>
      </c>
      <c r="D3255" t="n">
        <v>1</v>
      </c>
      <c r="E3255" t="n">
        <v>7</v>
      </c>
      <c r="F3255">
        <f>HYPERLINK("https://www.reddit.com/r/COVID19positive/comments/hscld2/day_7_just_received_positive_results/")</f>
        <v/>
      </c>
      <c r="G3255" t="inlineStr">
        <is>
          <t>2020-07-16 09:22:31</t>
        </is>
      </c>
      <c r="H3255" t="inlineStr">
        <is>
          <t>Tested Positive - Me</t>
        </is>
      </c>
    </row>
    <row r="3256">
      <c r="A3256" t="inlineStr">
        <is>
          <t>hsd04f</t>
        </is>
      </c>
      <c r="B3256" t="inlineStr">
        <is>
          <t>Not sure what to do</t>
        </is>
      </c>
      <c r="C3256" t="inlineStr">
        <is>
          <t>Bit of a weird situation. But 11 days ago, my gf tested positive for covid and I tested negative. I didnt hold the results with much weight for myself because my mild symptoms have been coming and going. At first, congestion was the only thing that was bothering me, but I have pretty much lost my taste/smell. So, I’m probably positive realistically. 
The thing is, my son test negative as well with his mom and I haven’t seen him in almost 2 weeks. She has to go back to work on Monday and I am supposed to get him back on Sunday. Her work won’t let her take anymore time off because she just came off of 2 weeks quarantine with him, so I have to pick him up. Both my gf and I still have mild symptoms and don’t want to risk exposure to him. Might I note, we just got a divorce and both of our parenting time is limited and don’t want to give my ex wife any incentive to file a motion for more custody. 
We planned on wearing gloves and masks around him until we are 100%. We have plenty of cleaning supplies and were of course going to take the proper precautions in cleaning EVERYTHING before sunday. He has his own space to sleep in so he wouldnt share a bed with us or anything. Considering these circumstances, is this my best option? Or is something more that I can do.</t>
        </is>
      </c>
      <c r="D3256" t="n">
        <v>1</v>
      </c>
      <c r="E3256" t="n">
        <v>3</v>
      </c>
      <c r="F3256">
        <f>HYPERLINK("https://www.reddit.com/r/COVID19positive/comments/hsd04f/not_sure_what_to_do/")</f>
        <v/>
      </c>
      <c r="G3256" t="inlineStr">
        <is>
          <t>2020-07-16 09:41:27</t>
        </is>
      </c>
      <c r="H3256" t="inlineStr">
        <is>
          <t>Tested Positive - Friends</t>
        </is>
      </c>
    </row>
    <row r="3257">
      <c r="A3257" t="inlineStr">
        <is>
          <t>hsdecq</t>
        </is>
      </c>
      <c r="B3257" t="inlineStr">
        <is>
          <t>Admitted to hospital today</t>
        </is>
      </c>
      <c r="C3257" t="inlineStr">
        <is>
          <t>O2 sats, temp and HR are fine. Xray was clear. Bloods mostly normal except a high bilirubin.
Blood pressure crashed for ?reason and I've been admitted for IV support maintaining it.
Just goes to show that this is not just a respiratory illness.</t>
        </is>
      </c>
      <c r="D3257" t="n">
        <v>1</v>
      </c>
      <c r="E3257" t="n">
        <v>7</v>
      </c>
      <c r="F3257">
        <f>HYPERLINK("https://www.reddit.com/r/COVID19positive/comments/hsdecq/admitted_to_hospital_today/")</f>
        <v/>
      </c>
      <c r="G3257" t="inlineStr">
        <is>
          <t>2020-07-16 09:59:53</t>
        </is>
      </c>
      <c r="H3257" t="inlineStr">
        <is>
          <t>Tested Positive - Me</t>
        </is>
      </c>
    </row>
    <row r="3258">
      <c r="A3258" t="inlineStr">
        <is>
          <t>hsdgol</t>
        </is>
      </c>
      <c r="B3258" t="inlineStr">
        <is>
          <t>Just tested positive. Mild case so far. Here’s my regimen for anyone interested.</t>
        </is>
      </c>
      <c r="C3258" t="inlineStr">
        <is>
          <t>7/10 - Severe fatigue. Mild cough. Had severe body aches that light (even resting one arm on another was painful). 
7/11 - Woke up feeling sick. Slightly elevated temperature (it has not been above 100° so far). Coughing fits if I was moving around, otherwise no coughing. Fatigue. Change in sense of taste. Headache. Tested in the morning. 
7/12 - Same. 
7/13 - Started feeling better
7/14
7/15 - Mostlu back to normal. Still fatigued, mild cough. Doubting it was coronavirus, wondering if it was allergies. 
7/16 - Woke up feeling worse. Headache, achy. Got a phone call from health department confirming coronavirus, told to isolate for at least 10 days since onset. 
My regimen: Believing that blood clots are the primary cause of problems, I focused on reducing problems. Warm baths. Lots of water and electrolytes. Vitamin C. Curcumin. Elderberry concentrate in water. Vitamin D daily before I got sick. Tomatoes, garlic (natural blood thinners). I don’t have any aspirin, unfortunately. 
I’ll update with symptoms if I get worse.</t>
        </is>
      </c>
      <c r="D3258" t="n">
        <v>1</v>
      </c>
      <c r="E3258" t="n">
        <v>25</v>
      </c>
      <c r="F3258">
        <f>HYPERLINK("https://www.reddit.com/r/COVID19positive/comments/hsdgol/just_tested_positive_mild_case_so_far_heres_my/")</f>
        <v/>
      </c>
      <c r="G3258" t="inlineStr">
        <is>
          <t>2020-07-16 10:02:49</t>
        </is>
      </c>
      <c r="H3258" t="inlineStr">
        <is>
          <t>Tested Positive - Me</t>
        </is>
      </c>
    </row>
    <row r="3259">
      <c r="A3259" t="inlineStr">
        <is>
          <t>hsfb21</t>
        </is>
      </c>
      <c r="B3259" t="inlineStr">
        <is>
          <t>Cabin Fever, Frustration</t>
        </is>
      </c>
      <c r="C3259" t="inlineStr">
        <is>
          <t>I've been showing symptoms for about a week now (live in Houston, have to take public transportation to work), and though the antibodies test came back negative, doctors have said that with my symptoms (had to go to the ER for it yesterday), they think there's a chance I actually have it.
I'm mostly just frustrated at how much I'm coughing and not being able to breathe properly and not being able to walk around without getting completely exhausted. Medicine has done nothing for me, and I'm counting myself lucky that I'm not getting worse or better.
Funny, I started my externship on the 6th and though it was overwhelming and the hours were long, it was a supportive environment and I felt like I was starting to get the hang of things. Then this happened. I was also getting a good workout routine and healthier relationship with food, but that's changed since my appetite and sense of smell have been shot to shit.</t>
        </is>
      </c>
      <c r="D3259" t="n">
        <v>1</v>
      </c>
      <c r="E3259" t="n">
        <v>2</v>
      </c>
      <c r="F3259">
        <f>HYPERLINK("https://www.reddit.com/r/COVID19positive/comments/hsfb21/cabin_fever_frustration/")</f>
        <v/>
      </c>
      <c r="G3259" t="inlineStr">
        <is>
          <t>2020-07-16 11:32:08</t>
        </is>
      </c>
      <c r="H3259" t="inlineStr">
        <is>
          <t>Presumed Positive - From Doctor</t>
        </is>
      </c>
    </row>
    <row r="3260">
      <c r="A3260" t="inlineStr">
        <is>
          <t>hsfj4j</t>
        </is>
      </c>
      <c r="B3260" t="inlineStr">
        <is>
          <t>Sister isn’t caring for my family’s health</t>
        </is>
      </c>
      <c r="C3260" t="inlineStr">
        <is>
          <t>Anyone have any reassurance? My sister tested positive and is not wearing a mask when coming downstairs, coughing, sneezing everywhere, and not caring about our health when we have high risk family members, although I would presume we already have it. Anyone have any tips for my anxiety?</t>
        </is>
      </c>
      <c r="D3260" t="n">
        <v>1</v>
      </c>
      <c r="E3260" t="n">
        <v>4</v>
      </c>
      <c r="F3260">
        <f>HYPERLINK("https://www.reddit.com/r/COVID19positive/comments/hsfj4j/sister_isnt_caring_for_my_familys_health/")</f>
        <v/>
      </c>
      <c r="G3260" t="inlineStr">
        <is>
          <t>2020-07-16 11:43:55</t>
        </is>
      </c>
      <c r="H3260" t="inlineStr">
        <is>
          <t>Tested Positive - Family</t>
        </is>
      </c>
    </row>
    <row r="3261">
      <c r="A3261" t="inlineStr">
        <is>
          <t>hsfl8t</t>
        </is>
      </c>
      <c r="B3261" t="inlineStr">
        <is>
          <t>Positive Covid and Essential Tremors In Hands</t>
        </is>
      </c>
      <c r="C3261" t="inlineStr">
        <is>
          <t>44 years old . I got COVID-19 mid June.  At the end of week 1 I developed a very bad cough and what is now diagnosed/treated as Essential Tremor (ET). Im 5 weeks post COVID-19 diagnosis.  All clear except for the shaking when using hands. 
Never noticed shaking before COVID-19.   Hands are terrible.   Voice shakes also. Balance issues when trying to walk a straight line. 
Neurologist gave me Primidone 50mg.  Been staring at the bottle of pills for 3 days.  I know i need to take them(still haven't), just very confused and hoping i find similar stories or situation that can compare too. 
Been off work since June 10.  Not sure when I'll be able to return since hands are going berserk.
Going to post this on the ET and Covid page for exposure and possible similar conditions.</t>
        </is>
      </c>
      <c r="D3261" t="n">
        <v>1</v>
      </c>
      <c r="E3261" t="n">
        <v>4</v>
      </c>
      <c r="F3261">
        <f>HYPERLINK("https://www.reddit.com/r/COVID19positive/comments/hsfl8t/positive_covid_and_essential_tremors_in_hands/")</f>
        <v/>
      </c>
      <c r="G3261" t="inlineStr">
        <is>
          <t>2020-07-16 11:47:14</t>
        </is>
      </c>
      <c r="H3261" t="inlineStr">
        <is>
          <t>Tested Positive - Me</t>
        </is>
      </c>
    </row>
    <row r="3262">
      <c r="A3262" t="inlineStr">
        <is>
          <t>hsg3r8</t>
        </is>
      </c>
      <c r="B3262" t="inlineStr">
        <is>
          <t>Tested positive, and will be clear to work around others soon but work wants me to test negative first before coming back?</t>
        </is>
      </c>
      <c r="C3262" t="inlineStr">
        <is>
          <t xml:space="preserve"> 
Hi everyone,
So I'm here because I'm starting to panic. I knew that if I got infected I'd get put off work for a while and I dreaded it but it happened and now I'm self isolating and its been almost 3 weeks.
I live alone and I got sick Monday June 29th with a fever and started quarantining myself that day. I got tested on the 7th and just yesterday I got my results. I tested positive and was instructed to self isolate for 10 days since the day I got tested and an additional 3 days to watch for symptoms. I feel perfectly fine now and I'm just sitting at home watching tv and studying for my GRE exam. I reported to my work and they told me that I needed to test negative before I could come back. And I understand, there's a pandemic going on, I work with a lot of people which is probably how I got sick in the first place. But the health department told me that I would test positive for a while even if I was no longer infectious. Testing also took forever, so now I'm worried that I'm going to be out of work for an additional 3 weeks. How long does it even take to test negative?
I hate to feel selfish but I do have to pay rent and my car bill along with other things. I'm going crazy just sitting at home and its a bit lonely too. I have an appointment with the doctor on the 20th so I'm going to see if they can write a note. I don't mind waiting another week, even 2, but going through the process of waiting to get tested again and again and then waiting 8-10 days for a result that might come out positive for a while makes me feel anxious and powerless. Is anyone else going through this? I know there are others in the world who lost their jobs or worse, so I know it'll be okay but I just needed to vent since I have no one to talk to and I feel ashamed for testing positive, like I have a venereal disease or like I'm a monster now.</t>
        </is>
      </c>
      <c r="D3262" t="n">
        <v>1</v>
      </c>
      <c r="E3262" t="n">
        <v>3</v>
      </c>
      <c r="F3262">
        <f>HYPERLINK("https://www.reddit.com/r/COVID19positive/comments/hsg3r8/tested_positive_and_will_be_clear_to_work_around/")</f>
        <v/>
      </c>
      <c r="G3262" t="inlineStr">
        <is>
          <t>2020-07-16 12:11:01</t>
        </is>
      </c>
      <c r="H3262" t="inlineStr">
        <is>
          <t>Tested Positive - Me</t>
        </is>
      </c>
    </row>
    <row r="3263">
      <c r="A3263" t="inlineStr">
        <is>
          <t>hsg5uq</t>
        </is>
      </c>
      <c r="B3263" t="inlineStr">
        <is>
          <t>Day 10?(ish) Abdominal pain</t>
        </is>
      </c>
      <c r="C3263" t="inlineStr">
        <is>
          <t>Hey everyone, I wish all of you who have this the best. 
I'm 30(m) and I want to think I started with very low symptoms last week, just felt something in my throat but no pain/fevers or anything. I was able to eat and drink with no problem. 
But on Saturday I started getting the chills. I just already knew I had it. Sunday and Monday were just a come and go chills. It wasn't until Monday night when I got a fever, but it wasn't just one, I had 5 throughout the night until 12pm Tuesday. It was terrible. It would go away and slowly come back. My head felt ready to explode each time and I could not sleep at all.
I did take Advil during those sequences. My head still hurt, it felt like a huge war happened and the bullets bounced everywhere in my head. My neck also hurts, feels stiff and I cannot sleep well with that pain. 
But I also developed a pain right around the "mouth of the stomach". It wasn't too bad but i know something was there. Anyways, the doctor at the hospital just told me they were symptoms and that I should just rest and drink plenty of fluids. I didn't have to stay, which I knew but feeling that bad really made me go.
On Wednesday morning, I woke up in a pool of sweat and felt relieved, weak but okay. I wasn't going to sing victory just yet because of the stories I heard. Throughout Wednesday, I was feeling 80% good with that lingering pain in the abdomen. 
But last night, I felt it a bit more sharp and my head still feels like a trainwreck along with my neck. I had switched from Advil to Tylenol. It calmed me down a bit but I couldn't sleep at all. Up until now, I feel very uncomfortable laying down because of my head hurting (pulsing little shocks every now and then), my neck feeling uncomfortable to position, and my stomach pain. 
Today I've probably only slept for like 20-30min tops. I'm currently sitting down on a couch since it doesn't hurt my stomach that much but that pain is still there if I move a lot. I'm a bit scared to take Tylenol because it made that area of pain come out in the morning. Oh and I got a call from the hospital, I did test positive. It was a given 
Not sure if anyone else has experience this?</t>
        </is>
      </c>
      <c r="D3263" t="n">
        <v>1</v>
      </c>
      <c r="E3263" t="n">
        <v>2</v>
      </c>
      <c r="F3263">
        <f>HYPERLINK("https://www.reddit.com/r/COVID19positive/comments/hsg5uq/day_10ish_abdominal_pain/")</f>
        <v/>
      </c>
      <c r="G3263" t="inlineStr">
        <is>
          <t>2020-07-16 12:13:38</t>
        </is>
      </c>
      <c r="H3263" t="inlineStr">
        <is>
          <t>Tested Positive - Me</t>
        </is>
      </c>
    </row>
    <row r="3264">
      <c r="A3264" t="inlineStr">
        <is>
          <t>hsh3y2</t>
        </is>
      </c>
      <c r="B3264" t="inlineStr">
        <is>
          <t>Sister has been tested postive, im experiencing symtoms and worried that the family will all get it.</t>
        </is>
      </c>
      <c r="C3264" t="inlineStr">
        <is>
          <t>My sisters lives at home often goes to her friends house where they are very strict on it washing hands ect. Small group of 3 - the roommate of her friend got it, so they got same day tests - friend &amp;amp; roommate positive - my sister negative. Told her it might be to early and to get tested again. 
Gets a test few days later confirms positive. She has been quarantined this whole time never even leaving the room, dropping food off at her door. 
We have all been tested as a family now immediately once she was confirmed positive &amp;amp; all quarantined. 
Currently waiting on our results. 
Even with my sister in her room full time now for the next two weeks aren’t we likely to get it with the air conditioning circulation throughout the household?</t>
        </is>
      </c>
      <c r="D3264" t="n">
        <v>1</v>
      </c>
      <c r="E3264" t="n">
        <v>4</v>
      </c>
      <c r="F3264">
        <f>HYPERLINK("https://www.reddit.com/r/COVID19positive/comments/hsh3y2/sister_has_been_tested_postive_im_experiencing/")</f>
        <v/>
      </c>
      <c r="G3264" t="inlineStr">
        <is>
          <t>2020-07-16 12:58:36</t>
        </is>
      </c>
      <c r="H3264" t="inlineStr">
        <is>
          <t>Tested Positive - Family</t>
        </is>
      </c>
    </row>
    <row r="3265">
      <c r="A3265" t="inlineStr">
        <is>
          <t>hsh5ma</t>
        </is>
      </c>
      <c r="B3265" t="inlineStr">
        <is>
          <t>Tested negative?</t>
        </is>
      </c>
      <c r="C3265" t="inlineStr">
        <is>
          <t>I’m frustrated because what’s going on doesn’t add up to me. I know multiple.. many people locally with the same sinus infection type of symptoms and everyone except for one person has tested negative. Sore throat, dry cough, shortness of breath, loss of taste and smell, etc the only symptom I haven’t had is diarrhea. I was presumed positive and told to quarantine which I still am doing. Some days are better than others, yesterday I had more energy in the middle of the day and felt better then got dizzy with a 94 oxygen reading before bed. 
I guess it’s possible there’s another virus going around but I don’t know, I have moderate asthma and was planning on going to the hospital if my o2 reading got into the 80’s but I tested negative so I don’t want to be overreacting. I got tested yesterday at noon and got the results in just under 24 hours</t>
        </is>
      </c>
      <c r="D3265" t="n">
        <v>1</v>
      </c>
      <c r="E3265" t="n">
        <v>3</v>
      </c>
      <c r="F3265">
        <f>HYPERLINK("https://www.reddit.com/r/COVID19positive/comments/hsh5ma/tested_negative/")</f>
        <v/>
      </c>
      <c r="G3265" t="inlineStr">
        <is>
          <t>2020-07-16 13:00:56</t>
        </is>
      </c>
      <c r="H3265" t="inlineStr">
        <is>
          <t>Presumed Positive - From Doctor</t>
        </is>
      </c>
    </row>
    <row r="3266">
      <c r="A3266" t="inlineStr">
        <is>
          <t>hsh8ec</t>
        </is>
      </c>
      <c r="B3266" t="inlineStr">
        <is>
          <t>I have COVID and I'm scared</t>
        </is>
      </c>
      <c r="C3266" t="inlineStr">
        <is>
          <t>I've always had untreated problems with anxiety but this is a whole new level. The next few weeks is about to be the worst of my life and possibly the last. I've never been more scared in my life. 
I'm a 24 year old male with no previous health problems that I knew of. I dont know what to expect I hear about people falling over dead, having blood clots, permanent lung damage, and heart problems. My best friend [42M] was one of the first in Wyoming to die from it. I'm in a complete panic</t>
        </is>
      </c>
      <c r="D3266" t="n">
        <v>1</v>
      </c>
      <c r="E3266" t="n">
        <v>37</v>
      </c>
      <c r="F3266">
        <f>HYPERLINK("https://www.reddit.com/r/COVID19positive/comments/hsh8ec/i_have_covid_and_im_scared/")</f>
        <v/>
      </c>
      <c r="G3266" t="inlineStr">
        <is>
          <t>2020-07-16 13:04:34</t>
        </is>
      </c>
      <c r="H3266" t="inlineStr">
        <is>
          <t>Tested Positive - Me</t>
        </is>
      </c>
    </row>
    <row r="3267">
      <c r="A3267" t="inlineStr">
        <is>
          <t>hsi3g2</t>
        </is>
      </c>
      <c r="B3267" t="inlineStr">
        <is>
          <t>Debating I should get tested</t>
        </is>
      </c>
      <c r="C3267" t="inlineStr">
        <is>
          <t>25F no underlying health issues besides exercise induce asthma but very rare when inhaler is needed. Live at home with parents and younger sister. Parents and myself were exposed 6/1 from an outside family member without being told only found out from another family member on 6/6. No symptoms were felt or seen for the 14 days. No need for testing as per primary dr. So on 6/16 dad developed congestion and cough and I developed sinus infection and loss of taste and smell. Mom was fine. We are all prone to getting allergies and bronchitis, so nothing seemed out of the ordinary than our regular allergies since pollen was starting to fly around. Dad recovered from congestion after 2 days but still had cough. I fully recovered after 7 days with sinus and allergy medicine. Dad's work pressured him to get tested so on 6/25 he did. Came back positive. Cough went away day after test. He retested 7/8 and 7/10, still positive. Work told him cant come back without negative testing and work release from Dr. Has been self isolating as best as he can. Little sister decided to get tested as well yesterday so waiting on her results. 
I'm thinking of getting tested but not sure if I should wait to see if sister comes back positive. Just doesnt make sense why he would keep getting positive and nobody in the house had developed "traditional" symptoms?
I guess what I'm wanting to know is do you think I should or would it be a waste of time by now? And any tips or tricks to hopefully get a negative result
*note- nobody has had a fever in the house as my mom is big on disinfecting and taking daily temps.</t>
        </is>
      </c>
      <c r="D3267" t="n">
        <v>1</v>
      </c>
      <c r="E3267" t="n">
        <v>8</v>
      </c>
      <c r="F3267">
        <f>HYPERLINK("https://www.reddit.com/r/COVID19positive/comments/hsi3g2/debating_i_should_get_tested/")</f>
        <v/>
      </c>
      <c r="G3267" t="inlineStr">
        <is>
          <t>2020-07-16 13:50:00</t>
        </is>
      </c>
      <c r="H3267" t="inlineStr">
        <is>
          <t>Tested Positive - Family</t>
        </is>
      </c>
    </row>
    <row r="3268">
      <c r="A3268" t="inlineStr">
        <is>
          <t>hsi6z7</t>
        </is>
      </c>
      <c r="B3268" t="inlineStr">
        <is>
          <t>Just Tested Positive, doing ok but a bit anxious</t>
        </is>
      </c>
      <c r="C3268" t="inlineStr">
        <is>
          <t>32 Male, fairly good health, been doing a lot of biking recently, former (recent) smoker, and pretty heavy drinker, though I haven't touched any since last Sunday.
Was at a bar Friday night with a friend. (We were following social distance guidelines but it turns out a server tested positive the day before we were there) I dont know if that's for sure where I got it, but anyway...
Drank with a small group of friends Sunday night and woke up the next day with what I thought was an unusually bad hangover, guess I was wrong. Here's my timeline:
1 (July 13th): Onset of symptoms, body aches, chills, dizziness and lightheadedness, likely exacerbated by previous night's drinking. I threw up once in the afternoon then started feeling better.
2 (July 14th): Headache and general fatigue, hadn't slept well the previous night. By mid afternoon I noticed my sense of smell and taste were completely gone. Went to get tested that afternoon.
3 (July 15th): Feeling pretty much back to normal, except smell and taste still gone.
4 (July 16th): Feeling real good today, smell and taste still gone, but otherwise no issues. Got positive result in the afternoon. Noticing some mild chest discomfort that comes and goes mostly while lying down. Notified everyone I could think of about my results to recommend they get tested. 
So here I am, I'll keep updating this as the days continue. What Im hoping for in responses are any folks that are of a similar health and demographic as me and have a similar timeline that can maybe prepare me for what to expect. No doom and gloom plz, id rather stay optimistic. I'm aware of the critical things to look out for  so don't worry, im not gonna be so overly optimistic as to ignore danger signs. So far this hasn't been too bad though. My anxiety is a little high but not too bad.</t>
        </is>
      </c>
      <c r="D3268" t="n">
        <v>1</v>
      </c>
      <c r="E3268" t="n">
        <v>12</v>
      </c>
      <c r="F3268">
        <f>HYPERLINK("https://www.reddit.com/r/COVID19positive/comments/hsi6z7/just_tested_positive_doing_ok_but_a_bit_anxious/")</f>
        <v/>
      </c>
      <c r="G3268" t="inlineStr">
        <is>
          <t>2020-07-16 13:54:43</t>
        </is>
      </c>
      <c r="H3268" t="inlineStr">
        <is>
          <t>Tested Positive - Me</t>
        </is>
      </c>
    </row>
    <row r="3269">
      <c r="A3269" t="inlineStr">
        <is>
          <t>hsi9b2</t>
        </is>
      </c>
      <c r="B3269" t="inlineStr">
        <is>
          <t>Long haulers - anemia??</t>
        </is>
      </c>
      <c r="C3269" t="inlineStr">
        <is>
          <t>I have been wrecking my brain over why on earth my lips kept bleeding of colour / going white. (I had a lip tattoo ages ago which is rarely present  but is very much there on the outline on my top lip).. so ive had this since the start back in March. After a while I decided I really didn't want to see this, so stopped looking in the mirror. Same response as blue toes basically, which thankfully have been not happening for a while. But yesterday I pulled my top lip up and realised that it wasn't just my bottom lip but also the top just draining of colour.. potentially maybe blue ish.. and this gave me the answer that I am not mad. Anyways, it doesnt affect me much aside from  mild panic - like seriously, its been months now can this shit GTFO!? Anyways  google had finally pointed me in the direction that didn't need blue lips as a criteria, anemia. Could this literally be it, the only remnants left to fix? Also dizzy, chest pains, tired  etc. Standard covid feels, but it could just be as simple as anemia?? Shall be calling GP tomorrow, but is this is the only issue left, surely it will be a fairly standard fix</t>
        </is>
      </c>
      <c r="D3269" t="n">
        <v>1</v>
      </c>
      <c r="E3269" t="n">
        <v>16</v>
      </c>
      <c r="F3269">
        <f>HYPERLINK("https://www.reddit.com/r/COVID19positive/comments/hsi9b2/long_haulers_anemia/")</f>
        <v/>
      </c>
      <c r="G3269" t="inlineStr">
        <is>
          <t>2020-07-16 13:58:16</t>
        </is>
      </c>
      <c r="H3269" t="inlineStr">
        <is>
          <t>Presumed Positive - From Doctor</t>
        </is>
      </c>
    </row>
    <row r="3270">
      <c r="A3270" t="inlineStr">
        <is>
          <t>hsifm0</t>
        </is>
      </c>
      <c r="B3270" t="inlineStr">
        <is>
          <t>Info I received while being re-tested</t>
        </is>
      </c>
      <c r="C3270" t="inlineStr">
        <is>
          <t>I posted this as a reply in another thread but thought it might be useful to share on its own.
My history - 35F, sick in April but couldn’t get a test due to being in NYC. In May - got a test, was  negative on swab and positive for antibodies.  As of last week I’m having recurring symptoms: sore throat, brain fog, shortness of breath when exerting, and fatigue. 
I got retested twice this week out of caution in case I’m contagious, so that I don’t infect others. 
Here’s what the doctors told me, at different locations:
DOCTOR #1 (swab only) -  told me that they thought my current symptoms (brain fog, fatigue, getting winded, sore throat) are seasonal allergies. My partner went at the same time and a different doctor told him they seeing a lot of people getting it twice (yikes).  So, we both received slightly conflicting info. They also disregarded his 99.5 temp as not a “real” fever even though that’s what he had during his original illness.
DOCTOR #2 (swab/antibodies) - Told me that the symptoms I currently have are in line with reinfection, and if I get a fever to begin quarantining a second time, or a positive swab result (whichever comes first).  They also told me that the antibodies “peak” at 3 weeks post infection so I may not have them anymore.
I have no idea what any of this means but just thought it might be some helpful context to share. I’ll let you know my results! I should get antibody test</t>
        </is>
      </c>
      <c r="D3270" t="n">
        <v>1</v>
      </c>
      <c r="E3270" t="n">
        <v>11</v>
      </c>
      <c r="F3270">
        <f>HYPERLINK("https://www.reddit.com/r/COVID19positive/comments/hsifm0/info_i_received_while_being_retested/")</f>
        <v/>
      </c>
      <c r="G3270" t="inlineStr">
        <is>
          <t>2020-07-16 14:07:23</t>
        </is>
      </c>
      <c r="H3270" t="inlineStr">
        <is>
          <t>Tested Positive - Me</t>
        </is>
      </c>
    </row>
    <row r="3271">
      <c r="A3271" t="inlineStr">
        <is>
          <t>hsihaf</t>
        </is>
      </c>
      <c r="B3271" t="inlineStr">
        <is>
          <t>My coworker tested positive.</t>
        </is>
      </c>
      <c r="C3271" t="inlineStr">
        <is>
          <t>I got an email from my boss today that one of my coworkers tested positive. I was last exposed to him five days ago. Over the weekend, he found out he had been exposed, and stayed home this week to quarantine while awaiting his results. Well, now we all have to get tested. Luckily, my boss is closing the place for two weeks and paying us all for our scheduled time, so at least I don't have to worry about that.
I don't have any symptoms so far, and I know that on average, it takes about five days to start showing symptoms. But to be safe, I'm getting a test tomorrow morning at the health department. I am a healthy 28 year old female, no pre-existing conditions, but not in the greatest cardiovascular shape (I get winded easily when going for a run or something.) If I test positive, I think I will be okay, but I am still afraid... Not so much of dying, but of potential long term effects that people keep talking about.
I share my home with my 35 year old wife, our 8 year old son, and my 63 year old mother in law. We're concerned about my MIL the most because she is a little frail and is a lifelong smoker. She also has epilepsy that is controlled with medication.
As soon as I found out I had possibly been exposed, I immediately retreated to the bedroom, and my wife made sure to sanitize everything possible in the house.
Can anyone give some encouragement or advice? Anything I can eat, drink, or do right now to strengthen my body/immune system in case I am positive and just haven't started symptoms yet? Thanks in advance.</t>
        </is>
      </c>
      <c r="D3271" t="n">
        <v>1</v>
      </c>
      <c r="E3271" t="n">
        <v>2</v>
      </c>
      <c r="F3271">
        <f>HYPERLINK("https://www.reddit.com/r/COVID19positive/comments/hsihaf/my_coworker_tested_positive/")</f>
        <v/>
      </c>
      <c r="G3271" t="inlineStr">
        <is>
          <t>2020-07-16 14:09:58</t>
        </is>
      </c>
      <c r="H3271" t="inlineStr">
        <is>
          <t>Tested Positive - Friends</t>
        </is>
      </c>
    </row>
    <row r="3272">
      <c r="A3272" t="inlineStr">
        <is>
          <t>hsjcyo</t>
        </is>
      </c>
      <c r="B3272" t="inlineStr">
        <is>
          <t>Anybody prescribed Tramadol?</t>
        </is>
      </c>
      <c r="C3272" t="inlineStr">
        <is>
          <t>Anybody here prescribed Tramadol for pain and did it help any?</t>
        </is>
      </c>
      <c r="D3272" t="n">
        <v>1</v>
      </c>
      <c r="E3272" t="n">
        <v>11</v>
      </c>
      <c r="F3272">
        <f>HYPERLINK("https://www.reddit.com/r/COVID19positive/comments/hsjcyo/anybody_prescribed_tramadol/")</f>
        <v/>
      </c>
      <c r="G3272" t="inlineStr">
        <is>
          <t>2020-07-16 14:59:27</t>
        </is>
      </c>
      <c r="H3272" t="inlineStr">
        <is>
          <t>Tested Positive - Me</t>
        </is>
      </c>
    </row>
    <row r="3273">
      <c r="A3273" t="inlineStr">
        <is>
          <t>hsje7u</t>
        </is>
      </c>
      <c r="B3273" t="inlineStr">
        <is>
          <t>21days since first symptoms, recovering, but realized I lost my appetite and thirst. Is anyone else having this problem too?</t>
        </is>
      </c>
      <c r="C3273" t="inlineStr">
        <is>
          <t>My timeline was this — 
- symptoms began June 26th-ish 
- tested positive by medical nasal test June 30th 
- Symptoms peaked July 2-6th, then had bad panic attacks, anxiety, depression, heart pain, and shortness of breath July 7-12th 
- slowly symptoms started decreasing July 12th-to today. 
21 days in today, i have no symptoms other than fatigue, which is almost gone (still feel not at my 100% in fatigue area, maybe like 85% in this last symptom). 
I discovered that I lost my appetite and thirst a couple days ago. Slowly at first, I got hungry and thirsty a bit on Tuesday July 14th. Yesterday though, I felt almost no hunger or thirst. I hadn’t eaten — I usually eat when my body tells me I’m hungry — didn’t realize I hadn’t drank or eaten anything around 9pm yesterday (a day &amp;amp; 1/2 since I had last eaten). Today, I was cooking a nice dinner for my partner &amp;amp; I, yet while I was cooking I realized I had no desire to pick at the food even though I hadn’t eaten since 9pm yesterday (about 16hrs at that point). This is very unusual for me, especially the not picking off the food while I was cooking part. I eat a pretty decent amount — bc I mostly eat vegetables and fruit, being a mostly committed vegetarian, I am constantly having to eat to fill my body with calories. I usually am hungry all the time. Additionally, I try to drink 80-90oz of water a day and if I don’t I get crazy thirsty, except for the last couple days. I used to be a moderately active person, and I’m slowly starting that back up too, but I haven’t done any heavy exercise. And when I did do some sort of exercise yesterday, one that usually leaves me hungry or thirsty, I don’t experience hunger or thirst at all. 
I’m not nauseous nor vomiting. I can eat or drink fine if I actually do it. I’m not turned off by the idea, I just don’t feel hungry or thirsty at all.</t>
        </is>
      </c>
      <c r="D3273" t="n">
        <v>1</v>
      </c>
      <c r="E3273" t="n">
        <v>4</v>
      </c>
      <c r="F3273">
        <f>HYPERLINK("https://www.reddit.com/r/COVID19positive/comments/hsje7u/21days_since_first_symptoms_recovering_but/")</f>
        <v/>
      </c>
      <c r="G3273" t="inlineStr">
        <is>
          <t>2020-07-16 15:01:23</t>
        </is>
      </c>
      <c r="H3273" t="inlineStr">
        <is>
          <t>Tested Positive - Me</t>
        </is>
      </c>
    </row>
    <row r="3274">
      <c r="A3274" t="inlineStr">
        <is>
          <t>hsjipe</t>
        </is>
      </c>
      <c r="B3274" t="inlineStr">
        <is>
          <t>At what point did you go to the ER if you have?</t>
        </is>
      </c>
      <c r="C3274" t="inlineStr">
        <is>
          <t>What was the underlying symptom or reason for you going to the ER?</t>
        </is>
      </c>
      <c r="D3274" t="n">
        <v>1</v>
      </c>
      <c r="E3274" t="n">
        <v>8</v>
      </c>
      <c r="F3274">
        <f>HYPERLINK("https://www.reddit.com/r/COVID19positive/comments/hsjipe/at_what_point_did_you_go_to_the_er_if_you_have/")</f>
        <v/>
      </c>
      <c r="G3274" t="inlineStr">
        <is>
          <t>2020-07-16 15:08:22</t>
        </is>
      </c>
      <c r="H3274" t="inlineStr">
        <is>
          <t>Presumed Positive - From Doctor</t>
        </is>
      </c>
    </row>
    <row r="3275">
      <c r="A3275" t="inlineStr">
        <is>
          <t>hsjnaz</t>
        </is>
      </c>
      <c r="B3275" t="inlineStr">
        <is>
          <t>Fellow long-haulers.. I don’t know what to do. Four months of illness, then “recovery”, and now deterioration. O2 levels are trash. Running out of breath, hope, ideas and steam.</t>
        </is>
      </c>
      <c r="C3275" t="inlineStr">
        <is>
          <t>I’m a generally cheery guy. I tackle problems head on. I’m a professional researcher. I’m a problem-solver. I give my best effort every time.
I got the bug in March, in NYC, at a time when no one knew what to do. So I managed it myself for two weeks, supplements, rest. After two weeks my dyspnea and trachycardia became too much to take, and I went to the hospital. They didn’t have many answers. Gave me two rounds of hydroxychloroquine (which we now know does more harm than good) and sent me home after 48 hours of stability.
Over the following three months I rested and took care of myself. Towards end of May I felt well enough to start some small neighborhood walking. The relapses were minor. Then something changed in June. My dyspnea worsened, the tachycardia returned. A week ago I went to the ER unable to catch my breath, and observing periodic low oxygen. They did a CT, and once I was stable they sent me home - no answers, nothing fixed.
Last night I woke up gasping. Today I walked *around the corner* and had my O2 drop to 85. Tomorrow I see a pulmonologist. My layman theories are either “hidden” and extensive lung damage, or the virus made its way into my central nervous system and is screwing with my vital functions.
Cheerful eh?
I feel like I’ve read every emerging study, preprint, theory, I’ve pieced together everything I could, and I just don’t see a happen ending here. I’m still fairly young, living in one of the medical capitals of the world, and feel like my life has changed forever and I’ve fallen totally through the cracks.
Don’t know what I’m looking for with this post. Maybe just catharsis. Thanks for reading.</t>
        </is>
      </c>
      <c r="D3275" t="n">
        <v>1</v>
      </c>
      <c r="E3275" t="n">
        <v>267</v>
      </c>
      <c r="F3275">
        <f>HYPERLINK("https://www.reddit.com/r/COVID19positive/comments/hsjnaz/fellow_longhaulers_i_dont_know_what_to_do_four/")</f>
        <v/>
      </c>
      <c r="G3275" t="inlineStr">
        <is>
          <t>2020-07-16 15:15:53</t>
        </is>
      </c>
      <c r="H3275" t="inlineStr">
        <is>
          <t>Tested Positive - Me</t>
        </is>
      </c>
    </row>
    <row r="3276">
      <c r="A3276" t="inlineStr">
        <is>
          <t>hsjqxh</t>
        </is>
      </c>
      <c r="B3276" t="inlineStr">
        <is>
          <t>Presumed Positive - What should I expect? So far, very mild symptoms, loss of taste and smell.</t>
        </is>
      </c>
      <c r="C3276" t="inlineStr">
        <is>
          <t>Hi everyone,
This is my first time posting to this sub. I’m really sad that I have to post here, but I’m hoping to receive some guidance or advice about my situation and also some insight on what to expect. 
Based on the symptoms that I’ve been experiencing for the past 3 weeks, I’m pretty sure I have COVID. 
Here’s a timeline of what I’ve been experiencing:
7/3 : itchy rash on my arm (I read a BBC article recently that said scientists believe this might be a new symptom, not sure though if it’s related!)
7/4: bad headache throughout the day
7/8: light night sweats, light muscle aches during sleep, nose congestion
7/9 - 7-10: night sweats and muscle aches gone,  nose still stuffy. 
7/11 - now: all existing symptoms gone, slight congestion that goes away as the day goes on, ***100% loss of smell and taste :-(
It’s been about 5 days now with no smell or taste and it’s been pretty depressing. I am usually the one who cooks in my family, so it’s been really weird not being able to do that these days. 
I’m ok and have not yet experienced any severe symptoms (thankfully). 
I’m wondering though, should I still expect the worst to come? I’ve been experiencing COVID symptoms for about 2 weeks, and all the flu/cold symptoms are gone, I’m just stuck with the loss of smell and taste. I’m thankful I haven’t experienced any severe symptoms but am extremely anxious and worried that it might happen one of these days. I don’t know how to feel these days.
I’ve been getting a lot of sleep, drinking tons of water, using ibuprofen, drinking lots of tea, boiled water with ginger lemon and honey. 
Thanks to anyone reading this and anyone willing to give advice!</t>
        </is>
      </c>
      <c r="D3276" t="n">
        <v>1</v>
      </c>
      <c r="E3276" t="n">
        <v>9</v>
      </c>
      <c r="F3276">
        <f>HYPERLINK("https://www.reddit.com/r/COVID19positive/comments/hsjqxh/presumed_positive_what_should_i_expect_so_far/")</f>
        <v/>
      </c>
      <c r="G3276" t="inlineStr">
        <is>
          <t>2020-07-16 15:21:51</t>
        </is>
      </c>
      <c r="H3276" t="inlineStr">
        <is>
          <t>Presumed Positive - From Doctor</t>
        </is>
      </c>
    </row>
    <row r="3277">
      <c r="A3277" t="inlineStr">
        <is>
          <t>hsjsdg</t>
        </is>
      </c>
      <c r="B3277" t="inlineStr">
        <is>
          <t>Day 8 - horrible</t>
        </is>
      </c>
      <c r="C3277" t="inlineStr">
        <is>
          <t>I(23F) tested positive, had only been having mild symptoms no fever for a few days. However the last 3 days I've been having fever of 101 constantly, and anytime I take a deep breath I have to cough and my chest hurts so bad. I'm also having GI symptoms now. :( this virus sucks.</t>
        </is>
      </c>
      <c r="D3277" t="n">
        <v>1</v>
      </c>
      <c r="E3277" t="n">
        <v>11</v>
      </c>
      <c r="F3277">
        <f>HYPERLINK("https://www.reddit.com/r/COVID19positive/comments/hsjsdg/day_8_horrible/")</f>
        <v/>
      </c>
      <c r="G3277" t="inlineStr">
        <is>
          <t>2020-07-16 15:24:10</t>
        </is>
      </c>
      <c r="H3277" t="inlineStr">
        <is>
          <t>Tested Positive - Me</t>
        </is>
      </c>
    </row>
    <row r="3278">
      <c r="A3278" t="inlineStr">
        <is>
          <t>hsk8v6</t>
        </is>
      </c>
      <c r="B3278" t="inlineStr">
        <is>
          <t>I tested positive and was declared recovered even though I have a slight cough? Not sure what to do.</t>
        </is>
      </c>
      <c r="C3278" t="inlineStr">
        <is>
          <t>Hey everyone. I am a 21 F that tested positive June 25th. On June 21st, I had severe body aches, slight chest pains/pressure, dry cough, fever, and sore throat. On the third day, my symptoms improved immensely and only had a cough here and there and a sore throat. My nurse would call me every few days and I was released from self-isolation after 2 weeks and had to go back to work shortly after. I still have my cough though and I'm not sure if I should quarantine again? I'm not allowed to test again since it can come back as a false positive. What do I do? I don't want to get anyone sick and it's been extremely stressful on top of everything else.</t>
        </is>
      </c>
      <c r="D3278" t="n">
        <v>1</v>
      </c>
      <c r="E3278" t="n">
        <v>7</v>
      </c>
      <c r="F3278">
        <f>HYPERLINK("https://www.reddit.com/r/COVID19positive/comments/hsk8v6/i_tested_positive_and_was_declared_recovered_even/")</f>
        <v/>
      </c>
      <c r="G3278" t="inlineStr">
        <is>
          <t>2020-07-16 15:51:17</t>
        </is>
      </c>
      <c r="H3278" t="inlineStr">
        <is>
          <t>Tested Positive - Me</t>
        </is>
      </c>
    </row>
    <row r="3279">
      <c r="A3279" t="inlineStr">
        <is>
          <t>hskamc</t>
        </is>
      </c>
      <c r="B3279" t="inlineStr">
        <is>
          <t>Negative reactions from fam? 😭</t>
        </is>
      </c>
      <c r="C3279" t="inlineStr">
        <is>
          <t>Hi, I guess I’m here for a reality check from you guys- please? I’m hurt by my family’s response to my being sick. I’m assumed positive though I’m awaiting results. My doctor said I have nearly all of the symptoms of Covid and even if I test negative I have to self quarantine bc of the high rate of false negatives. I told my dad and brother and they both told me I’m overreacting (by thinking I might have Covid, even though they know my doctor told me I probably do), and they think I’m being negative for even telling them about it. My brother said it sounds like I have the flu and paranoia. 
I have asthma and had a severe pneumonia two years ago, so I’m a little scared and in a LOT of pain with my fever, headache, body aches, and cough. I’m pretty hurt by my brother and dad’s reactions. I think I wanted support- bc even if I don’t have Covid I have something and it’s pretty terrible. Am I crazy for being upset? Am I just overreacting? Was it stupid to even tell them? Sorry this is a weird post, but I just feel hurt and want to know if anyone else has had this experience with family/if I’m just a crazy person and I need to shut up and stop complaining to people.</t>
        </is>
      </c>
      <c r="D3279" t="n">
        <v>1</v>
      </c>
      <c r="E3279" t="n">
        <v>27</v>
      </c>
      <c r="F3279">
        <f>HYPERLINK("https://www.reddit.com/r/COVID19positive/comments/hskamc/negative_reactions_from_fam/")</f>
        <v/>
      </c>
      <c r="G3279" t="inlineStr">
        <is>
          <t>2020-07-16 15:53:59</t>
        </is>
      </c>
      <c r="H3279" t="inlineStr">
        <is>
          <t>Presumed Positive - From Doctor</t>
        </is>
      </c>
    </row>
    <row r="3280">
      <c r="A3280" t="inlineStr">
        <is>
          <t>hskd4x</t>
        </is>
      </c>
      <c r="B3280" t="inlineStr">
        <is>
          <t>Day 6.</t>
        </is>
      </c>
      <c r="C3280" t="inlineStr">
        <is>
          <t>I was halfway through a pint of Ben &amp;amp; Jerry's Peanut Butter flavored ice cream last week when I realized I couldn't taste anything. I thought maybe the ice cream had freezer burn. Tried to smell it, nothing. A day later the flu like symptoms came. I was tested on Tuesday, just got off the phone with my doctor today and my test came back positive. I have no idea how I caught it. I have been studying at home remotely since March. Wear a mask anytime I leave the apt, etc. My cough and sinus' have cleared for the most part but still have a headache and my taste/smell senses are still gone. No breathing issues whatsoever. I've been medicating with Nyquil Severe and endless cough drops for my throat. Drink about half a gallon of water a day.  Doctor said this can last roughly another 10-14 days. 
For people that lost their sense of taste/smell, how long before they returned? I never realized how devastating this could be. I can make out when food is sweet, salty but I can't taste anything else. The thought of never tasting anything again is horrifying. As far as smell, I have this overpowering sensation when I sniff, like a metallic dry blood smell. My nose is completely clear so it's strange. I can put  a bottle of Vick's vapor rub directly against my nostril and faintly make out the eucalyptus smell but nothing else.</t>
        </is>
      </c>
      <c r="D3280" t="n">
        <v>1</v>
      </c>
      <c r="E3280" t="n">
        <v>11</v>
      </c>
      <c r="F3280">
        <f>HYPERLINK("https://www.reddit.com/r/COVID19positive/comments/hskd4x/day_6/")</f>
        <v/>
      </c>
      <c r="G3280" t="inlineStr">
        <is>
          <t>2020-07-16 15:58:13</t>
        </is>
      </c>
      <c r="H3280" t="inlineStr">
        <is>
          <t>Tested Positive - Me</t>
        </is>
      </c>
    </row>
    <row r="3281">
      <c r="A3281" t="inlineStr">
        <is>
          <t>hskdi6</t>
        </is>
      </c>
      <c r="B3281" t="inlineStr">
        <is>
          <t>Is it worth getting tested again?</t>
        </is>
      </c>
      <c r="C3281" t="inlineStr">
        <is>
          <t>Hi all,
27F, in general very healthy &amp;amp; active. PMH: migraines. Looking for some insight. I'll outline symptoms for reference.
7/10- Symptom onset. Fever (99-100), chills, brain fog, fatigue.
7/11- Worsening symptoms. Fever (99-101), chills, brain fog, fatigue, headache, body aches.
7/12- Worst day. Fever (99-101), chills, brain fog, fatigue, headache, body aches, chest tightness, SOB.
7/13- Improvement. Fever (99-100), brain fog, fatigue, headache, chest tightness, SOB.
7/14- About the same as 7/13. Fever steady around 99. Less fatigue.
7/15- QUICK TEST completed. Swabbed just inside of nostrils. Results: NEGATIVE. Presumed false negative based on opinion of NP. Symptoms the same.
Today: Fever steady at 99. Really feel pretty good, just inability to take a full breath, mild occasional cough, mild headache.
I have the option of having another test done (the option with a deeper swab) but can't get an appointment until next Wednesday (7/22). At this rate, I am doubtful I will have symptoms by then. Discussion with NP= presumed positive.
**Questions**: *Assuming my symptoms will likely be gone by next week, is it still worth it to test? Is the deeper nasal swab more effective than the shallow swab?* I would assume so, but I'm so doubtful of all of the tests at this point due to the high rates of false negatives.
Any insight is appreciated. Stay well!</t>
        </is>
      </c>
      <c r="D3281" t="n">
        <v>1</v>
      </c>
      <c r="E3281" t="n">
        <v>4</v>
      </c>
      <c r="F3281">
        <f>HYPERLINK("https://www.reddit.com/r/COVID19positive/comments/hskdi6/is_it_worth_getting_tested_again/")</f>
        <v/>
      </c>
      <c r="G3281" t="inlineStr">
        <is>
          <t>2020-07-16 15:58:49</t>
        </is>
      </c>
      <c r="H3281" t="inlineStr">
        <is>
          <t>Presumed Positive - From Doctor</t>
        </is>
      </c>
    </row>
    <row r="3282">
      <c r="A3282" t="inlineStr">
        <is>
          <t>hskha1</t>
        </is>
      </c>
      <c r="B3282" t="inlineStr">
        <is>
          <t>Please please If you feel like you have it got! PleseePlease go get tested as soon as popossible</t>
        </is>
      </c>
      <c r="C3282" t="inlineStr">
        <is>
          <t>It helps protects you and others</t>
        </is>
      </c>
      <c r="D3282" t="n">
        <v>1</v>
      </c>
      <c r="E3282" t="n">
        <v>6</v>
      </c>
      <c r="F3282">
        <f>HYPERLINK("https://www.reddit.com/r/COVID19positive/comments/hskha1/please_please_if_you_feel_like_you_have_it_got/")</f>
        <v/>
      </c>
      <c r="G3282" t="inlineStr">
        <is>
          <t>2020-07-16 16:05:21</t>
        </is>
      </c>
      <c r="H3282" t="inlineStr">
        <is>
          <t>Tested Positive - Me</t>
        </is>
      </c>
    </row>
    <row r="3283">
      <c r="A3283" t="inlineStr">
        <is>
          <t>hskoso</t>
        </is>
      </c>
      <c r="B3283" t="inlineStr">
        <is>
          <t>A Warning - As a mostly recovered mild case</t>
        </is>
      </c>
      <c r="C3283" t="inlineStr">
        <is>
          <t>Hi all. I see a lot of people in this sub are either "long haulers" or are newly infected, but not a lot of mild cases that recovered. I wanted to give some insight as someone who had an extremely mild course of the initial disease, but had a more severe outcome in recovery.
First of all, stats 'n stuff: Female, 30, O+, mild asthmatic, obese (now just overweight).
I was sick in mid-March, when what was happening then is now repeating itself. I wasn't able to get tested at the time, but I did get tested several times afterward for medical procedures.
Now, the first week and a half I was ill, I barely registered it. It was so mild. I didn't have any classic symptoms - no fever, no cough, still had my taste and smell. All I felt was a very light pressure on my chest, and for a few days I was just so randomly tired I felt like I couldn't sleep enough. Just a few days max - but I'd feel like that if I got a night of poor sleep and spent a few days playing catch up, too. Being asthmatic, I also thought nothing of light chest pressure. Maybe I'd walked too fast up a hill, or something.
This all went away with barely a notice. 
Then, around week 4 or 5 is when my body flipped the hell out and all hell broke loose.
I was woken up from a dead sleep by a sudden tachycardic episode - my heart was going 145bpm, I had shaking chills, my arms burned, I pretty much felt like I was going to die. I went to the ER and got put through a gamut of tests. X-ray, CT-scan, bloodwork, covid test. Eventually they got my heart rate down after two different drugs. Doctors found nothing seriously wrong with me, but my troponin was slightly elevated (ever so slightly...), I had hypokalemia (?!), and my WBC was abnormally high. Potassium pills and a beta blocker later I was referred to a cardiologist, told I had COVID, and was sent home.
After that I had waves of strange symptoms for the next month. Diarrhea, extreme thirst, tachycardia, painful burning neuropathy down both arms. This evolved into terrible insomnia, limb weakness, shortness of breath, sleep apnea, headaches... the list goes on. I went to the ER a second time once the neuropathy got very bad, because I was terrified something was going on with my heart. Doctor did a CT scan of my brain, also found nothing. 
During this first month, the cardiologist found nothing. I had a stress echo, 2 week holter, and eventually an EP study done. The EP study was surgical and I had to get a negative covid test to be accepted into the hospital. Nose swab was negative.
Then about week 10? 11? The thyroid issues hit.
Now throughout this, I would say I'd been slowly getting better... at a glacial pace. Symptoms resolved very, very slowly, coming back in waves that were just a little less intense each time. So, I thought I was getting better.
Then one day I had a feeling of dread in the mid-afternoon. This feeling kept growing until suddenly it was 12am and I felt like I'd drank 10 cups of coffee (I was not drinking any coffee at this point). My heart was flipping out, I was full of so much adrenaline that I felt sick. I couldn't sleep. I had chills, I shook, I had nausea. I had horrible anxiety and mood swings. I was getting blood sugar crashes in the middle of the day and night. Every time I tried to fall asleep I would be woken up by a rush of adrenaline.
The anxiety was unlike anything I'd ever experienced. Bright light and loud sounds would set off the adrenaline rushes. Carbs? Adrenaline rush. DECAF coffee? Adrenaline rush. Sugar? Well... yeah.
After a three-night stint of being unable to sleep, I was so weak that I took two benedryl and slept for a whopping 4 hours. That was the turning point. Every day now I get better in a linear progression. 
I now fall asleep just like normal again, I don't have any neuropathy pains, no diarrhea or horrible thirst, no intense anxiety, no rushes of adrenaline (though loud noises still give me an exaggerated startle response). 
I would say I'm now 90%. I feel back to my normal self, and I think what really helped kick the brainfog/insomnia was a change in my diet. I read somewhere that our brain and blood vessels need animal fats to repair and function, so I started eating red meat (or uncured bacon) and egg yolks every morning. And lots of red meat for lunch, too. Carbs still make my heart do loop-de-loops so I try to avoid them. I took many different supplements but none of them really helped.
Anyway, thanks for reading this long post. Mild cases of this disease are still absolutely terrifying and I would warn anyone wild a mild course to remain vigilant.</t>
        </is>
      </c>
      <c r="D3283" t="n">
        <v>1</v>
      </c>
      <c r="E3283" t="n">
        <v>49</v>
      </c>
      <c r="F3283">
        <f>HYPERLINK("https://www.reddit.com/r/COVID19positive/comments/hskoso/a_warning_as_a_mostly_recovered_mild_case/")</f>
        <v/>
      </c>
      <c r="G3283" t="inlineStr">
        <is>
          <t>2020-07-16 16:18:32</t>
        </is>
      </c>
      <c r="H3283" t="inlineStr">
        <is>
          <t>Presumed Positive - From Doctor</t>
        </is>
      </c>
    </row>
    <row r="3284">
      <c r="A3284" t="inlineStr">
        <is>
          <t>hskq9h</t>
        </is>
      </c>
      <c r="B3284" t="inlineStr">
        <is>
          <t>Suffering since March. Life is just unfair...</t>
        </is>
      </c>
      <c r="C3284" t="inlineStr">
        <is>
          <t>Why does it seem like those who take precautions and are more wary of the virus are more prone to catching it. I see loads on here saying they took care and still ended up getting it. I did the same....
Back in March before the UK government moved its ass, I decided to move mine. Or should I say not move mine. I stayed at home to study, I only came into contact with family and I ordered online rather than going out shopping.
Honestly in the two weeks before coming down with symptoms I can count on one hand the amount of people who could have possibly given me it. Everyone else was still going out to work or uni, seeing friends etc. etc. But suprise, suprise the 20 year old with no health conditions who was wary and taking measures to avoid the disease, gets the f*cking disease and no one else I know does.
Four months later and I am still just as bad as I was in March with the typical waves of debilitating symptoms. I’ve dealt with anything and everything any “long hauler” has dealt with. From dismissal to denial to utter despair.. 
Combine all the factors in play together and it feels like I am living in some awful alternate universe. Everyday I struggle to come to terms with whats actually happening. Sometimes it just feels like it was meant to be.</t>
        </is>
      </c>
      <c r="D3284" t="n">
        <v>1</v>
      </c>
      <c r="E3284" t="n">
        <v>22</v>
      </c>
      <c r="F3284">
        <f>HYPERLINK("https://www.reddit.com/r/COVID19positive/comments/hskq9h/suffering_since_march_life_is_just_unfair/")</f>
        <v/>
      </c>
      <c r="G3284" t="inlineStr">
        <is>
          <t>2020-07-16 16:20:56</t>
        </is>
      </c>
      <c r="H3284" t="inlineStr">
        <is>
          <t>Presumed Positive - From Doctor</t>
        </is>
      </c>
    </row>
    <row r="3285">
      <c r="A3285" t="inlineStr">
        <is>
          <t>hsl799</t>
        </is>
      </c>
      <c r="B3285" t="inlineStr">
        <is>
          <t>My symptom timeline (28F)</t>
        </is>
      </c>
      <c r="C3285" t="inlineStr">
        <is>
          <t xml:space="preserve">
Saturday Night/Sunday morning: Woke up after restless sleep with a dry, persistent cough. The coughing woke me up multiple times throughout the night. Continued less frequently throughout the day with slight fatigue. No other symptoms.
Monday: Developed diarrhea, cough becomes more prevalent. 
Tuesday: General malaise sets in and a noticeable fever of 99.6 (normal is 97.5) Fatigue to the point of taking three 2-hour naps throughout the day. Diarrhea continues. Very painful body aches, especially in legs/hips.
Wednesday: Wake up with a stuffy nose. Elevated temp maintains around 100 degrees. Body aches continue in lower extremities. Cough has mostly subsided. Diarrhea continues but becomes less frequent.
Thursday: Temp maintains around 100 degrees. Diarrhea clears up. Stuffy nose improves slightly but sense of smell has mostly vanished. Mild headache/head pressure begins to set in. Still fatigued.
Does anyone else have a timeline of symptoms similar to this?</t>
        </is>
      </c>
      <c r="D3285" t="n">
        <v>1</v>
      </c>
      <c r="E3285" t="n">
        <v>3</v>
      </c>
      <c r="F3285">
        <f>HYPERLINK("https://www.reddit.com/r/COVID19positive/comments/hsl799/my_symptom_timeline_28f/")</f>
        <v/>
      </c>
      <c r="G3285" t="inlineStr">
        <is>
          <t>2020-07-16 16:49:53</t>
        </is>
      </c>
      <c r="H3285" t="inlineStr">
        <is>
          <t>Presumed Positive - From Doctor</t>
        </is>
      </c>
    </row>
    <row r="3286">
      <c r="A3286" t="inlineStr">
        <is>
          <t>hslcct</t>
        </is>
      </c>
      <c r="B3286" t="inlineStr">
        <is>
          <t>Getting tested tomorrow</t>
        </is>
      </c>
      <c r="C3286" t="inlineStr">
        <is>
          <t>Hi everyone. I had a virtual appointment with my PCP today after experiencing symptoms for the past few days. I’ve had random nausea, crazy fatigue, shortness of breath, congestion, coughing, no fever. My doc ordered a test and I’m going in the morning to be swabbed. She told me to quarantine and basically assume that I have it. 
And I’m pissed. I’ve taken this serious since the beginning.  I wear a mask whenever I have to go anywhere, same with my kids. We have practiced social distancing from the get-go. I work from home and the only contact I have is with my family. 
My 18 year old stepson moved in last month and continues to go out with friends, goes to an indoor skate park, works at a place where nobody wears a mask. Complete disregard for other people in the house. It’s just so upsetting that I’ve worked so hard to keep myself and my kids safe and yet the risk is still so high in my house.
Rant over. I really hope it’s just a cold.</t>
        </is>
      </c>
      <c r="D3286" t="n">
        <v>1</v>
      </c>
      <c r="E3286" t="n">
        <v>2</v>
      </c>
      <c r="F3286">
        <f>HYPERLINK("https://www.reddit.com/r/COVID19positive/comments/hslcct/getting_tested_tomorrow/")</f>
        <v/>
      </c>
      <c r="G3286" t="inlineStr">
        <is>
          <t>2020-07-16 16:58:48</t>
        </is>
      </c>
      <c r="H3286" t="inlineStr">
        <is>
          <t>Presumed Positive - From Doctor</t>
        </is>
      </c>
    </row>
    <row r="3287">
      <c r="A3287" t="inlineStr">
        <is>
          <t>hslogy</t>
        </is>
      </c>
      <c r="B3287" t="inlineStr">
        <is>
          <t>Did you have any warnings before experiencing severe symptoms?</t>
        </is>
      </c>
      <c r="C3287" t="inlineStr">
        <is>
          <t>I got tested today after seeing my doctor. Based on my symptoms, I'm pretty sure I'm positive (diarrhea, fatigue, headache, chest pain, sore throat, racing heartbeat). The only pre-existing condition I have is obesity, which is a pretty bad one to have for Corona. 
With the addition of the chest pain and racing heartbeat, I've become increasingly anxious today that I'm just going to pass out/drop dead in my home. I live alone and my closest friend/relative is about 10-15 minutes away. I'm feeling very frightened and I know that has to be making the chest pain and tachycardia even worse. 
Looking back (or currently), did you have any warning signs before you experienced major symptoms? If it stays at this level of just general misery/feeling sick, then I can take it. It's the whole losing my life because there's no one to call 911 or notice I'm turning blue that's really scaring me. 
I feel very isolated in my anxiety. My family keeps telling me that I'm young and it won't be much worse than the flu. But I'm 100lbs overweight and my chest/breathing has never felt like this in my life. 
I guess I'm just looking for any reassurance whatsoever that I won't just drop dead from this? Is there a period of time when most people realize, "Oh shit. I gotta go to the hospital now."? Did you experience anything like that?</t>
        </is>
      </c>
      <c r="D3287" t="n">
        <v>1</v>
      </c>
      <c r="E3287" t="n">
        <v>14</v>
      </c>
      <c r="F3287">
        <f>HYPERLINK("https://www.reddit.com/r/COVID19positive/comments/hslogy/did_you_have_any_warnings_before_experiencing/")</f>
        <v/>
      </c>
      <c r="G3287" t="inlineStr">
        <is>
          <t>2020-07-16 17:20:30</t>
        </is>
      </c>
      <c r="H3287" t="inlineStr">
        <is>
          <t>Presumed Positive - From Doctor</t>
        </is>
      </c>
    </row>
    <row r="3288">
      <c r="A3288" t="inlineStr">
        <is>
          <t>hslr02</t>
        </is>
      </c>
      <c r="B3288" t="inlineStr">
        <is>
          <t>My mild covid journey</t>
        </is>
      </c>
      <c r="C3288" t="inlineStr">
        <is>
          <t>Hey everyone,
It has now been 10 days since I tested positive. I know how scary it felt when I first got the positive dx as I read posts for hours in the forum, so I figured I would share my journey thus far and answer any questions you have.
July 3-4: Assumed exposure
July 7: Symptoms began: horrible headache, fatigued to the point where I needed to lay down after walking to get my mail, taking a shower, etc, and brain fog.
July 8: Symptoms continued + sinus congestion. Congestion isolated the head- particularly nose. Began to lose taste and smell. Got rapid test, tested positive.
July 9: Symptoms continued. *Began taking zinc x3 daily with food, vitamin c and vitamin d x 2 daily.
July 10: Less fatigue and brain fog. Headache cleared. Only symptoms are sinus pressure and loss of taste/smell
July 11-16: Have improved every single day! I can smell 25% id say- can smell some things very faintly but I used to not be able to smell at all- not even a candle or perfume shoved against my nose. I cannot taste anything at all still. The sinus pressure is almost gone, comes back at night only.
I am working from home and live alone so I am staying quarantined. If I keep improving, I plan to take another test in a week or two just for peace of mind.
Other details: A+ blood type, 29 yo female, no underlying health issues. I was never contacted by the health department and did not contact my work as I work independently from home with zero exposure to co workers. 
Any questions let me know! Hope my experience can shed a light for some of you recently diagnosed! Stay safe out there. I was very careful and hyper aware of the situation, always wearing a mask, disinfecting my groceries, cooking for myself, showering multiple times a day, etc and still caught covid-19.</t>
        </is>
      </c>
      <c r="D3288" t="n">
        <v>1</v>
      </c>
      <c r="E3288" t="n">
        <v>23</v>
      </c>
      <c r="F3288">
        <f>HYPERLINK("https://www.reddit.com/r/COVID19positive/comments/hslr02/my_mild_covid_journey/")</f>
        <v/>
      </c>
      <c r="G3288" t="inlineStr">
        <is>
          <t>2020-07-16 17:25:06</t>
        </is>
      </c>
      <c r="H3288" t="inlineStr">
        <is>
          <t>Tested Positive</t>
        </is>
      </c>
    </row>
    <row r="3289">
      <c r="A3289" t="inlineStr">
        <is>
          <t>hsmkka</t>
        </is>
      </c>
      <c r="B3289" t="inlineStr">
        <is>
          <t>Panicking</t>
        </is>
      </c>
      <c r="C3289" t="inlineStr">
        <is>
          <t>I have been sick since last Monday I took my test on Wednesday and it came back positive I didn’t get a fever and didn’t get much symptoms other than feeling extremely weak. My biggest problem is I have an extreme anxiety problem I can’t control myself right now I’m freaking out all day it’s all I can think about I keep feeling like I’m going to die and stop breathing but my oxygen levels are at 96 my chest is constantly tight I’ve been having anxiety disorder for a year now and this is like my worst fear coming true I’ve been sick almost 2 weeks and I feel like I’m never going to be normal again my chest is so tight I don’t know what to do</t>
        </is>
      </c>
      <c r="D3289" t="n">
        <v>1</v>
      </c>
      <c r="E3289" t="n">
        <v>15</v>
      </c>
      <c r="F3289">
        <f>HYPERLINK("https://www.reddit.com/r/COVID19positive/comments/hsmkka/panicking/")</f>
        <v/>
      </c>
      <c r="G3289" t="inlineStr">
        <is>
          <t>2020-07-16 18:20:01</t>
        </is>
      </c>
      <c r="H3289" t="inlineStr">
        <is>
          <t>Tested Positive - Me</t>
        </is>
      </c>
    </row>
    <row r="3290">
      <c r="A3290" t="inlineStr">
        <is>
          <t>hsmr7a</t>
        </is>
      </c>
      <c r="B3290" t="inlineStr">
        <is>
          <t>Anxiety out of control</t>
        </is>
      </c>
      <c r="C3290" t="inlineStr">
        <is>
          <t>I started feeling bad on Sunday with fatigue and lack of appetite.  I woke up Mon with severe stomach cramps, diarrhea and fever. By Tue i was fine but I got tested since a coworker got sick the same day as me with fever, cough and chest tightness.  My coworker has since tested positive along with his family.  I am a 41f with slightly high blood pressure and on the line between overweight and obese.  Up until tonight I have only had a headache(pretty constant) and confusion. My fever returned a few hours ago and it has raised my anxiety to the point it's making my blood pressure rise. I went front 118/74 to 143/97.  I am terrified of things getting worse or making my family sick.  I take a small dose of Klonopin for anxiety but I don't want to take extra.  Any advice for anxiety would be greatly appreciated.</t>
        </is>
      </c>
      <c r="D3290" t="n">
        <v>1</v>
      </c>
      <c r="E3290" t="n">
        <v>5</v>
      </c>
      <c r="F3290">
        <f>HYPERLINK("https://www.reddit.com/r/COVID19positive/comments/hsmr7a/anxiety_out_of_control/")</f>
        <v/>
      </c>
      <c r="G3290" t="inlineStr">
        <is>
          <t>2020-07-16 18:31:57</t>
        </is>
      </c>
      <c r="H3290" t="inlineStr">
        <is>
          <t>Presumed Positive - From Doctor</t>
        </is>
      </c>
    </row>
    <row r="3291">
      <c r="A3291" t="inlineStr">
        <is>
          <t>hsmxyn</t>
        </is>
      </c>
      <c r="B3291" t="inlineStr">
        <is>
          <t>Haven't had symptoms for 2 weeks, and still testing positive.</t>
        </is>
      </c>
      <c r="C3291" t="inlineStr">
        <is>
          <t>Hello everyone, not sure if this post is allowed, but I’m irritated honestly. I contracted covid from my family and tested positive on June 19th. I’m a 23 year old male, obese and I vape. 
My first week wasn’t bad, just headaches and mild fever. The week after I had high fever, was lightheaded and had more consistent headaches. After that my symptoms went away all I really had left was some left over pneumonia and shortness of breath and no sense of taste or smell. 
My lungs now are almost back to 100% and my sense of taste and smell are back finally.
Now here’s the issue. I’ve been tested 2 other times after my first positive result. Once after my 15 day quarantine. I still had some lung congestion and not much sense of smell or taste. That result was positive. Now my brother who was also positive, after his 14 day quarantine tested negative. So I figured I still had Residual covid left in my system. 
I retested 10 days after the previous positive test. I just got the email for my results and I’m still positive. At this point I’m not sure wether I actually have it again or yet again it’s still in my system. All these tests were nasal swabs if that’s helpful information. 
Honestly at this point I’m not sure how long this will stay in my system.
Has anyone else been dealing with the same thing? I just need some peace of mind before I go insane :).</t>
        </is>
      </c>
      <c r="D3291" t="n">
        <v>1</v>
      </c>
      <c r="E3291" t="n">
        <v>7</v>
      </c>
      <c r="F3291">
        <f>HYPERLINK("https://www.reddit.com/r/COVID19positive/comments/hsmxyn/havent_had_symptoms_for_2_weeks_and_still_testing/")</f>
        <v/>
      </c>
      <c r="G3291" t="inlineStr">
        <is>
          <t>2020-07-16 18:44:27</t>
        </is>
      </c>
      <c r="H3291" t="inlineStr">
        <is>
          <t>Tested Positive - Me</t>
        </is>
      </c>
    </row>
    <row r="3292">
      <c r="A3292" t="inlineStr">
        <is>
          <t>hsn4wx</t>
        </is>
      </c>
      <c r="B3292" t="inlineStr">
        <is>
          <t>I tested positive but boyfriend tested negative</t>
        </is>
      </c>
      <c r="C3292" t="inlineStr">
        <is>
          <t>Someone from work tested positive. Me and a group of coworkers decided to go get tested because our job refused to shut down or quarantine those exposed. Test came back 2 days ago and I am the only one positive. This person had access to my work vehicle while showing symptoms which is how we believe I was exposed. My boyfriend, who works with me, tested negative. How can this be?
Prior to this I had extreme fatigue. I thought it was related to work since I work outside and my job requires me to ensure business are complying with the mandated shutdown. I also had a weird flare-up in my mouth that my doctor said was an autoimmune thing (this was one day prior to testing positive). 
Boyfriend seems to think my test was faulty since my symptoms have been really mild. But the fatigue and the hives on my mouth seem to indicate otherwise. I also vaguely recall having stomach issues last week.
Our job freaked out that two employees tested positive so far (I work in the pubic sector), and they had everyone tested yesterday because these glorified assholes refuse to shut down or quarantine those exposed. We're waiting to hear back. 
Has anyone had a similar thing happen? We've swapped saliva and other fluids. How can one of us be infected and the other not? He's not experiencing symptoms.</t>
        </is>
      </c>
      <c r="D3292" t="n">
        <v>1</v>
      </c>
      <c r="E3292" t="n">
        <v>7</v>
      </c>
      <c r="F3292">
        <f>HYPERLINK("https://www.reddit.com/r/COVID19positive/comments/hsn4wx/i_tested_positive_but_boyfriend_tested_negative/")</f>
        <v/>
      </c>
      <c r="G3292" t="inlineStr">
        <is>
          <t>2020-07-16 18:57:32</t>
        </is>
      </c>
      <c r="H3292" t="inlineStr">
        <is>
          <t>Tested Positive - Me</t>
        </is>
      </c>
    </row>
    <row r="3293">
      <c r="A3293" t="inlineStr">
        <is>
          <t>hsne0w</t>
        </is>
      </c>
      <c r="B3293" t="inlineStr">
        <is>
          <t>Stressful week.</t>
        </is>
      </c>
      <c r="C3293" t="inlineStr">
        <is>
          <t>My parents got diagnosed with covid. They were tested. They most likely got i from my sisters who was treated for strep recently, but most likely it was covid. They were babysitting my daughter when they suddenly started feeling sick. Now my wife is sick and will be tested this weekend. My two daughters seem ok. And I am not feeling sick. Maybe I will get sick later or I might just be an asymptomatic carries. I think most likely my wife will test positive. We also have a month old daughter. It is all a lot to think about it. Anyways, that’s me venting.</t>
        </is>
      </c>
      <c r="D3293" t="n">
        <v>1</v>
      </c>
      <c r="E3293" t="n">
        <v>4</v>
      </c>
      <c r="F3293">
        <f>HYPERLINK("https://www.reddit.com/r/COVID19positive/comments/hsne0w/stressful_week/")</f>
        <v/>
      </c>
      <c r="G3293" t="inlineStr">
        <is>
          <t>2020-07-16 19:14:33</t>
        </is>
      </c>
      <c r="H3293" t="inlineStr">
        <is>
          <t>Presumed Positive - From Doctor</t>
        </is>
      </c>
    </row>
    <row r="3294">
      <c r="A3294" t="inlineStr">
        <is>
          <t>hso30y</t>
        </is>
      </c>
      <c r="B3294" t="inlineStr">
        <is>
          <t>Thanks again, Trump.</t>
        </is>
      </c>
      <c r="C3294" t="inlineStr">
        <is>
          <t>I would personally like to thank Donald Trump for having the ability to watch my wife contract Coronavirus. While our country continues to be a joke to the world because of you and your actions....lack of action, and you free your guilty rich friends, and fucking try and push Goya beans (still confused by this), the actual humans that try to survive in this country will continue join forces to make this the best November in history by pushing your ass as far away from Washington as possible. This is a nation of strong, smart people, and including my wife, you better believe ALL COVID-19 survivors will be on the correct side of history. And by the way, #BLM, Mr. Trump, pull your head out of your ass, put your golf clubs down, and wake the fuck up. You and your lackeys did this...all, ALL of this. When you sit on the shitter and dump on Twitter, please remember that you will statistically, morally, and consciously, be the worst #POTUS to ever exist.  #dumptrump #potus #covid #coronavirus</t>
        </is>
      </c>
      <c r="D3294" t="n">
        <v>1</v>
      </c>
      <c r="E3294" t="n">
        <v>22</v>
      </c>
      <c r="F3294">
        <f>HYPERLINK("https://www.reddit.com/r/COVID19positive/comments/hso30y/thanks_again_trump/")</f>
        <v/>
      </c>
      <c r="G3294" t="inlineStr">
        <is>
          <t>2020-07-16 20:03:04</t>
        </is>
      </c>
      <c r="H3294" t="inlineStr">
        <is>
          <t>Tested Positive - Family</t>
        </is>
      </c>
    </row>
    <row r="3295">
      <c r="A3295" t="inlineStr">
        <is>
          <t>hsoson</t>
        </is>
      </c>
      <c r="B3295" t="inlineStr">
        <is>
          <t>Just Tested Positive</t>
        </is>
      </c>
      <c r="C3295" t="inlineStr">
        <is>
          <t>Just received a positive result from a test that was performed yesterday. I live in Iowa and went to a drive-through test performed by Test Iowa. The whole process was pretty simple and quick, but I can for sure say that I hate nasal swabs.
A bit of background. I last worked on Friday July 9th and felt pretty fatigued in the morning. Later that day I had some slight joint pain and that evening I started getting a stuffed sinus and a headache. The next morning I fortunately had the day off but was still experiencing the same symptoms, including lightheadedness and body aches. I had the same symptoms for another day and have since gradually been feeling better and better.
I had neither a recorded fever nor difficulties with breathing so that made me think that maybe I only had a cold. Waiting to get the test and its result was painful, since I had been feeling considerably better the previous few days; I still wasn't going to risk dragging whatever I thought I had into work.
My job's been very understanding of the whole process (as someone else had tested positive who had last worked the day before me) and I contacted them with my result as soon as I got it. They've offered me a ton of resources so far and I couldn't be happier to be with them.
I'm not too worried about where I am with my symptoms as I haven't had any issue with breathing or fevers, but I do have questions, namely: When I get in contact with a doctor, what are they likely to tell me? Wait it out at home since my symptoms are mild? How long will it be until I'm "cleared"? How is that determined?
Obviously there's a lot more questions to be asked but I'd like to hear about some of your experiences if you've tested positive.</t>
        </is>
      </c>
      <c r="D3295" t="n">
        <v>1</v>
      </c>
      <c r="E3295" t="n">
        <v>2</v>
      </c>
      <c r="F3295">
        <f>HYPERLINK("https://www.reddit.com/r/COVID19positive/comments/hsoson/just_tested_positive/")</f>
        <v/>
      </c>
      <c r="G3295" t="inlineStr">
        <is>
          <t>2020-07-16 20:53:17</t>
        </is>
      </c>
      <c r="H3295" t="inlineStr">
        <is>
          <t>Tested Positive - Me</t>
        </is>
      </c>
    </row>
    <row r="3296">
      <c r="A3296" t="inlineStr">
        <is>
          <t>hsoutv</t>
        </is>
      </c>
      <c r="B3296" t="inlineStr">
        <is>
          <t>Tested positive a few weeks ago. Clear now but I've developed an issue. Does anybody else have this issue?</t>
        </is>
      </c>
      <c r="C3296" t="inlineStr">
        <is>
          <t>23, mild asthma and obese. Had mild symptoms throughout my experience. However after they, about a week later(4 days ago) I started coughing a lot more than I did when I had covid, then breathing has became an issue. All 4 days since, Ihave had to use my inhaler, when previously I had to use it maybe 1 time every 2-3 months. I could breathe without it but I constantly feel like I need to gasp for air. Anybody else going through this?</t>
        </is>
      </c>
      <c r="D3296" t="n">
        <v>1</v>
      </c>
      <c r="E3296" t="n">
        <v>5</v>
      </c>
      <c r="F3296">
        <f>HYPERLINK("https://www.reddit.com/r/COVID19positive/comments/hsoutv/tested_positive_a_few_weeks_ago_clear_now_but_ive/")</f>
        <v/>
      </c>
      <c r="G3296" t="inlineStr">
        <is>
          <t>2020-07-16 20:57:38</t>
        </is>
      </c>
      <c r="H3296" t="inlineStr">
        <is>
          <t>Tested Positive - Me</t>
        </is>
      </c>
    </row>
    <row r="3297">
      <c r="A3297" t="inlineStr">
        <is>
          <t>hsowg7</t>
        </is>
      </c>
      <c r="B3297" t="inlineStr">
        <is>
          <t>Recurrent symptoms 4 months after Covid!</t>
        </is>
      </c>
      <c r="C3297" t="inlineStr">
        <is>
          <t xml:space="preserve"> For those of you who have recurrent symptoms, what do you experience, and what do you think is causing this? 
I have what feels like costochondritis or pleurisy. Basically I get fatigue and some muscle aches, no appetite, and then chest pain. I can't tell if this is something inflammatory around the lungs or if it is vascular, or even if it is recurrent pneumonia. 
I'm worried because 4 months is a long time for this thing to persist. If any of you have had similar issues and can share some advice I'd really appreciate the help. Thanks a lot.</t>
        </is>
      </c>
      <c r="D3297" t="n">
        <v>1</v>
      </c>
      <c r="E3297" t="n">
        <v>11</v>
      </c>
      <c r="F3297">
        <f>HYPERLINK("https://www.reddit.com/r/COVID19positive/comments/hsowg7/recurrent_symptoms_4_months_after_covid/")</f>
        <v/>
      </c>
      <c r="G3297" t="inlineStr">
        <is>
          <t>2020-07-16 21:00:57</t>
        </is>
      </c>
      <c r="H3297" t="inlineStr">
        <is>
          <t>Presumed Positive - From Doctor</t>
        </is>
      </c>
    </row>
    <row r="3298">
      <c r="A3298" t="inlineStr">
        <is>
          <t>hsp7pb</t>
        </is>
      </c>
      <c r="B3298" t="inlineStr">
        <is>
          <t>Potential girlfriend had Corona. What should I do?</t>
        </is>
      </c>
      <c r="C3298" t="inlineStr">
        <is>
          <t>Hello guys, I need to ask a serious question. This girl Ive been chatting with had a mild Corona case (trouble breathing, fevers and all that) and that stopped like almost a week ago. This monday she did a Covid test which came out negative, then she did one on Wednesday (yesterday) and it came up negative again. She is about to do the third one on Friday (tomorrow) which will most likely turn negative also. We are supposed to meet up next week on Monday evening. She is feeling completely fine and her doctor said she can go out again after long isolation. Im planning to seal the deal by kissing her because Ive been waiting for too long, but is that really a smart idea? Ive been dreaming of this girl and our date, but is it too early to do this kind of thing? I mean the tests are negative, she has no symptoms but I have my doubts. Please give me an advice and tell me what you think. Thanks/
TL;DR Im about to meet a girl who had a corona case but she is negative now and feeling alright. Should I kiss her or not?</t>
        </is>
      </c>
      <c r="D3298" t="n">
        <v>1</v>
      </c>
      <c r="E3298" t="n">
        <v>5</v>
      </c>
      <c r="F3298">
        <f>HYPERLINK("https://www.reddit.com/r/COVID19positive/comments/hsp7pb/potential_girlfriend_had_corona_what_should_i_do/")</f>
        <v/>
      </c>
      <c r="G3298" t="inlineStr">
        <is>
          <t>2020-07-16 21:23:53</t>
        </is>
      </c>
      <c r="H3298" t="inlineStr">
        <is>
          <t>Tested Positive - Friends</t>
        </is>
      </c>
    </row>
    <row r="3299">
      <c r="A3299" t="inlineStr">
        <is>
          <t>hspz4x</t>
        </is>
      </c>
      <c r="B3299" t="inlineStr">
        <is>
          <t>What to do?</t>
        </is>
      </c>
      <c r="C3299" t="inlineStr">
        <is>
          <t>My mother a healthcare worker, was diagnosed with Covid-19 today. I don't live with my mother and I tested negative. My mom tested positive though. I was shocked because I never thought it would be someone so close to me. After I got off the phone with her I began to just cry thinking of my life without her. She wanted me to a Nurse or a Doctor, but now she is telling me to stay away. I used to have a passion for the health field, but I have to move on from that. I wish for her to at least live long enough to see me be somebody because she told me that is what she wanted for me. I did not know what else to do so I prayed over her. 
I told my roommate I wanted to go to my mother's how to visit her through the window without physical contact. My roommate, who was unexpectedly unsupportive, told me she would visit her if she was me because of her and her children. She told me to wait until she and her children move out.  I was so disappointed in her for having this mentality. What if it were her mother? I don't think she would have said the same. She knows I always wear a mask, wash my hands frequently, keep a distance, barely go out unless essential, ect. However, sometimes she goes out without wearing a mask even when I remind her to wear one. Anyway, if something happens to my mother my greatest regret would be not visiting her. I don't have enough money either way to go see her, but I wish that I could. It is just difficult to stay optimistic.</t>
        </is>
      </c>
      <c r="D3299" t="n">
        <v>1</v>
      </c>
      <c r="E3299" t="n">
        <v>17</v>
      </c>
      <c r="F3299">
        <f>HYPERLINK("https://www.reddit.com/r/COVID19positive/comments/hspz4x/what_to_do/")</f>
        <v/>
      </c>
      <c r="G3299" t="inlineStr">
        <is>
          <t>2020-07-16 22:22:05</t>
        </is>
      </c>
      <c r="H3299" t="inlineStr">
        <is>
          <t>Tested Positive - Family</t>
        </is>
      </c>
    </row>
    <row r="3300">
      <c r="A3300" t="inlineStr">
        <is>
          <t>hsq42f</t>
        </is>
      </c>
      <c r="B3300" t="inlineStr">
        <is>
          <t>Numb</t>
        </is>
      </c>
      <c r="C3300" t="inlineStr">
        <is>
          <t>Hello everyone, 
First I want to say that I love you all and I hope you get better soon! Stick in there and don’t let your anxiety get the best of you! I did that when I first got sick and I know that made it worse but anyways (pm me if you want to talk I’m here for you!) 
When I first got sick I had this numb feeling in my legs like I wasn’t controlling it’s movements now I’m starting to feel it again. It went away for a while now, but now it’s back :/ My leg just feels heavy. I was wondering if anyone else is experiencing this if so what helped and did it ever go away?</t>
        </is>
      </c>
      <c r="D3300" t="n">
        <v>1</v>
      </c>
      <c r="E3300" t="n">
        <v>2</v>
      </c>
      <c r="F3300">
        <f>HYPERLINK("https://www.reddit.com/r/COVID19positive/comments/hsq42f/numb/")</f>
        <v/>
      </c>
      <c r="G3300" t="inlineStr">
        <is>
          <t>2020-07-16 22:33:39</t>
        </is>
      </c>
      <c r="H3300" t="inlineStr">
        <is>
          <t>Presumed Positive - From Doctor</t>
        </is>
      </c>
    </row>
    <row r="3301">
      <c r="A3301" t="inlineStr">
        <is>
          <t>hsq4r4</t>
        </is>
      </c>
      <c r="B3301" t="inlineStr">
        <is>
          <t>Has anyone recovered their loss of smell and taste?</t>
        </is>
      </c>
      <c r="C3301" t="inlineStr">
        <is>
          <t>Had mild symptoms for 4 days but still have no smell or taste after 7 and counting. Reading in a lot of places that it just will never come back. Is this true? I'm already half deaf so I really would like to have at least most of my senses....</t>
        </is>
      </c>
      <c r="D3301" t="n">
        <v>1</v>
      </c>
      <c r="E3301" t="n">
        <v>17</v>
      </c>
      <c r="F3301">
        <f>HYPERLINK("https://www.reddit.com/r/COVID19positive/comments/hsq4r4/has_anyone_recovered_their_loss_of_smell_and_taste/")</f>
        <v/>
      </c>
      <c r="G3301" t="inlineStr">
        <is>
          <t>2020-07-16 22:35:19</t>
        </is>
      </c>
      <c r="H3301" t="inlineStr">
        <is>
          <t>Tested Positive</t>
        </is>
      </c>
    </row>
    <row r="3302">
      <c r="A3302" t="inlineStr">
        <is>
          <t>hsqxyq</t>
        </is>
      </c>
      <c r="B3302" t="inlineStr">
        <is>
          <t>Just got positive test results back - terrified.</t>
        </is>
      </c>
      <c r="C3302" t="inlineStr">
        <is>
          <t>Background: 22 year old male, no underlying health conditions, mostly healthy diet, fit/active.  
I took two coronavirus test 5 days ago. I'm not sure exactly what each of them mean but the results are: 
COVID-19 qPCR : Positive
COVID-19 IGG : Pending 
I am very worried because I am expecting a wave of brutal symptoms to hit me soon. I got the test 5 days ago because I started noticing symptoms about two weeks ago. They were very mild. My seasonal flu last year was much worse. My timeline of symptoms went something like this.. 
7/3-7 : mild cough, congestion, headache, chills,  (no fever) 
7/8-10 : cough getting better, congestion, headache, total loss of taste/smell , (no fever)
7/11 : got tested 
7/11-12: only symptoms were headache, congestion, and lack of taste/smell (starting to come back)
7/13 - today: no symptoms, feeling totally fine. 
Where do I go from here? I've called everyone I've been in contact with and I'm planning on isolating 2 weeks from the time I felt better. Should I expect to feel better and suddenly succumb to severe symptoms? Or can I just feel confident that I had a mild case?</t>
        </is>
      </c>
      <c r="D3302" t="n">
        <v>1</v>
      </c>
      <c r="E3302" t="n">
        <v>6</v>
      </c>
      <c r="F3302">
        <f>HYPERLINK("https://www.reddit.com/r/COVID19positive/comments/hsqxyq/just_got_positive_test_results_back_terrified/")</f>
        <v/>
      </c>
      <c r="G3302" t="inlineStr">
        <is>
          <t>2020-07-16 23:46:23</t>
        </is>
      </c>
      <c r="H3302" t="inlineStr">
        <is>
          <t>Tested Positive - Me</t>
        </is>
      </c>
    </row>
    <row r="3303">
      <c r="A3303" t="inlineStr">
        <is>
          <t>hsr586</t>
        </is>
      </c>
      <c r="B3303" t="inlineStr">
        <is>
          <t>Feel hopeless due to complications that could be really serious ,but doctors wont listen to me</t>
        </is>
      </c>
      <c r="C3303" t="inlineStr">
        <is>
          <t xml:space="preserve">      Ok, so, I had MRSA when I was 16 and again when I was 17. I had to be quarantined for several weeks and could barely walk for nearly a month each time I had it. 
      Right around the time I started showing symptoms for covid, I got this thing that looked like a bug bite on my lower back. It was about the size of a quarter. I had been extremely lethargic, constantly pouring sweat and out of breath. So, went to ER. Receptionist said that the doctors may not even give me a test since I didn’t have temperature when she took it. 
      Luckily, I got back there and was able to take covid test. I ended up testing positive. I showed her my wound, which had gone from quarter sized to the size of a playing card in only 2-3 days. 
      Doctor didn’t even acknowledge what I said about MRSA or the fact that I worried that I was diabetic as I was diagnosed with prediabetes several years ago and over half of my family has diabetes as well. She didn’t acknowledge that either. I got a diagnosis for cellulitis and 2 antibiotics and they sent me on my way. 
      Almost a week later  of diligently taking meds, and my “bug bite” had  doubled in size and was much more painful so,  I went to ER again, but not the same one as before. I told them the same story and received same reply. 
      Now, after totally finishing first two prescriptions from first ER doctor, wound is getting worse and covid symptoms have started to return. I’m scared and I just wish they would listen to me. I don’t know if it’s because of me not having insurance or what. Prior to stimulus check and unemployment I received, I was homeless  sleeping out of car with my boyfriend. I used check to get an apartment. I stupidly wasn’t thinking about insurance. 
      This wound on my back is getting bigger and bigger and more painful everyday. I’m hesitant to go to a third hospital, because I just feel like the same thing will happen. I don’t know what to do. Sorry for long post. Just needed to vent .</t>
        </is>
      </c>
      <c r="D3303" t="n">
        <v>1</v>
      </c>
      <c r="E3303" t="n">
        <v>5</v>
      </c>
      <c r="F3303">
        <f>HYPERLINK("https://www.reddit.com/r/COVID19positive/comments/hsr586/feel_hopeless_due_to_complications_that_could_be/")</f>
        <v/>
      </c>
      <c r="G3303" t="inlineStr">
        <is>
          <t>2020-07-17 00:04:31</t>
        </is>
      </c>
      <c r="H3303" t="inlineStr">
        <is>
          <t>Tested Positive - Me</t>
        </is>
      </c>
    </row>
    <row r="3304">
      <c r="A3304" t="inlineStr">
        <is>
          <t>hsshe5</t>
        </is>
      </c>
      <c r="B3304" t="inlineStr">
        <is>
          <t>This will never end....</t>
        </is>
      </c>
      <c r="C3304" t="inlineStr">
        <is>
          <t>No chance for herd immunity, vaccine will just prevent people from hospitalizations for ab 2 months,  millions dealing with chronic illness, no one wearing masks, it continues spreading, people getting twice, three times ect, 
Based on history, I don't expect to get help until ab 10 years later just like AIDS.... maybe it'll be too late, I get it the tenth time and my heart just can't take it anymore. And btw, I got it twice and no it wasn't a flare up, I was re exposed to covid and contracted symptoms. I kind of want to just waste my life away, maybe just zone out on drugs like cancer patients do.  I feel like I don't have long to live or if I do live it'll just be immense suffering. So, don't call me dramatic...I was pretty optimistic until I got reinfected. And idk what the point of this post is</t>
        </is>
      </c>
      <c r="D3304" t="n">
        <v>1</v>
      </c>
      <c r="E3304" t="n">
        <v>12</v>
      </c>
      <c r="F3304">
        <f>HYPERLINK("https://www.reddit.com/r/COVID19positive/comments/hsshe5/this_will_never_end/")</f>
        <v/>
      </c>
      <c r="G3304" t="inlineStr">
        <is>
          <t>2020-07-17 02:09:26</t>
        </is>
      </c>
      <c r="H3304" t="inlineStr">
        <is>
          <t>Tested Positive - Me</t>
        </is>
      </c>
    </row>
    <row r="3305">
      <c r="A3305" t="inlineStr">
        <is>
          <t>hsso2p</t>
        </is>
      </c>
      <c r="B3305" t="inlineStr">
        <is>
          <t>Any high fever folks out there?</t>
        </is>
      </c>
      <c r="C3305" t="inlineStr">
        <is>
          <t>So I'm on day 6 of fever. Started low grade (99-100) the first two days and has slowly increased. Now, it goes just up over 103 any time I'm not taking Tylenol. Tested positive today. 
Other symptoms are headache, body aches (just started), dry cough. No chest tightness currently and oxygen is at 97 or so if I'm sitting up.
34/M, O+ blood
Anyone else have high grade fever symptoms? How long did they past for you? It's only day 6 but it's been such a grind!</t>
        </is>
      </c>
      <c r="D3305" t="n">
        <v>1</v>
      </c>
      <c r="E3305" t="n">
        <v>6</v>
      </c>
      <c r="F3305">
        <f>HYPERLINK("https://www.reddit.com/r/COVID19positive/comments/hsso2p/any_high_fever_folks_out_there/")</f>
        <v/>
      </c>
      <c r="G3305" t="inlineStr">
        <is>
          <t>2020-07-17 02:27:14</t>
        </is>
      </c>
      <c r="H3305" t="inlineStr">
        <is>
          <t>Tested Positive - Me</t>
        </is>
      </c>
    </row>
    <row r="3306">
      <c r="A3306" t="inlineStr">
        <is>
          <t>hst9br</t>
        </is>
      </c>
      <c r="B3306" t="inlineStr">
        <is>
          <t>I tested negative. My roommate tested positive. Now what?</t>
        </is>
      </c>
      <c r="C3306" t="inlineStr">
        <is>
          <t>I (24F) started getting symptoms last Thursday and my roommate (28M) started getting symptoms that Friday. We both thought we had allergies because we had a throat tickle and felt tired (no fever, SOB, loss of taste or smell). I got tested that next day on Friday and she got tested Saturday.
My test came back negative and I no longer have any symptoms at all. I felt crappy for maybe three days? He is starting to feel better but his test just came back (five days after mine) and he is positive. 
Did I have a false negative? Did he have a false positive? Will I get COVID again now? I have no idea what to do and I’m kind of freaking out. Any advice would be helpful. Thank you!</t>
        </is>
      </c>
      <c r="D3306" t="n">
        <v>1</v>
      </c>
      <c r="E3306" t="n">
        <v>5</v>
      </c>
      <c r="F3306">
        <f>HYPERLINK("https://www.reddit.com/r/COVID19positive/comments/hst9br/i_tested_negative_my_roommate_tested_positive_now/")</f>
        <v/>
      </c>
      <c r="G3306" t="inlineStr">
        <is>
          <t>2020-07-17 03:21:49</t>
        </is>
      </c>
      <c r="H3306" t="inlineStr">
        <is>
          <t>Tested Positive - Friends</t>
        </is>
      </c>
    </row>
    <row r="3307">
      <c r="A3307" t="inlineStr">
        <is>
          <t>hsu2m2</t>
        </is>
      </c>
      <c r="B3307" t="inlineStr">
        <is>
          <t>I can not smell anything anymore!?</t>
        </is>
      </c>
      <c r="C3307" t="inlineStr">
        <is>
          <t>I'm recovering well but lost my sense of smell. I just put a hige amount of perfume on me and I can't smell it. What the hell is going on?! Is this going to recover? I'm panicking.</t>
        </is>
      </c>
      <c r="D3307" t="n">
        <v>1</v>
      </c>
      <c r="E3307" t="n">
        <v>12</v>
      </c>
      <c r="F3307">
        <f>HYPERLINK("https://www.reddit.com/r/COVID19positive/comments/hsu2m2/i_can_not_smell_anything_anymore/")</f>
        <v/>
      </c>
      <c r="G3307" t="inlineStr">
        <is>
          <t>2020-07-17 04:32:05</t>
        </is>
      </c>
      <c r="H3307" t="inlineStr">
        <is>
          <t>Tested Positive - Me</t>
        </is>
      </c>
    </row>
    <row r="3308">
      <c r="A3308" t="inlineStr">
        <is>
          <t>hsu5rw</t>
        </is>
      </c>
      <c r="B3308" t="inlineStr">
        <is>
          <t>Relapse or Reinfection?</t>
        </is>
      </c>
      <c r="C3308" t="inlineStr">
        <is>
          <t>I was feeling good about a week ago and living life like i usually did albeit i still had neuro symptoms left over
but ever since july 15th. I've had a terrible sore throat, slight fever, SOB, headache...dried ass hands...
Its like im at day 1 again...</t>
        </is>
      </c>
      <c r="D3308" t="n">
        <v>1</v>
      </c>
      <c r="E3308" t="n">
        <v>11</v>
      </c>
      <c r="F3308">
        <f>HYPERLINK("https://www.reddit.com/r/COVID19positive/comments/hsu5rw/relapse_or_reinfection/")</f>
        <v/>
      </c>
      <c r="G3308" t="inlineStr">
        <is>
          <t>2020-07-17 04:39:16</t>
        </is>
      </c>
      <c r="H3308" t="inlineStr">
        <is>
          <t>Tested Positive - Me</t>
        </is>
      </c>
    </row>
    <row r="3309">
      <c r="A3309" t="inlineStr">
        <is>
          <t>hsuz7u</t>
        </is>
      </c>
      <c r="B3309" t="inlineStr">
        <is>
          <t>How do I react to two friends who tested positive three weeks ago coming to family campground to hang out?</t>
        </is>
      </c>
      <c r="C3309" t="inlineStr">
        <is>
          <t>Family tested positive three weeks ago and two members came to hang out with friends and one said health department said they were good to go after two weeks. Should they be avoided? Is it possible to recover that much in two weeks to be non transmitters?</t>
        </is>
      </c>
      <c r="D3309" t="n">
        <v>1</v>
      </c>
      <c r="E3309" t="n">
        <v>13</v>
      </c>
      <c r="F3309">
        <f>HYPERLINK("https://www.reddit.com/r/COVID19positive/comments/hsuz7u/how_do_i_react_to_two_friends_who_tested_positive/")</f>
        <v/>
      </c>
      <c r="G3309" t="inlineStr">
        <is>
          <t>2020-07-17 05:41:00</t>
        </is>
      </c>
      <c r="H3309" t="inlineStr">
        <is>
          <t>Tested Positive - Friends</t>
        </is>
      </c>
    </row>
    <row r="3310">
      <c r="A3310" t="inlineStr">
        <is>
          <t>hsv7pm</t>
        </is>
      </c>
      <c r="B3310" t="inlineStr">
        <is>
          <t>Bangladesh Develop "COVID 19" Vaccine, What Do You Think?</t>
        </is>
      </c>
      <c r="C3310" t="inlineStr">
        <is>
          <t>[removed]
[View Poll](https://www.reddit.com/poll/hsv7pm)</t>
        </is>
      </c>
      <c r="D3310" t="n">
        <v>1</v>
      </c>
      <c r="E3310" t="n">
        <v>0</v>
      </c>
      <c r="F3310">
        <f>HYPERLINK("https://www.reddit.com/r/COVID19positive/comments/hsv7pm/bangladesh_develop_covid_19_vaccine_what_do_you/")</f>
        <v/>
      </c>
      <c r="G3310" t="inlineStr">
        <is>
          <t>2020-07-17 05:57:38</t>
        </is>
      </c>
      <c r="H3310" t="inlineStr">
        <is>
          <t>Tested Positive - Me</t>
        </is>
      </c>
    </row>
    <row r="3311">
      <c r="A3311" t="inlineStr">
        <is>
          <t>hsvbxg</t>
        </is>
      </c>
      <c r="B3311" t="inlineStr">
        <is>
          <t>Final Results. 10 Positives out of 30</t>
        </is>
      </c>
      <c r="C3311" t="inlineStr">
        <is>
          <t>I posted last week and about 2 days ago about the experience our area had with results. We are located in the latest Hot spot mind you that has more cases in our city than many states do.
2 weeks ago, 30 were tested after possible exposure. 10 results came back positive including myself. All quarantined for 2 weeks. 3 people, including myself, 5 days after initial test was done that resulted in positive. Those results came back 10 days after 1st test as negative along with the 2 others. Antibodies were done for 2 out of those 3 tested 11 days after initial positive result. Results were negative for IGG and IGM.
Everyone else has been retested and waiting for results. All 10 people never developed symptoms after 2 weeks of testing that resulted in positive. 
Now this post is not to create conspiracies or theories. And I have read SO MANY cases here of what people have had to gone through physically with this virus. Our prayers are with you and your loved ones.
This post is to help those who suffer form anxiety of this pandemic and have tested positive with no symptoms. Please do not let your mind run wild and be so scared that your anxiety creates symptoms for you. From what I have read on here with those going through actual symptoms, it sure isn't their mind creating them. The best is to stay calm, take the proper measures your healthcare advises you, and do not wait around for the symptoms. Isolate and breathe. Practice breathing exercises, meditate, or/and pray. 
Try to get tested again if possible. See if your results comes back negative. I am not sure why our case happened to result in so many positives, but given the amount of positive cases growing in our city, it makes us wonder what protocol is being followed or what machines are being used. I just know the week that I thought I had it I put myself through so much stress and anxiety that it ended up affecting me more than the virus itself.</t>
        </is>
      </c>
      <c r="D3311" t="n">
        <v>1</v>
      </c>
      <c r="E3311" t="n">
        <v>19</v>
      </c>
      <c r="F3311">
        <f>HYPERLINK("https://www.reddit.com/r/COVID19positive/comments/hsvbxg/final_results_10_positives_out_of_30/")</f>
        <v/>
      </c>
      <c r="G3311" t="inlineStr">
        <is>
          <t>2020-07-17 06:04:57</t>
        </is>
      </c>
      <c r="H3311" t="inlineStr">
        <is>
          <t>Tested Positive - Me</t>
        </is>
      </c>
    </row>
    <row r="3312">
      <c r="A3312" t="inlineStr">
        <is>
          <t>hsvf2o</t>
        </is>
      </c>
      <c r="B3312" t="inlineStr">
        <is>
          <t>Afternoon of Day 3 into day 4</t>
        </is>
      </c>
      <c r="C3312" t="inlineStr">
        <is>
          <t>Follow up to my day 1-3 post
Day 3 afternoon: My wife got her covid test results back and it was negative. Her strep A and B tests also. She was almost back to normal except for a cough. Had good energy and was feeling like her appetite was back to normal. Throat pain mostly gone. I on the other hand seemed to have a setback from the previous day. Massive brain fog type stuff, I repeatedly made multiple simple mistakes including getting "stuck" where I needed to type an "e" for a word but kept typing "3" instead and i'd see it and delete it but just would keep doing it, happened like 5 or 6 times. Also in our work chat system responding to a chat with someone in a completely different chat window. Which as far as I remember I have never done. I also had a lot of facial pain throughout the day. I took 1000mg of tylenol but it didn't help. Tried some sinus meds, did nothing. Less body soreness overall though. I was able to do some curls with my weights, it winded me more than usual but I was able to do multiple sets through the day okay. I am definitely needing to take deep breaths more frequently. I didn't sleep well but I can't specifically say why, I did not have the chest burning like the other night so i'm not sure what it was. 
Day 4 morning: My wife feels fine but she's having coughing fits. I'm Feeling pretty out of it, could be from sleeping poorly. Having some pretty noticeable things that seem like hot flashes this morning. Face still hurts like hell all over except for my chin. Chest feels a little tight when I take deep breaths which is every couple minutes i'd say, if i'm not talking. More frequently if I am. Get tested this afternoon. Not feeling confident it will come back correct given the info my friends in the medical field around here have passed on about the testing procedures and amount of false negatives they see despite people with all or nearly all the symptoms. Still no fever when taking temp.</t>
        </is>
      </c>
      <c r="D3312" t="n">
        <v>1</v>
      </c>
      <c r="E3312" t="n">
        <v>2</v>
      </c>
      <c r="F3312">
        <f>HYPERLINK("https://www.reddit.com/r/COVID19positive/comments/hsvf2o/afternoon_of_day_3_into_day_4/")</f>
        <v/>
      </c>
      <c r="G3312" t="inlineStr">
        <is>
          <t>2020-07-17 06:10:45</t>
        </is>
      </c>
      <c r="H3312" t="inlineStr">
        <is>
          <t>Presumed Positive - From Doctor</t>
        </is>
      </c>
    </row>
    <row r="3313">
      <c r="A3313" t="inlineStr">
        <is>
          <t>hsvmxr</t>
        </is>
      </c>
      <c r="B3313" t="inlineStr">
        <is>
          <t>Retested Negative after 14 days</t>
        </is>
      </c>
      <c r="C3313" t="inlineStr">
        <is>
          <t>Just tested negative after 14 days. I was very fortunate to be a very mild case. Feels like I am seeing the light at the end of the tunnel. 
For those you are going through a tough time, I send you positive thoughts and energy. 
For people who are mentally and emotionally exhausted, please DM me or reply if you need support. 
For those who lost loved ones, I wish I can say something to make it less painful. 
Let’s support each other with kindness and respect in the community.</t>
        </is>
      </c>
      <c r="D3313" t="n">
        <v>1</v>
      </c>
      <c r="E3313" t="n">
        <v>7</v>
      </c>
      <c r="F3313">
        <f>HYPERLINK("https://www.reddit.com/r/COVID19positive/comments/hsvmxr/retested_negative_after_14_days/")</f>
        <v/>
      </c>
      <c r="G3313" t="inlineStr">
        <is>
          <t>2020-07-17 06:25:09</t>
        </is>
      </c>
      <c r="H3313" t="inlineStr">
        <is>
          <t>Tested Positive - Me</t>
        </is>
      </c>
    </row>
    <row r="3314">
      <c r="A3314" t="inlineStr">
        <is>
          <t>hsvtx4</t>
        </is>
      </c>
      <c r="B3314" t="inlineStr">
        <is>
          <t>Been positive for a week.</t>
        </is>
      </c>
      <c r="C3314" t="inlineStr">
        <is>
          <t>My symptoms started at with diarrhea and fatigue. Then came the chest pressure and back pain. These have been the absolute worst and the only symptoms i still have after a weeks time. Its like a roller coaster with them. One minute ill be feeling great then get hit with a coughing spell and back to the intense pain. One of my other symptoms has been weight loss. I eat normal no loss in hunger or anything, but i am down 5 pounds in the first week of being positive. Has anyone else had weight loss even though eating is normal? I'm thinking maybe its because i sweat so bad every night during sleep. SO bad that i change the sheets every night. For general info i'm 27 male and in good physical shape. I was one of the idiots who went back to the gyms when they opened. I'm guessing that's where this came from.</t>
        </is>
      </c>
      <c r="D3314" t="n">
        <v>1</v>
      </c>
      <c r="E3314" t="n">
        <v>13</v>
      </c>
      <c r="F3314">
        <f>HYPERLINK("https://www.reddit.com/r/COVID19positive/comments/hsvtx4/been_positive_for_a_week/")</f>
        <v/>
      </c>
      <c r="G3314" t="inlineStr">
        <is>
          <t>2020-07-17 06:37:54</t>
        </is>
      </c>
      <c r="H3314" t="inlineStr">
        <is>
          <t>Tested Positive - Me</t>
        </is>
      </c>
    </row>
    <row r="3315">
      <c r="A3315" t="inlineStr">
        <is>
          <t>hsvuht</t>
        </is>
      </c>
      <c r="B3315" t="inlineStr">
        <is>
          <t>Loss of taste and smell relapses every morning... and only in the morning.</t>
        </is>
      </c>
      <c r="C3315" t="inlineStr">
        <is>
          <t>Interesting thing I’ve noticed. I noticed that, every morning, most of my smell and taste are gone again. The first couple times I got worried I had a relapse, but they return after an hour or so. Very strange.
Lost of taste and smell was the biggest symptom I had, but it all came back rather quickly (smelling again 7-9 days after onset of symptoms). Not sure why this relapse occurs though. 
Anyone else notice this?
Austin Texas based.</t>
        </is>
      </c>
      <c r="D3315" t="n">
        <v>1</v>
      </c>
      <c r="E3315" t="n">
        <v>2</v>
      </c>
      <c r="F3315">
        <f>HYPERLINK("https://www.reddit.com/r/COVID19positive/comments/hsvuht/loss_of_taste_and_smell_relapses_every_morning/")</f>
        <v/>
      </c>
      <c r="G3315" t="inlineStr">
        <is>
          <t>2020-07-17 06:39:04</t>
        </is>
      </c>
      <c r="H3315" t="inlineStr">
        <is>
          <t>Tested Positive</t>
        </is>
      </c>
    </row>
    <row r="3316">
      <c r="A3316" t="inlineStr">
        <is>
          <t>hsw87i</t>
        </is>
      </c>
      <c r="B3316" t="inlineStr">
        <is>
          <t>Well... that was fast</t>
        </is>
      </c>
      <c r="C3316" t="inlineStr">
        <is>
          <t>Today I tested negative for COVID-19, six days after I tested positive. Out of an abundance of caution, I am remaining under quarantine until I take a second test Monday and test negative again. My symptoms are extremely minimal at this time, but a false negative could always happen. I’m going to document my timeline below, just in case there’s anybody out there who’s just tested positive and wants some idea of what to expect! 
Day 1 (7/5): I woke up with a slightly scratchy throat this morning, I took a cough drop and it went away within 30 minutes. I wrote it off as my seasonal allergies, especially since there was no cough or fever. 
Day 2 (7/6): Identical to day 1. 
Day 3 (7/7): Identical to day 1. 
Day 4 (7/8): I woke up with a scratchy throat as usual, but dismissed it. I spent a large portion of today outdoors (but isolated), and started feeling more severe symptoms that evening. I was exhausted, aching, and had a strong migraine. I assumed it was sun poisoning, because I still had no cough or fever. 
Day 5 (7/9): This morning I took a COVID test at my work place, a weekly routine. Something felt very wrong, and just walking to/from my car made me feel like I was about to pass out. I felt terrible afterwards, and spent the rest of the day in bed. I had chills, aches, a migraine, and was delirious from exhaustion. Still no fever or cough. 
Day 6 (7/10): This was one of my worst days. I was confined to bed, and couldn’t even walk to the bathroom without feeling like collapsing. I lost my taste, smell, and appetite in rapid succession. Still no fever or cough. I got the call I tested positive. 
Day 7 (7/11): I spent all day in bed, and felt miserable. My breathing felt raggedy, and I couldn’t sleep for more than a few hours without waking up because I felt like I couldn’t get enough oxygen. I started taking supplements recommended to me by this subreddit, still no fever or cough. 
Day 8 (7/12): A repeat of Day 7, still unable to sleep through the night. At this point I had lost five pounds from my lack of appetite, and eating was a chore. 
Day 9 (7/13): My symptoms started becoming much more mild. I could walk around to my bathroom, my kitchen, and my living room and not be horribly out of breath. I still got tired very quickly, but it felt like I regained some of my strength. My appetite slowly started coming back. 
Day 10 (7/14): I felt even better this morning, it was the first night I was able to sleep through. I was able to get around normally, and with tylenol I didn’t have any symptoms other than reduced smell and a bit of SOB if I tried to do too much. I couldn’t even shower on day 7, but this day I not only showered but was also able to shave my legs. 
Day 11 (7/15): I took another COVID-19 test, and went back home feeling completely fine. No SOB, no headache, nothing! I still didn’t have my sense of smell, but my appetite had returned and I was able to taste my food again. 
Day 12 (7/16): I felt almost normal, and went about my day within my apartment without once experiencing fatigue or SOB. I didn’t even have to take any tylenol today. 
Day 13 (7/17): This morning I received news that my test from day 11 came back negative, and they will be retesting me again on 7/20 to confirm that COVID is out of my system. I feel great today, and my only “symptoms” are that my smell is still reduced and sometimes my nose gets congested when I lay down at night. 
Here’s what I did and what I found helpful! :)
- I took daily a Calcium Citrate/Magnesium/Zinc/Vitamin D and a Vitamin C supplement. The first is just all one pill, both from costco
- Days 7-11 I took baby aspirin in the morning in order to reduce my risk of developing blood clots 
- I took tylenol whenever I had aches, but since I never had a fever I can’t speak to its effectiveness as a fever reducer
- I purchased a pulse oximeter for my peace of mind, so that when I woke up feeling like I couldn’t breathe in the middle of the night I was able to see if my oxygen was still at normal levels 
I hope this is able to help somebody! Good luck everyone, and stay strong ❤️</t>
        </is>
      </c>
      <c r="D3316" t="n">
        <v>1</v>
      </c>
      <c r="E3316" t="n">
        <v>67</v>
      </c>
      <c r="F3316">
        <f>HYPERLINK("https://www.reddit.com/r/COVID19positive/comments/hsw87i/well_that_was_fast/")</f>
        <v/>
      </c>
      <c r="G3316" t="inlineStr">
        <is>
          <t>2020-07-17 07:03:49</t>
        </is>
      </c>
      <c r="H3316" t="inlineStr">
        <is>
          <t>Tested Positive - Me</t>
        </is>
      </c>
    </row>
    <row r="3317">
      <c r="A3317" t="inlineStr">
        <is>
          <t>hswo1q</t>
        </is>
      </c>
      <c r="B3317" t="inlineStr">
        <is>
          <t>How did you deal with this financially?</t>
        </is>
      </c>
      <c r="C3317" t="inlineStr">
        <is>
          <t>I am confirmed positive.  Mild symptoms so far.  More worried about paying my bills than this getting worse, which is sad in itself.  I'm a bartender so I get by off of tips.  Had a few emergencies recently that blew through my savings.  No idea how I'm going to make my car payment this month or any of my other bills.  I have a toddler and luckily had stocked up on diapers and have plenty of food, but enough for about 2 weeks.  Is there any emergency assistance?  I'm still employed technically so I don't believe I can even file for unemployment.  What did you all do to help financially if you were in a similar spot to me?
Sorry if this is out of place.  Not asking for any sort of handout whatsoever, just looking for advice.</t>
        </is>
      </c>
      <c r="D3317" t="n">
        <v>1</v>
      </c>
      <c r="E3317" t="n">
        <v>6</v>
      </c>
      <c r="F3317">
        <f>HYPERLINK("https://www.reddit.com/r/COVID19positive/comments/hswo1q/how_did_you_deal_with_this_financially/")</f>
        <v/>
      </c>
      <c r="G3317" t="inlineStr">
        <is>
          <t>2020-07-17 07:30:43</t>
        </is>
      </c>
      <c r="H3317" t="inlineStr">
        <is>
          <t>Tested Positive - Me</t>
        </is>
      </c>
    </row>
    <row r="3318">
      <c r="A3318" t="inlineStr">
        <is>
          <t>hswr23</t>
        </is>
      </c>
      <c r="B3318" t="inlineStr">
        <is>
          <t>Wife possibly has Covid. Waiting in results.</t>
        </is>
      </c>
      <c r="C3318" t="inlineStr">
        <is>
          <t>I'm honestly not sure if she has it.  She's had shortness of breath, sinus pressure, coughing, runny nose, headaches, and extreme fatigue for almost ten days now.  No loss of smell or taste.  Mild fever.  She got tested 2 days ago.  We're waiting on the results now.  
The most likely way for her to have gotten it was from me.  I go to work everyday.  She's only left the house 5 times since early March.  The only thing I ever had was a really stiff neck that hurt badly on one side and felt really weak plus some headaches.  I honestly thought I just slept bad until it drug on for a week and my son started complaining about neck pain.  Then I thought viral meningitis until my wife got sick.  Does any of this sound familiar to anyone?
Like I said, I'm not sure if she has it.  I'm just curious if it went this way for anyone else.  Waiting on results sucks.</t>
        </is>
      </c>
      <c r="D3318" t="n">
        <v>1</v>
      </c>
      <c r="E3318" t="n">
        <v>3</v>
      </c>
      <c r="F3318">
        <f>HYPERLINK("https://www.reddit.com/r/COVID19positive/comments/hswr23/wife_possibly_has_covid_waiting_in_results/")</f>
        <v/>
      </c>
      <c r="G3318" t="inlineStr">
        <is>
          <t>2020-07-17 07:35:43</t>
        </is>
      </c>
      <c r="H3318" t="inlineStr">
        <is>
          <t>Presumed Positive - From Doctor</t>
        </is>
      </c>
    </row>
    <row r="3319">
      <c r="A3319" t="inlineStr">
        <is>
          <t>hsx895</t>
        </is>
      </c>
      <c r="B3319" t="inlineStr">
        <is>
          <t>Mild Case - 30 y/o F (who was very cautious)</t>
        </is>
      </c>
      <c r="C3319" t="inlineStr">
        <is>
          <t>I appreciate reading all the mild case stories on here, figured I would share mine. Like a lot of people, I've read so many tragic horror stories over the last few months, that I was terrified of what might happen if I tested positive.
About Me: Female, 30, A-, Average Build, smoker but other than that no pre-existing conditions
Timeline:
July 4th - Thought my dinner tasted weird, decided I was being paranoid.
July 5th - Woke up, complete loss of smell/taste, very mild nasal congestion (still chalked it up to allergies); scheduled a test but couldn't get one until the 10th
July 6th - 12th - Maintained complete loss of smell/taste, almost no congestion, sharp sinus pains, headaches, body aches, exhaustion, noticeable difficulty breathing when I went for a 2.5 mile walk on the 11th
July 13th - Received the call saying I tested positive; smell/taste began to return but come and go, mostly things smell bad...like burnt coffee or something
Today is July 17th and all I can say is that the smell/taste and fatigue (and brain fog, but honestly I think we're all mentally fogged up at this point in 2020) are the main thing I'm still struggling with. My smell and taste are maybe at 30%, but it also changes. Sometimes it's better, then disappears again. The fatigue is also all over the place. Yesterday I had my first burst of energy in over week, cleaned my apartment and went for a walk (usually go for long walks, but a single mile whipped my ass). Today I struggled to wake up, could have slept for a solid 12+ hours. I'm going to get re-tested next week and hoping I am further on the mend. I am a very stubborn person who does not like to even admit when I am sick.
Oh, and I mentioned being cautious. I was literally "that bitch" in the office who was vocally upset we were still working back in March when our company had the ability to allow remote work. We ended up getting sent home, then slowly began to stagger schedules/desks back inside the office. Even when I started showing up, I was the only person wearing a mask. Would sit far away from people, only came in 1 or 2 days a week. I've been the kind of person who wipes off cards, keys, wallet, phone when I leave stores. I have no clue how I got it...no one I know is sick, so it's either a random fluke (maybe I went to a store at the exact wrong moment in time and managed to pick it up even with the mask, etc) or I contracted it from someone asymptomatic. 
------------
TL;DR - Currently on day 12 since first symptom. Never had fever, cough, chest pain. Biggest symptoms were loss of smell/taste and exhaustion. Was very cautious, no idea where I got it. Feeling very hopeful with my experience so far.</t>
        </is>
      </c>
      <c r="D3319" t="n">
        <v>1</v>
      </c>
      <c r="E3319" t="n">
        <v>30</v>
      </c>
      <c r="F3319">
        <f>HYPERLINK("https://www.reddit.com/r/COVID19positive/comments/hsx895/mild_case_30_yo_f_who_was_very_cautious/")</f>
        <v/>
      </c>
      <c r="G3319" t="inlineStr">
        <is>
          <t>2020-07-17 08:03:32</t>
        </is>
      </c>
      <c r="H3319" t="inlineStr">
        <is>
          <t>Tested Positive</t>
        </is>
      </c>
    </row>
    <row r="3320">
      <c r="A3320" t="inlineStr">
        <is>
          <t>hsxfxz</t>
        </is>
      </c>
      <c r="B3320" t="inlineStr">
        <is>
          <t>Waiting onWaiting on first test results, scheduled for test today, should I go?</t>
        </is>
      </c>
      <c r="C3320" t="inlineStr">
        <is>
          <t>Symptoms started July 3rd, thought it was just allergies. Sore throat got worse and body aches, around July 11th all the other symptoms hit me at once, nausea, congestion, chest tightness, coughing, chest burning, body aches, fatigue, SOB. Called doctor and got tested Wednesday, I had scheduled a test with a pharmacy the week before for today. My doctor was able to get me in sooner so I took her test. 
I’m reading on here about all these false negatives and I was wondering if I should still go to the test today even though I’m still waiting on my results.  Two test results better than one? Will my insurance charge me out of pocket for second test?</t>
        </is>
      </c>
      <c r="D3320" t="n">
        <v>1</v>
      </c>
      <c r="E3320" t="n">
        <v>2</v>
      </c>
      <c r="F3320">
        <f>HYPERLINK("https://www.reddit.com/r/COVID19positive/comments/hsxfxz/waiting_onwaiting_on_first_test_results_scheduled/")</f>
        <v/>
      </c>
      <c r="G3320" t="inlineStr">
        <is>
          <t>2020-07-17 08:15:22</t>
        </is>
      </c>
      <c r="H3320" t="inlineStr">
        <is>
          <t>Presumed Positive - From Doctor</t>
        </is>
      </c>
    </row>
    <row r="3321">
      <c r="A3321" t="inlineStr">
        <is>
          <t>hsyc0t</t>
        </is>
      </c>
      <c r="B3321" t="inlineStr">
        <is>
          <t>Sick again (relapse?) for past 21 days. No antibodies, no test results, no answers.</t>
        </is>
      </c>
      <c r="C3321" t="inlineStr">
        <is>
          <t>36 f, 140 lb, no history of asthma. Low thyroid. Not active. 
Before this i hadnt had bronchitis since i was 10 years old. I never get chest pain when im sick. 
March 31st to may 6th i was sick with chest pain,  shortness of breath, dry cough, some deep muscle aches in the middle. I got pleurisy.  Riding an exercise bike for 5 min gave me bronchospasms.  Horrible fatigue (thats what lasted the longest)   No tests were available. 
Then it lifted. 
I got an antibody test. Negative.  Doctor says i definitely didnt have it.  I find it very odd to develop respiratory issues for the first time at the age of 36 in March of 2020. Not impossible though 
June 26th i did a lot of talking for my job and the chest pain started. Then fine. June 28th chest pain back with deep cough that an albuterol inhaler would not relieve.  June 30th doctor does a throat swab for covid.  (Did incorrectly and i got results of an error). Then muscle aches started again. Mild fever for a few days.  Then mostly fine for 2 days. BAM. back to being miserable and so fatigued i have to lean on the sink to brush my teeth. Showering hurts because everything hurts.  My arms hurt like i got shots in them earlier. Tylenol didnt help.  Went to urgent care july 14th for a test and had a 101 fever.  She gives me benzoatate, another albuterol inhaler and singulair.  
Muscle pain started to let up last night but the sharp chest pains have returned. 
Ive had 3 tests in the last 18 days and no results. First test was sent in incorrectly. Second was from cvs and im on day 12 with no results. Even checking Quest website. I went to urgent care on Tuesday with a 101 fever and the deep nasal swab but no results yet. Im not mad about that im just feeling hopeless.  Im still sick. 
If i dont have covid theres still something definitely wrong. This time feels a lot like the first time Im on day 21 of being sick. Last time it was 40 days. Its affecting a small business i just started that was beginning to flourish.   Dont know what i need. Maybe just support.</t>
        </is>
      </c>
      <c r="D3321" t="n">
        <v>1</v>
      </c>
      <c r="E3321" t="n">
        <v>13</v>
      </c>
      <c r="F3321">
        <f>HYPERLINK("https://www.reddit.com/r/COVID19positive/comments/hsyc0t/sick_again_relapse_for_past_21_days_no_antibodies/")</f>
        <v/>
      </c>
      <c r="G3321" t="inlineStr">
        <is>
          <t>2020-07-17 09:04:33</t>
        </is>
      </c>
      <c r="H3321" t="inlineStr">
        <is>
          <t>Presumed Positive - From Doctor</t>
        </is>
      </c>
    </row>
    <row r="3322">
      <c r="A3322" t="inlineStr">
        <is>
          <t>hsymty</t>
        </is>
      </c>
      <c r="B3322" t="inlineStr">
        <is>
          <t>Anybody get pressure/pain around your temples or top of the head after exercising too hard?</t>
        </is>
      </c>
      <c r="C3322" t="inlineStr">
        <is>
          <t>Every so often, if I walk uphill and too fast, I start to feel my upper chest and throat “tighten” and I feel a pressure or pain that travels up my neck to my temples. And to the top of my head. It feels like possibly oxygen isn’t getting delivered fast enough. I have to sit down to rest so I can let it catch up with me. 
I have been recovering from long haul stuff since February. And I’ve been feeling great the last couple weeks, but I feel this at times and sometimes it’s concerning, but I also want to know if anybody else feels it. 
Thank you friends</t>
        </is>
      </c>
      <c r="D3322" t="n">
        <v>1</v>
      </c>
      <c r="E3322" t="n">
        <v>8</v>
      </c>
      <c r="F3322">
        <f>HYPERLINK("https://www.reddit.com/r/COVID19positive/comments/hsymty/anybody_get_pressurepain_around_your_temples_or/")</f>
        <v/>
      </c>
      <c r="G3322" t="inlineStr">
        <is>
          <t>2020-07-17 09:20:29</t>
        </is>
      </c>
      <c r="H3322" t="inlineStr">
        <is>
          <t>Presumed Positive - From Doctor</t>
        </is>
      </c>
    </row>
    <row r="3323">
      <c r="A3323" t="inlineStr">
        <is>
          <t>hszlsz</t>
        </is>
      </c>
      <c r="B3323" t="inlineStr">
        <is>
          <t>Dad (63) mom(59) bro (26) downsyndrome bro (23) me(21) bro (18) niece (4) have all recovered</t>
        </is>
      </c>
      <c r="C3323" t="inlineStr">
        <is>
          <t>Like I said, covid swept through the family. Dad is type 2 diabetic, both parents overweight, and one brother is downsyndrome. Glad to say everyone has seemingly fully recovered. My parents had far worse symptoms then anyone else, such as fatigue, fever, and we're feeling super sick. I had    eye pain, and the worst cough, but no fever or fatigue. Everyone else had some fatigue and fever but no cough. I initially was very worried for my downsyndrome bro as they're prone to lung and heart issues, but he pulled through great. Feel free to ask questions.</t>
        </is>
      </c>
      <c r="D3323" t="n">
        <v>1</v>
      </c>
      <c r="E3323" t="n">
        <v>153</v>
      </c>
      <c r="F3323">
        <f>HYPERLINK("https://www.reddit.com/r/COVID19positive/comments/hszlsz/dad_63_mom59_bro_26_downsyndrome_bro_23_me21_bro/")</f>
        <v/>
      </c>
      <c r="G3323" t="inlineStr">
        <is>
          <t>2020-07-17 10:11:48</t>
        </is>
      </c>
      <c r="H3323" t="inlineStr">
        <is>
          <t>Tested Positive</t>
        </is>
      </c>
    </row>
    <row r="3324">
      <c r="A3324" t="inlineStr">
        <is>
          <t>ht0476</t>
        </is>
      </c>
      <c r="B3324" t="inlineStr">
        <is>
          <t>I'm literally going crazy would love someone to step in and let me know it's not just me. This is my story.</t>
        </is>
      </c>
      <c r="C3324" t="inlineStr">
        <is>
          <t>Background info: I grew up in government run facilities so I was inside most of my life which may explain why when I signed myself out of social services care at the age of 18 I developed severe allergies to almost everything. It was manageable till about a few years ago when I couldn't deal with the constant nose clogging at night and the urge to take dayquil almost daily. I saw an ENT who said I have very clogged sinuses and scheduled a surgery (sinuplasty and turbinate reduction) to help me breath also to start allergy shots. After the surgery I could finally breath again and the allergy shots coupled with 2 nasal sprays twice a day and an allergy pill daily seemed to help lots. I'd still get congested but at least I could always breathe through my nose. My family was used to me always complaining of sinus infections though, this is important for later in the story.
Fast forward to about two weeks ago. I go and visit my son who lives in the same state and we play with a kite at the park. I take him home then I head home. That night I'm super congested and I don't feel right in like omg what's going on I feel like I'm coming down with something I also feel hot so take my temp, it's normal, so I discount it and think it must be allergies from being outside in the park. I go to bed. Next day I wake up feeling just a little congested but better then the night before. But, that night the same congestion comes back and remains for the next few days. With coronavirus going around I keep taking my temp but all is normal. Oh great another sinus infection I think to myself, guess the surgery didn't do jack. Everyone around me is freaking thinking I have corona I keep saying no it's just allergies but decide to self quarantine anyway. I tell myself if I'm not better in a few days I'll go to the doctor. At day 4 of congestion I get a almost 24/7 barrage of phlegm in my throat just to where everytime I swallowed or cleared my throat it immediately came back. I spit it out to look at it filling almost a half a water bottle of if (Sorry if TMI). It was clear. Clear but thick, ok, I thought clear means no infection and I have no temp so no coronavirus so I go to the doctor the next day at day 5 of symptoms. It's a walk on, he asks my symptoms I tell him sinus congestion, and a little tightness in my chest and constant post nasal drip. He says deff sounds like a sinus infection. I ask for a script to get tested for coronavirus just in case he says, "I don't think it's coronavirus because your symptoms don't match but I'll give you a script anyway if it makes you feel better". I take the script to get tested along with a script for antibiotics and steroids to help clear the phlegm he said. I get home still congested take my temp again still normal check my phlegm still clear and think ok maybe it is a sinus infection. I got to bed. 4 days later on antibiotics and steroids and still no better I start thinking I need to get tested so set up to get tested the next day which will be day 10 of my symptoms also by this time my chest is noticably tighter and I feel SOB faster then normal like when I exercise. So I get tested and go home. That night my chest starts hurting randomly and mildly. But considering it's day 10 of symptoms I think, no way it's coronavirus because I'm on day 10 why would my chest start hurting now? I think I slept wrong and forget it. But the next two days it still hurts. So yesterday I go to the ER and they test for everything, say everything is normal and maybe it's a symptom of covid-19 or my sinus infection but not to worry unless it gets worse and no way to tell till my test results come in. Also I'm still yet to shake this post nasal drip. I'm on day 13 and woke up with a headache still have post nasal drip but chest tightness feels a lil better and barely any chest pains. I'm just so confused I never lost my taste or smell, never ran a fever, and only cough here and there. I think the most concerning is the chest pain symptom showing up to the party so late. Idk what to think now so I'm just sitting here in self isolation, waiting on test results, Wondering if anyone else in this world is having the exact same thing going on as me.</t>
        </is>
      </c>
      <c r="D3324" t="n">
        <v>1</v>
      </c>
      <c r="E3324" t="n">
        <v>4</v>
      </c>
      <c r="F3324">
        <f>HYPERLINK("https://www.reddit.com/r/COVID19positive/comments/ht0476/im_literally_going_crazy_would_love_someone_to/")</f>
        <v/>
      </c>
      <c r="G3324" t="inlineStr">
        <is>
          <t>2020-07-17 10:39:10</t>
        </is>
      </c>
      <c r="H3324" t="inlineStr">
        <is>
          <t>Presumed Positive - From Doctor</t>
        </is>
      </c>
    </row>
    <row r="3325">
      <c r="A3325" t="inlineStr">
        <is>
          <t>ht0482</t>
        </is>
      </c>
      <c r="B3325" t="inlineStr">
        <is>
          <t>I'm literally going crazy would love someone to step in and let me know it's not just me. This is my story.</t>
        </is>
      </c>
      <c r="C3325" t="inlineStr">
        <is>
          <t>Background info: I grew up in government run facilities so I was inside most of my life which may explain why when I signed myself out of social services care at the age of 18 I developed severe allergies to almost everything. It was manageable till about a few years ago when I couldn't deal with the constant nose clogging at night and the urge to take dayquil almost daily. I saw an ENT who said I have very clogged sinuses and scheduled a surgery (sinuplasty and turbinate reduction) to help me breath also to start allergy shots. After the surgery I could finally breath again and the allergy shots coupled with 2 nasal sprays twice a day and an allergy pill daily seemed to help lots. I'd still get congested but at least I could always breathe through my nose. My family was used to me always complaining of sinus infections though, this is important for later in the story.
Fast forward to about two weeks ago. I go and visit my son who lives in the same state and we play with a kite at the park. I take him home then I head home. That night I'm super congested and I don't feel right in like omg what's going on I feel like I'm coming down with something I also feel hot so take my temp, it's normal, so I discount it and think it must be allergies from being outside in the park. I go to bed. Next day I wake up feeling just a little congested but better then the night before. But, that night the same congestion comes back and remains for the next few days. With coronavirus going around I keep taking my temp but all is normal. Oh great another sinus infection I think to myself, guess the surgery didn't do jack. Everyone around me is freaking thinking I have corona I keep saying no it's just allergies but decide to self quarantine anyway. I tell myself if I'm not better in a few days I'll go to the doctor. At day 4 of congestion I get a almost 24/7 barrage of phlegm in my throat just to where everytime I swallowed or cleared my throat it immediately came back. I spit it out to look at it filling almost a half a water bottle of if (Sorry if TMI). It was clear. Clear but thick, ok, I thought clear means no infection and I have no temp so no coronavirus so I go to the doctor the next day at day 5 of symptoms. It's a walk on, he asks my symptoms I tell him sinus congestion, and a little tightness in my chest and constant post nasal drip. He says deff sounds like a sinus infection. I ask for a script to get tested for coronavirus just in case he says, "I don't think it's coronavirus because your symptoms don't match but I'll give you a script anyway if it makes you feel better". I take the script to get tested along with a script for antibiotics and steroids to help clear the phlegm he said. I get home still congested take my temp again still normal check my phlegm still clear and think ok maybe it is a sinus infection. I got to bed. 4 days later on antibiotics and steroids and still no better I start thinking I need to get tested so set up to get tested the next day which will be day 10 of my symptoms also by this time my chest is noticably tighter and I feel SOB faster then normal like when I exercise. So I get tested and go home. That night my chest starts hurting randomly and mildly. But considering it's day 10 of symptoms I think, no way it's coronavirus because I'm on day 10 why would my chest start hurting now? I think I slept wrong and forget it. But the next two days it still hurts. So yesterday I go to the ER and they test for everything, say everything is normal and maybe it's a symptom of covid-19 or my sinus infection but not to worry unless it gets worse and no way to tell till my test results come in. Also I'm still yet to shake this post nasal drip. I'm on day 13 and woke up with a headache still have post nasal drip but chest tightness feels a lil better and barely any chest pains. I'm just so confused I never lost my taste or smell, never ran a fever, and only cough here and there. I think the most concerning is the chest pain symptom showing up to the party so late. Idk what to think now so I'm just sitting here in self isolation, waiting on test results, Wondering if anyone else in this world is having the exact same thing going on as me.</t>
        </is>
      </c>
      <c r="D3325" t="n">
        <v>1</v>
      </c>
      <c r="E3325" t="n">
        <v>3</v>
      </c>
      <c r="F3325">
        <f>HYPERLINK("https://www.reddit.com/r/COVID19positive/comments/ht0482/im_literally_going_crazy_would_love_someone_to/")</f>
        <v/>
      </c>
      <c r="G3325" t="inlineStr">
        <is>
          <t>2020-07-17 10:39:12</t>
        </is>
      </c>
      <c r="H3325" t="inlineStr">
        <is>
          <t>Presumed Positive - From Doctor</t>
        </is>
      </c>
    </row>
    <row r="3326">
      <c r="A3326" t="inlineStr">
        <is>
          <t>ht0ehu</t>
        </is>
      </c>
      <c r="B3326" t="inlineStr">
        <is>
          <t>"Recovered" patient here, have to say I'm terrifed of developing neurological symptoms down the road</t>
        </is>
      </c>
      <c r="C3326" t="inlineStr">
        <is>
          <t>I've been recovered for almost three months now from a mild case, but I've been having various aches and pains lately. More recently, neck pain and a headache that only gets worse when wearing a mask, and muscle twitching. 
And with the latest reports that even mild cases can develop neurological symptoms afterwards, I'm scared I'll develop MS or ALS or something.
I've spoken to a neurologist and am getting a full neurological exam, but this whole thing is scary, and it's turned me into a hypochondriac.</t>
        </is>
      </c>
      <c r="D3326" t="n">
        <v>1</v>
      </c>
      <c r="E3326" t="n">
        <v>28</v>
      </c>
      <c r="F3326">
        <f>HYPERLINK("https://www.reddit.com/r/COVID19positive/comments/ht0ehu/recovered_patient_here_have_to_say_im_terrifed_of/")</f>
        <v/>
      </c>
      <c r="G3326" t="inlineStr">
        <is>
          <t>2020-07-17 10:54:46</t>
        </is>
      </c>
      <c r="H3326" t="inlineStr">
        <is>
          <t>Tested Positive - Me</t>
        </is>
      </c>
    </row>
    <row r="3327">
      <c r="A3327" t="inlineStr">
        <is>
          <t>ht0wrd</t>
        </is>
      </c>
      <c r="B3327" t="inlineStr">
        <is>
          <t>My family tested covid positive - I didn’t. I don’t know how to keep them safe.</t>
        </is>
      </c>
      <c r="C3327" t="inlineStr">
        <is>
          <t>Warning: long thread; i’m just really under a ton of emotional stress rn with the pandemic and this reddit group helped alot.
About two weeks ago, I woke up with 40 degree fever. I couldn’t stand up and felt body ache and chills. My mom was sick too, but she had sore throat and colds. My teen brother also had fever.
Needless to say, it was dawning on me that we might have it.
The next day, I felt better. So did my brother. I felt hopeful. But my 4 and 5 year old siblings fell ill with fever and colds.
My mom still had sore throat, she worked in an insurance company and she got herself tested. The next day, her results came back negative.
We were relieved. 
That’s also the day my stepdad started coughing and had a fever. 
I brushed it off, i mean, my mom is negative and we were both sick at the same time so it must’ve been just a seasonal flu. I even went out to get new eyeglasses made at the mall.
Two days later, my stepdad still couldn’t stop coughing. My mom forced him to get tested. He was positive.
I felt fear. I felt careless for going to the mall. Each of us got tested next, I had mine in a separate testing drive that’s much cheaper cause my hmo doesn’t cover the swab test.
I walked from my city to the next just to get it done without infecting anyone if I do have it. 
My little siblings and teen brother all tested positive. 
My results didn’t come till the following morning, I fully expected it to be positive too. I even packed my stuff to go wherever I can quarantine in until I recover.
I felt a huge weight off my chest when I tested positive.
Luckily, our next door apartment was vacant and the owner allowed us to rent it out for home quarantine. My family stays there now. 
My mom and I bring them food through the gate everyday and launder their clothes. It just sucks to see my little siblings get swabbed the first time around and they have to go through it again next week.
I’m just thankful they’re all asymptomatic, albeit my stepdad (who coughed inside our house all weekend without a mask, infecting the littles) still has dry cough and scratchy throat.
The government here in the PH just released a statement that they’re gonna go house to house in search for home quarantined positive patients. They’re bringing them to a facility... where people with worse state of health are staying.
And its the military or police who are gonna go house to house. It feels like we’re harboring criminals you know. The neighbors have even reported us for renting a space for quarantine. The government even compared covid positive patients to criminals and those exposed to them like I am is an “accomplice”
Idk when this pandemic will end. I hope it does soon because my mental health is deteriorating day by day.
Please wear a mask when you have coughs. Do it to protect the people around you. Stay safe indoors and drink vitamins. I hope we get through this.</t>
        </is>
      </c>
      <c r="D3327" t="n">
        <v>1</v>
      </c>
      <c r="E3327" t="n">
        <v>11</v>
      </c>
      <c r="F3327">
        <f>HYPERLINK("https://www.reddit.com/r/COVID19positive/comments/ht0wrd/my_family_tested_covid_positive_i_didnt_i_dont/")</f>
        <v/>
      </c>
      <c r="G3327" t="inlineStr">
        <is>
          <t>2020-07-17 11:21:56</t>
        </is>
      </c>
      <c r="H3327" t="inlineStr">
        <is>
          <t>Tested Positive - Family</t>
        </is>
      </c>
    </row>
    <row r="3328">
      <c r="A3328" t="inlineStr">
        <is>
          <t>ht19ho</t>
        </is>
      </c>
      <c r="B3328" t="inlineStr">
        <is>
          <t>Could this be a covid19 symptom or something else possibly more sinister?</t>
        </is>
      </c>
      <c r="C3328" t="inlineStr">
        <is>
          <t>So I’m recovering from Covid19 and I feel 90% better but today as I was taking a stroll outside my house in the neighborhood, I felt this sudden dizziness, loss of balance sensation and I was almost gonna fall, and the weird thing about it is that it wasn’t accompanied by any other symptoms like shortness of breath, facial numbness, headache/migraine or fast heartbeat, which makes it even more unusual. Has anyone else experienced this?</t>
        </is>
      </c>
      <c r="D3328" t="n">
        <v>1</v>
      </c>
      <c r="E3328" t="n">
        <v>10</v>
      </c>
      <c r="F3328">
        <f>HYPERLINK("https://www.reddit.com/r/COVID19positive/comments/ht19ho/could_this_be_a_covid19_symptom_or_something_else/")</f>
        <v/>
      </c>
      <c r="G3328" t="inlineStr">
        <is>
          <t>2020-07-17 11:41:07</t>
        </is>
      </c>
      <c r="H3328" t="inlineStr">
        <is>
          <t>Tested Positive - Me</t>
        </is>
      </c>
    </row>
    <row r="3329">
      <c r="A3329" t="inlineStr">
        <is>
          <t>ht1lnk</t>
        </is>
      </c>
      <c r="B3329" t="inlineStr">
        <is>
          <t>Anyone think foods taste different now!</t>
        </is>
      </c>
      <c r="C3329" t="inlineStr">
        <is>
          <t>Does anyone else think that food tastes different? I ate a sandwich for the first time in months today, I made it as I always make it. It tasted different and I ended up feeding it to my husband. I am a long termer and I have noticed this a lot lately.  Just wondering if this is anyone else’s experience. Thanks!</t>
        </is>
      </c>
      <c r="D3329" t="n">
        <v>1</v>
      </c>
      <c r="E3329" t="n">
        <v>9</v>
      </c>
      <c r="F3329">
        <f>HYPERLINK("https://www.reddit.com/r/COVID19positive/comments/ht1lnk/anyone_think_foods_taste_different_now/")</f>
        <v/>
      </c>
      <c r="G3329" t="inlineStr">
        <is>
          <t>2020-07-17 11:59:28</t>
        </is>
      </c>
      <c r="H3329" t="inlineStr">
        <is>
          <t>Tested Positive - Me</t>
        </is>
      </c>
    </row>
    <row r="3330">
      <c r="A3330" t="inlineStr">
        <is>
          <t>ht1mil</t>
        </is>
      </c>
      <c r="B3330" t="inlineStr">
        <is>
          <t>New smell is gross</t>
        </is>
      </c>
      <c r="C3330" t="inlineStr">
        <is>
          <t>I got my first symptoms of COVID on March 23rd. Two days later, zero smell or taste. Only way I could “taste” my food was if I dumped hot sauce and vinegar on it. 
Two weeks later when I finished my quarantine, my smell had slowly improved so I could sort of smell peppermint oil if I put it directly under my nose. 
Almost four months later, I can generally smell (and name correctly) things if it’s right under my nose. But I wouldn’t notice if the trash bin was smelling up the kitchen, that sort of thing was too subtle. And generally speaking, all smells are missing components to them. Basil doesn’t smell as nice as it used to. My rose perfume feels shallow somehow, not full bodied. 
Fast forward to 10 days ago, I had horrible allergies and couldn’t stop sneezing all day. Took some medicine to help control the sneezing and runny nose. The next day, my nose was back to manageable, but I noticed my smell had gotten worse. 
What’s WEIRD is that now I have one scent that comes up with all things “savory”, and it’s really unpleasant. It doesn’t resemble a smell that I experienced before COVID, so I have trouble describing it. But it’s like if someone took walnuts, roasted them and mashed them with blue cheese, and roasted it all together. It’s pungent, strong, gross. It’s improved a little bit over the past week, but walking into Starbucks today, all I could smell was this “smell”. Garlic also triggers it very strongly. This is maybe TMI but even my poop smells like it. So you can imagine how much this affects my appetite. 
My best guess is that my nasal epithelial cells got disrupted from my incessant sneezing and nose blowing, and regressed. But what I don’t understand is this new scent I smell everywhere. 
Anyone have similar experiences? And any advice on how to attempt treating this?</t>
        </is>
      </c>
      <c r="D3330" t="n">
        <v>1</v>
      </c>
      <c r="E3330" t="n">
        <v>18</v>
      </c>
      <c r="F3330">
        <f>HYPERLINK("https://www.reddit.com/r/COVID19positive/comments/ht1mil/new_smell_is_gross/")</f>
        <v/>
      </c>
      <c r="G3330" t="inlineStr">
        <is>
          <t>2020-07-17 12:00:40</t>
        </is>
      </c>
      <c r="H3330" t="inlineStr">
        <is>
          <t>Presumed Positive - From Doctor</t>
        </is>
      </c>
    </row>
    <row r="3331">
      <c r="A3331" t="inlineStr">
        <is>
          <t>ht1zu5</t>
        </is>
      </c>
      <c r="B3331" t="inlineStr">
        <is>
          <t>My Timeline of Symptoms</t>
        </is>
      </c>
      <c r="C3331" t="inlineStr">
        <is>
          <t>Symptoms Timeline
July 2-5th spent weekend with family (total of 7 adults and 3 kids) and we were indirectly exposed through a family member who had unknowingly just seen a COVID positive friend.  
July 11th - Husband has fever, cough, sore throat, headache, chills, body aches 
July 12th - I am coughy - all day , small not productive coughs. We get tested but they say results will take 7-10 days!
July 13th - 99.0 Fever at 7:30am, huge headache, sore throat, chills, etc. took Advil and felt better. The cough still there. No fever again until 5:30pm - 99.3 where I started to get chills and body aches in addition to the cough and sore throat this was the worse I felt 
6:30- got up to 100.1 so I took Advil again 
July 14th - 6am 99.4 - took Advil to get ahead of it still coughy, head ache, etc.
July 15th - No fever, felt like a cold, started to get congested.
July 16th - felt like a cold, lost sense of taste and smell. My husband felt good enough to mow. 
July 17th - results came back positive, feel worse than yesterday. No taste or smell, headache that won’t go away, cough, sinus pressure, body aches, slight stomach cramps/pain. I feel like I can’t concentrate. Taking afternoon off from work from home.
Overall I feel like I have a mild case. The no smell and taste is bizarre. It feels like a sinus infection today but it seems like it changes day to day.</t>
        </is>
      </c>
      <c r="D3331" t="n">
        <v>1</v>
      </c>
      <c r="E3331" t="n">
        <v>5</v>
      </c>
      <c r="F3331">
        <f>HYPERLINK("https://www.reddit.com/r/COVID19positive/comments/ht1zu5/my_timeline_of_symptoms/")</f>
        <v/>
      </c>
      <c r="G3331" t="inlineStr">
        <is>
          <t>2020-07-17 12:20:44</t>
        </is>
      </c>
      <c r="H3331" t="inlineStr">
        <is>
          <t>Tested Positive - Me</t>
        </is>
      </c>
    </row>
    <row r="3332">
      <c r="A3332" t="inlineStr">
        <is>
          <t>ht20uv</t>
        </is>
      </c>
      <c r="B3332" t="inlineStr">
        <is>
          <t>1 month in, got a call that I am still positive. How do you deal with the hopelessness?</t>
        </is>
      </c>
      <c r="C3332" t="inlineStr">
        <is>
          <t>Hello fellow redditors,
Today is my Day 28 since the first COVID symptoms appeared. I got my second test on Day 26. It came back positive a few hours ago. :(
I have no idea what to do anymore. I am 29 years old, with a healthy body weight and a physically active lifestyle pre-COVID. The second positive result, after almost a month of this illness, has left me baffled and I am panicking. Is my immune system not good? Am I contagious? What the hell is going to happen next? Doctors didn't tell much except to maintain self-isolation and to keep doing what you've been doing for the last few weeks. Luckily, my chest X-rays were normal.
I have been reading up the long-haul cases here, but I'll be honest - never thought I'd be going through the same. It is a much scarier thing once you have it due to all the uncertainties.
Do you have any advice for people like me?</t>
        </is>
      </c>
      <c r="D3332" t="n">
        <v>1</v>
      </c>
      <c r="E3332" t="n">
        <v>17</v>
      </c>
      <c r="F3332">
        <f>HYPERLINK("https://www.reddit.com/r/COVID19positive/comments/ht20uv/1_month_in_got_a_call_that_i_am_still_positive/")</f>
        <v/>
      </c>
      <c r="G3332" t="inlineStr">
        <is>
          <t>2020-07-17 12:22:17</t>
        </is>
      </c>
      <c r="H3332" t="inlineStr">
        <is>
          <t>Tested Positive - Me</t>
        </is>
      </c>
    </row>
    <row r="3333">
      <c r="A3333" t="inlineStr">
        <is>
          <t>ht2ma8</t>
        </is>
      </c>
      <c r="B3333" t="inlineStr">
        <is>
          <t>Flight attendant exposed at work. Recovered. But have I?</t>
        </is>
      </c>
      <c r="C3333" t="inlineStr">
        <is>
          <t>I was exposed at work about 3 weeks ago and came down with symptoms shortly after. Just wanted to post an update and say that I have recovered. 
I do have a few questions:
Despite a negative test, I still have headaches. How long will this go on for?
I also feel "flat" - emotionless. I can't say that I'm depressed, but I'm not the same. Anyone else feel like this? I had to force myself to interact with people at work. I was cleared to return to work - and I just feel weird. 
Thanks, everyone.</t>
        </is>
      </c>
      <c r="D3333" t="n">
        <v>1</v>
      </c>
      <c r="E3333" t="n">
        <v>2</v>
      </c>
      <c r="F3333">
        <f>HYPERLINK("https://www.reddit.com/r/COVID19positive/comments/ht2ma8/flight_attendant_exposed_at_work_recovered_but/")</f>
        <v/>
      </c>
      <c r="G3333" t="inlineStr">
        <is>
          <t>2020-07-17 12:53:56</t>
        </is>
      </c>
      <c r="H3333" t="inlineStr">
        <is>
          <t>Tested Positive - Me</t>
        </is>
      </c>
    </row>
    <row r="3334">
      <c r="A3334" t="inlineStr">
        <is>
          <t>ht3j74</t>
        </is>
      </c>
      <c r="B3334" t="inlineStr">
        <is>
          <t>Secondary infections post covid</t>
        </is>
      </c>
      <c r="C3334" t="inlineStr">
        <is>
          <t>To make a long fuckin story short, make sure y’all are getting adequate rest and fluids if you suspect you have the virus. 
I’m 28F, in shape, rarely get sick and last Thursday I was tested after having a few days of fatigue, sore throat, sneezing, loss of appetite. runny nose and finally body aches. Never did get the results. They said it’s probably covid, gave me antibiotics because apparently it’s been shown to be beneficial in covid patients and I started to feel better almost right away with just some fatigue for a few more days. 
Fast forward to two nights ago I started sneezing my ass off, runny nose. Thought it was allergies or a sensitivity to the fragrance of a household cleaner because I had just mopped my floors. Took three different meds and went to sleep. Woke up, same runny nose all day. This continued overnight and I started to feel more and more like shit. Went to doctor this morning and as I was telling her the timeline of events she kept shaking her head yes like she’d seen this a million times. 
She said that she’s had a ton of people come in with secondary infections due to covid. I have a bilateral ear infection and the early stages of bronchitis that we’re treating now and I feel worse than I did when I actively had covid. 
I have a long weekend to rest and recover thankfully but damn. If y’all feel like you have this, just be aware that you may develop something else right after. It’s not allergies or a cold. Follow your instincts and get treated for it before it becomes a huge thing.</t>
        </is>
      </c>
      <c r="D3334" t="n">
        <v>1</v>
      </c>
      <c r="E3334" t="n">
        <v>18</v>
      </c>
      <c r="F3334">
        <f>HYPERLINK("https://www.reddit.com/r/COVID19positive/comments/ht3j74/secondary_infections_post_covid/")</f>
        <v/>
      </c>
      <c r="G3334" t="inlineStr">
        <is>
          <t>2020-07-17 13:44:36</t>
        </is>
      </c>
      <c r="H3334" t="inlineStr">
        <is>
          <t>Presumed Positive - From Doctor</t>
        </is>
      </c>
    </row>
    <row r="3335">
      <c r="A3335" t="inlineStr">
        <is>
          <t>ht3x4m</t>
        </is>
      </c>
      <c r="B3335" t="inlineStr">
        <is>
          <t>Has anyone else developed rashes a few weeks after coming back positive?</t>
        </is>
      </c>
      <c r="C3335" t="inlineStr">
        <is>
          <t>I was tested positive over two weeks ago and felt fine throughout most of those two weeks. I was allowed to go back to work and I wore my mask to be safe. I came back home after the first day and I had a small rash on my nose and it has grown more and more around my face throughout the week. 
I want to make sure this a common symptom or I’m just experiencing a sweat rash from this heat.</t>
        </is>
      </c>
      <c r="D3335" t="n">
        <v>1</v>
      </c>
      <c r="E3335" t="n">
        <v>8</v>
      </c>
      <c r="F3335">
        <f>HYPERLINK("https://www.reddit.com/r/COVID19positive/comments/ht3x4m/has_anyone_else_developed_rashes_a_few_weeks/")</f>
        <v/>
      </c>
      <c r="G3335" t="inlineStr">
        <is>
          <t>2020-07-17 14:06:30</t>
        </is>
      </c>
      <c r="H3335" t="inlineStr">
        <is>
          <t>Tested Positive - Me</t>
        </is>
      </c>
    </row>
    <row r="3336">
      <c r="A3336" t="inlineStr">
        <is>
          <t>ht4e90</t>
        </is>
      </c>
      <c r="B3336" t="inlineStr">
        <is>
          <t>17F bad anxiety or covid ?? pls help ::((</t>
        </is>
      </c>
      <c r="C3336" t="inlineStr">
        <is>
          <t>About a month ago (June 15th) is when i started experiencing symptoms and i tested positive for covid on June 17. My worst symptoms (bad nausea, fatigue, diarrhea, ringing of ears) lasted about one week and it turned into feeling winded after over exertion which i think cleared up too after another week. i never had a cough or high fever. 
despite feeling like 95% better and back to normal my anxiety has only gotten worse.. i experience shortness of breath and fast heart rate and chest pain which is scary because that could be covid 19 symptoms which makes things worse for me.
i have pain in ribs and lung pain ??? (not too in regards to the pain just really scary) is there any chance that my covid could get worse or is this just my anxiety ?? and any suggestions on how to feel better ? 
i got my blood tested last week and it was still positive but im high for antibodies as well. please can someone help me.</t>
        </is>
      </c>
      <c r="D3336" t="n">
        <v>1</v>
      </c>
      <c r="E3336" t="n">
        <v>4</v>
      </c>
      <c r="F3336">
        <f>HYPERLINK("https://www.reddit.com/r/COVID19positive/comments/ht4e90/17f_bad_anxiety_or_covid_pls_help/")</f>
        <v/>
      </c>
      <c r="G3336" t="inlineStr">
        <is>
          <t>2020-07-17 14:32:40</t>
        </is>
      </c>
      <c r="H3336" t="inlineStr">
        <is>
          <t>Tested Positive - Me</t>
        </is>
      </c>
    </row>
    <row r="3337">
      <c r="A3337" t="inlineStr">
        <is>
          <t>ht4w31</t>
        </is>
      </c>
      <c r="B3337" t="inlineStr">
        <is>
          <t>My mom almost died, and still might.</t>
        </is>
      </c>
      <c r="C3337" t="inlineStr">
        <is>
          <t>I hate this virus. My mom is still fighting COVID-19 in the hospital. She was stable in Telemetry but now back to unstable status due to rising CPR inflammation numbers (up to 103 now). I hope my mom is going to make it, but I wish I could be certain. My family and I are hurting badly right now.
Underlying conditions:
59 years old, obesity, obstructive sleep apnea, diabetes, asthma.
Timeline:
6/28 first symptoms felt. coughing, shortness of breath (SOB)
7/3 went to urgent care, then immediately moved to closest ER with SOB and low oxygen
7/4 ICU. On BiPAP at 100% and difficulty maintaining o2 levels. In doctor's words, very critical. CPR inflammation peaked around 125 I think.
7/5 ICU. On BiPAP at 100% and difficulty maintaining o2 levels above 90. We agreed to remdesivir 5 day treatment. Calls in the night, doctors discussing if ventilator was necessary, ultimately stayed on BiPAP maxed.
7/6 ICU. On BiPAP at 100% and difficulty maintaining o2 levels. Convalescent plasma ordered. Calls in the night, doctors discussing if ventilator was necessary, ultimately stayed on BiPAP maxed.
7/7-7/12 ICU, but slowly inflammation CPR score went down, lowest being 10. Lung X-rays looked worse over time, but maintaining o2 in 90s with BiPAP down to 70-80%. Clinically improved enough to move out of ICU.
7/12-717 Lung X-rays show no improvement (fluid, inflammation?), but rebreather mask on 15L effective during the day, BiPAP at night. Clinically some improvement, but internals still not good. Inflammation score up to 103 and fever increased from 100.2 to 101.2 over last two days. Planning to try Actemra to suppress immune response, now considered unstable medically.</t>
        </is>
      </c>
      <c r="D3337" t="n">
        <v>1</v>
      </c>
      <c r="E3337" t="n">
        <v>22</v>
      </c>
      <c r="F3337">
        <f>HYPERLINK("https://www.reddit.com/r/COVID19positive/comments/ht4w31/my_mom_almost_died_and_still_might/")</f>
        <v/>
      </c>
      <c r="G3337" t="inlineStr">
        <is>
          <t>2020-07-17 15:00:01</t>
        </is>
      </c>
      <c r="H3337" t="inlineStr">
        <is>
          <t>Tested Positive - Family</t>
        </is>
      </c>
    </row>
    <row r="3338">
      <c r="A3338" t="inlineStr">
        <is>
          <t>ht56ff</t>
        </is>
      </c>
      <c r="B3338" t="inlineStr">
        <is>
          <t>One week before symptoms?</t>
        </is>
      </c>
      <c r="C3338" t="inlineStr">
        <is>
          <t>21F. Tested positive about a week ago and have been staying in isolation ever since. I was feeling fine all week and had no symptoms until today. Today, I’m running a fever of 101 and am starting to feel nauseous. Anyone else take a while to develop any symptoms after testing positive?</t>
        </is>
      </c>
      <c r="D3338" t="n">
        <v>1</v>
      </c>
      <c r="E3338" t="n">
        <v>2</v>
      </c>
      <c r="F3338">
        <f>HYPERLINK("https://www.reddit.com/r/COVID19positive/comments/ht56ff/one_week_before_symptoms/")</f>
        <v/>
      </c>
      <c r="G3338" t="inlineStr">
        <is>
          <t>2020-07-17 15:16:34</t>
        </is>
      </c>
      <c r="H3338" t="inlineStr">
        <is>
          <t>Tested Positive - Me</t>
        </is>
      </c>
    </row>
    <row r="3339">
      <c r="A3339" t="inlineStr">
        <is>
          <t>ht5ayt</t>
        </is>
      </c>
      <c r="B3339" t="inlineStr">
        <is>
          <t>GERD from CovCovid</t>
        </is>
      </c>
      <c r="C3339" t="inlineStr">
        <is>
          <t>Has anyone that got GERD from covid (or as a result of) recovered from it once recovering from Covid? Or is this something I’m potentially stuck with for life? 
And I have a silent type with no pain, it’s sneaky, I guess no pain is better but it took months for me to figure out what it was. Weird feeling coming up from the top of my stomach into my throat: told doctor about it and he automatically went to “it sound like indigestion”. Then I get chest and throat  “congestion” after eating (doesn’t matter what). And I’m constantly having to clear my throat and have post nasal drip feeling (even with clear sinuses). So this all leads to LPR which is the silent version of GERD, was put on medication yesterday to try to help the symptoms. I’m hoping not to be on it forever, because I didn’t have problems before. 
Thoughts?</t>
        </is>
      </c>
      <c r="D3339" t="n">
        <v>1</v>
      </c>
      <c r="E3339" t="n">
        <v>6</v>
      </c>
      <c r="F3339">
        <f>HYPERLINK("https://www.reddit.com/r/COVID19positive/comments/ht5ayt/gerd_from_covcovid/")</f>
        <v/>
      </c>
      <c r="G3339" t="inlineStr">
        <is>
          <t>2020-07-17 15:23:53</t>
        </is>
      </c>
      <c r="H3339" t="inlineStr">
        <is>
          <t>Presumed Positive - From Doctor</t>
        </is>
      </c>
    </row>
    <row r="3340">
      <c r="A3340" t="inlineStr">
        <is>
          <t>ht7577</t>
        </is>
      </c>
      <c r="B3340" t="inlineStr">
        <is>
          <t>false negative?</t>
        </is>
      </c>
      <c r="C3340" t="inlineStr">
        <is>
          <t>Hi all. So here is my situation. I started feeling severe fatigue last Sunday so I went to urgent care. They did a finger prick test which revealed that I have IGM antibodies. The doctor told me these antibodies usually mean the person has early covid...my layman's understanding is they're the bad antibodies, not the good ones that show you've had covid and since recovered. He said that with the finger prick test and my symptoms, it was almost certain I have covid.
However, I just saw my nasal swab test online, and that came back negative. So on the one hand I've got the "bad" antibodies and the symptoms. On the other hand, the nasal swab was negative. I spoke to my aunt (a nurse), and she is inclined to think I am positive. She thinks that perhaps when I got the test, my RnA was not yet high enough to be detectable. 
I think she's right and I'm positive. After all, I'm still quite exhausted all day. However, any thoughts from the group would be most appreciated. Thanks very much!</t>
        </is>
      </c>
      <c r="D3340" t="n">
        <v>1</v>
      </c>
      <c r="E3340" t="n">
        <v>6</v>
      </c>
      <c r="F3340">
        <f>HYPERLINK("https://www.reddit.com/r/COVID19positive/comments/ht7577/false_negative/")</f>
        <v/>
      </c>
      <c r="G3340" t="inlineStr">
        <is>
          <t>2020-07-17 17:16:35</t>
        </is>
      </c>
      <c r="H3340" t="inlineStr">
        <is>
          <t>Presumed Positive - From Test</t>
        </is>
      </c>
    </row>
    <row r="3341">
      <c r="A3341" t="inlineStr">
        <is>
          <t>ht7goo</t>
        </is>
      </c>
      <c r="B3341" t="inlineStr">
        <is>
          <t>How long until you ended your quarantine?</t>
        </is>
      </c>
      <c r="C3341" t="inlineStr">
        <is>
          <t>I started having symptoms on July 4th and tested positive on the 9th. VDH recommends you stay quarantined for 10 days since your symptoms started, but I plan on waiting 10 days since my test so that means I could potentially end my quarantine on the 19th...but I just don’t know if I feel right doing so without a negative test result. 
I spoke to a nurse at my testing center about testing again and she advised that I could still get a positive test result without being contagious. 
Thoughts? How long did those of you wait before you went around people again?</t>
        </is>
      </c>
      <c r="D3341" t="n">
        <v>1</v>
      </c>
      <c r="E3341" t="n">
        <v>12</v>
      </c>
      <c r="F3341">
        <f>HYPERLINK("https://www.reddit.com/r/COVID19positive/comments/ht7goo/how_long_until_you_ended_your_quarantine/")</f>
        <v/>
      </c>
      <c r="G3341" t="inlineStr">
        <is>
          <t>2020-07-17 17:37:52</t>
        </is>
      </c>
      <c r="H3341" t="inlineStr">
        <is>
          <t>Tested Positive - Me</t>
        </is>
      </c>
    </row>
    <row r="3342">
      <c r="A3342" t="inlineStr">
        <is>
          <t>ht82ri</t>
        </is>
      </c>
      <c r="B3342" t="inlineStr">
        <is>
          <t>So I tested positive....</t>
        </is>
      </c>
      <c r="C3342" t="inlineStr">
        <is>
          <t>I tested positive. It’s been ten days with no symptoms and still test positive. The doctors gave me the okay to get back to normal life and that I’ll test positive for probably over a month but there won’t be enough viral bodies to infect anyone? Any opinions????</t>
        </is>
      </c>
      <c r="D3342" t="n">
        <v>1</v>
      </c>
      <c r="E3342" t="n">
        <v>12</v>
      </c>
      <c r="F3342">
        <f>HYPERLINK("https://www.reddit.com/r/COVID19positive/comments/ht82ri/so_i_tested_positive/")</f>
        <v/>
      </c>
      <c r="G3342" t="inlineStr">
        <is>
          <t>2020-07-17 18:20:39</t>
        </is>
      </c>
      <c r="H3342" t="inlineStr">
        <is>
          <t>Tested Positive - Me</t>
        </is>
      </c>
    </row>
    <row r="3343">
      <c r="A3343" t="inlineStr">
        <is>
          <t>ht8zjj</t>
        </is>
      </c>
      <c r="B3343" t="inlineStr">
        <is>
          <t>My Uncle just passed today after a month long battle with Covid. This is just after losing my Mom last month.</t>
        </is>
      </c>
      <c r="C3343" t="inlineStr">
        <is>
          <t>So these past two months have just devastated my family. First in June we all got tested positive for Covid and my mom and uncle got hit particularly hard. They both tried to recover at home but due to severe breathing difficulties they both had to be placed in a Covid ICU and intubated. My mom fought for 2 weeks but eventually developed complications and passed on June 26th. My uncle held on longer but had developed kidney failure and required dialysis as well. His condition was stable for a long time but he just couldn't shake the double pneumonia and started having blood pressure issues. He was on the ventilator and dialysis for over a month struggling to improve but today his blood pressure dropped too low and his body finally gave out. He was only 68. My mom was 61. They were the oldest living members in our direct family and the most high risk so we took every precaution to stay safe like wearing masks, social distancing, constant disinfection of surfaces and washing hands however our state of Arizona is so lit up from Covid right now it was almost inevitable that it would eventually hit us. Saddest thing is that a few months ago when they passed the first stimulus I jokingly said that it was "sorry you might not make it money", I didn't realize how true that statement would be until now... I'm just in a depression induced daze and feel helpless. I know the rest of us survived but we feel far from fine... Explaining all of this to my 4 year old daughter breaks my heart especially since she was so attached to my Mom and Uncle...</t>
        </is>
      </c>
      <c r="D3343" t="n">
        <v>1</v>
      </c>
      <c r="E3343" t="n">
        <v>131</v>
      </c>
      <c r="F3343">
        <f>HYPERLINK("https://www.reddit.com/r/COVID19positive/comments/ht8zjj/my_uncle_just_passed_today_after_a_month_long/")</f>
        <v/>
      </c>
      <c r="G3343" t="inlineStr">
        <is>
          <t>2020-07-17 19:24:35</t>
        </is>
      </c>
      <c r="H3343" t="inlineStr">
        <is>
          <t>Tested Positive - Family</t>
        </is>
      </c>
    </row>
    <row r="3344">
      <c r="A3344" t="inlineStr">
        <is>
          <t>ht9cmx</t>
        </is>
      </c>
      <c r="B3344" t="inlineStr">
        <is>
          <t>My dad tested positive yesterday</t>
        </is>
      </c>
      <c r="C3344" t="inlineStr">
        <is>
          <t>I guess I'm posting this as self-therapy and for internet data for all of you that might be curious.
My dad had a cough that started on July 11th. Prior to that, he had a pretty raspy voice which was pretty odd for about a week before the 11th. We cleaned out the garage on the 11th so we thought this was probably why he developed the cough. After cleaning the garage my throat got pretty dry. Extremely common for me and wouldn't think twice about it if this happened at any other point of my life. Especially since it's about 95 degrees + every day and windy. I'm also sleeping with my fan on and no A/C. He would cough maybe 10 times total each day. On the 15th, he had a low-grade fever. 100.4 at its highest and only lasted for about an hour. That was enough to cause alarm for me so I told him to get tested.
On July 16th he got tested and on the 17th he found out he was positive. on the 16th, all his symptoms were gone. Today he is still symptom-free. My wife, mom, and myself were tested yesterday and should get results back soon. We all live in the same household and have been around my dad every single day. He, of course, started self-quarantining himself on the 16th. The day he had a low-grade fever.
The only thing I'm feeling is a gross dry mouth and dry throat. My throat isn't sore but has the feeling like you slept with the window all night. My mouth just feels kinda dry and sticky. It's come and go since Saturday and it's currently really dry today. I've checked my temp every day since Monday and haven't gone higher than 99.5. I've been wearing my mask indoors and it's really hot so the moment I take it off and do my temp with the mask not being on my face it goes down to the low 98's.
My mom &amp;amp; wife feel completely normal.  
My dad, my wife, and my mom got so sick earlier in the year. My dad had a dry cough for two months and for the first 3 weeks he was the sickest I've ever seen him. My mom was sick at the same time and she was even worse than my dad. She was throwing up, high fever, went to the hospital, got an MRI and they found she had pneumonia. It took my mom 4 months to recover. My wife got the flu. It was pretty bad but not as bad as my parents. I took care of them during the process and didn't get sick from any of them. I did gargle every day and I've always been hardcore on Vitamin D. Keep in mind that this is before the states had any sort of concern about COVID-19.
I'm convinced they had COVID-19. We are all convinced  
That's the scoop ya'll
Stay tuned I guess for the next episode of this sucks praying it doesn't get worse lol</t>
        </is>
      </c>
      <c r="D3344" t="n">
        <v>1</v>
      </c>
      <c r="E3344" t="n">
        <v>9</v>
      </c>
      <c r="F3344">
        <f>HYPERLINK("https://www.reddit.com/r/COVID19positive/comments/ht9cmx/my_dad_tested_positive_yesterday/")</f>
        <v/>
      </c>
      <c r="G3344" t="inlineStr">
        <is>
          <t>2020-07-17 19:50:59</t>
        </is>
      </c>
      <c r="H3344" t="inlineStr">
        <is>
          <t>Tested Positive - Family</t>
        </is>
      </c>
    </row>
    <row r="3345">
      <c r="A3345" t="inlineStr">
        <is>
          <t>htac7j</t>
        </is>
      </c>
      <c r="B3345" t="inlineStr">
        <is>
          <t>Any one has sinusitis after recovery that won’t respond to antibiotics ?</t>
        </is>
      </c>
      <c r="C3345" t="inlineStr">
        <is>
          <t>I tested positive on 3 rd July and negative once on 11 th and once on 15 th July . 
Still have lingering sinusitis and it is getting worse and responds to no antibiotics ( tried 3 different antibiotics). My nose is blocked all the time . 
Can u pls sure ur case if u have similar symptoms?
🥺</t>
        </is>
      </c>
      <c r="D3345" t="n">
        <v>1</v>
      </c>
      <c r="E3345" t="n">
        <v>5</v>
      </c>
      <c r="F3345">
        <f>HYPERLINK("https://www.reddit.com/r/COVID19positive/comments/htac7j/any_one_has_sinusitis_after_recovery_that_wont/")</f>
        <v/>
      </c>
      <c r="G3345" t="inlineStr">
        <is>
          <t>2020-07-17 21:05:07</t>
        </is>
      </c>
      <c r="H3345" t="inlineStr">
        <is>
          <t>Tested Positive - Me</t>
        </is>
      </c>
    </row>
    <row r="3346">
      <c r="A3346" t="inlineStr">
        <is>
          <t>htajxq</t>
        </is>
      </c>
      <c r="B3346" t="inlineStr">
        <is>
          <t>Anyone have high heart rate go away?</t>
        </is>
      </c>
      <c r="C3346" t="inlineStr">
        <is>
          <t>Has anyone’s tachycardia passed? Which week did you see a change</t>
        </is>
      </c>
      <c r="D3346" t="n">
        <v>1</v>
      </c>
      <c r="E3346" t="n">
        <v>24</v>
      </c>
      <c r="F3346">
        <f>HYPERLINK("https://www.reddit.com/r/COVID19positive/comments/htajxq/anyone_have_high_heart_rate_go_away/")</f>
        <v/>
      </c>
      <c r="G3346" t="inlineStr">
        <is>
          <t>2020-07-17 21:22:04</t>
        </is>
      </c>
      <c r="H3346" t="inlineStr">
        <is>
          <t>Tested Positive - Me</t>
        </is>
      </c>
    </row>
    <row r="3347">
      <c r="A3347" t="inlineStr">
        <is>
          <t>htavws</t>
        </is>
      </c>
      <c r="B3347" t="inlineStr">
        <is>
          <t>Tested Positive on 2 year Anniversary, wife Positive today.</t>
        </is>
      </c>
      <c r="C3347" t="inlineStr">
        <is>
          <t>Hey Folks, as you can see from my title, both me and my wife tested positive for the Covid Virus. My wife has been having symptoms since last Friday and I started getting symptoms on Monday. We both initially thought it was a cold, but I was extremely fatigued on Monday which is abnormal for me. I took the test as a precaution and unfortunately it came back Positive.
I've read from here many of you have tested positive along with others in your household around the same time. What are some ways you all have been able to keep everyone's spirits up ? How have you been able to cope with your physical recoveries while also keeping your mental and emotional health from suffering ? 
Also feel free to share any great tea, or Covid therapeutic recipes. I'm open to any feedback and ideas. Also if you have any questions about the Medical/Science behind Covid please feel free to pick my brain. I'll be off for at least the next two weeks so I'll have plenty of time to chat.</t>
        </is>
      </c>
      <c r="D3347" t="n">
        <v>1</v>
      </c>
      <c r="E3347" t="n">
        <v>9</v>
      </c>
      <c r="F3347">
        <f>HYPERLINK("https://www.reddit.com/r/COVID19positive/comments/htavws/tested_positive_on_2_year_anniversary_wife/")</f>
        <v/>
      </c>
      <c r="G3347" t="inlineStr">
        <is>
          <t>2020-07-17 21:48:10</t>
        </is>
      </c>
      <c r="H3347" t="inlineStr">
        <is>
          <t>Tested Positive</t>
        </is>
      </c>
    </row>
    <row r="3348">
      <c r="A3348" t="inlineStr">
        <is>
          <t>htcmr4</t>
        </is>
      </c>
      <c r="B3348" t="inlineStr">
        <is>
          <t>Heat and stress causing flare ups after recovery?</t>
        </is>
      </c>
      <c r="C3348" t="inlineStr">
        <is>
          <t>I was really hoping I would be one of those cases that recovered and got on with my life, but it isn't looking that way. 
I dealt with some stressful nonsense my one day back at work. That weekend I started coughing and wheezing. This is three weeks after the last of the awful symptoms resolved and a week after my lingering nasal congestion cleared. It was weird, because I barely coughed when I was really sick.
I took off work and saw my doctor who sent me for another test. The wheezing cleared up and I felt fine the first week. The second week I was doing some gardening in the heat and began feeling horrible. Tired, achey, headache, shortness of breath, and like my heart was trying to jump out of my chest. I relaxed in the AC and started feeling better.
I got my negative test and caught another end of the week workday. I felt fine that day and the next. I went to the park on another hot day. I was fine picnicing and feeding ducks, but as soon as I tried going on a walk I felt awful again. It took me the rest of the afternoon to recover.
Is this a coincidence or am I going to feel terrible all summer and anytime something stressful happens?</t>
        </is>
      </c>
      <c r="D3348" t="n">
        <v>1</v>
      </c>
      <c r="E3348" t="n">
        <v>4</v>
      </c>
      <c r="F3348">
        <f>HYPERLINK("https://www.reddit.com/r/COVID19positive/comments/htcmr4/heat_and_stress_causing_flare_ups_after_recovery/")</f>
        <v/>
      </c>
      <c r="G3348" t="inlineStr">
        <is>
          <t>2020-07-18 00:23:57</t>
        </is>
      </c>
      <c r="H3348" t="inlineStr">
        <is>
          <t>Tested Positive - Me</t>
        </is>
      </c>
    </row>
    <row r="3349">
      <c r="A3349" t="inlineStr">
        <is>
          <t>htcva9</t>
        </is>
      </c>
      <c r="B3349" t="inlineStr">
        <is>
          <t>got a call from the doctor today, tested positive. something strange just crossed my mind and i'd like to see if someone can relate</t>
        </is>
      </c>
      <c r="C3349" t="inlineStr">
        <is>
          <t>i got a huge anxiety spurt three days ago and felt the need to get tested because i was worried that i could be an asymptomatic case and spreading it to my family and gf, despite the fact that i’ve worn my mask EVERYWHERE, washed my hands frequently, and stayed far as hell away from anyone when i had no choice but to go in public. it went as the title said. lo and behold, i was exactly right. i got the call today and told my fam and gf and have been stuck in my room since.
i’ve known that asymptomatic/minor cases exist but i haven’t really seen any reporting or any reddit posts about what those people experience.
the thing that’s got me confused is that i realized sometime last week, when i was driving, i felt difficulty breathing. i thought to myself “man, it feels like my windpipe is the diameter of a pencil”. it felt that way for 10-15 minutes. i remember thinking that specifically. now, after my diagnosis, i’ve been reading up on this sub and saw someone describe it *exactly* like that. now i’m even more confused because i’m thinking, what if i’ve had this longer than i thought? better yet, what if i’ve already gone through the majority of it without realizing? or worse, what if i’m gonna end up like those people who end up sick for *months*? anyone else have an experience like this? if so, any input?</t>
        </is>
      </c>
      <c r="D3349" t="n">
        <v>1</v>
      </c>
      <c r="E3349" t="n">
        <v>15</v>
      </c>
      <c r="F3349">
        <f>HYPERLINK("https://www.reddit.com/r/COVID19positive/comments/htcva9/got_a_call_from_the_doctor_today_tested_positive/")</f>
        <v/>
      </c>
      <c r="G3349" t="inlineStr">
        <is>
          <t>2020-07-18 00:47:15</t>
        </is>
      </c>
      <c r="H3349" t="inlineStr">
        <is>
          <t>Tested Positive - Me</t>
        </is>
      </c>
    </row>
    <row r="3350">
      <c r="A3350" t="inlineStr">
        <is>
          <t>htejbz</t>
        </is>
      </c>
      <c r="B3350" t="inlineStr">
        <is>
          <t>My entire family has tested positive and I am concerned for my 74 year old grandmother.</t>
        </is>
      </c>
      <c r="C3350" t="inlineStr">
        <is>
          <t>For reference: 4 guys ( 27, 25, 10, 8) mom (47) and grandma (74). 
Everyone had symptoms July 15th: Fever, chills, aches, retained our taste and smell, minor cough 
By July 17th: All of our fevers are gone and we are just having trouble with coughing and tight chest 
Weirdly enough my grandma did not shown any symptoms since for 3 days and now only has a mild cough. We have her using a nebulizer twice a day and giving her medicine. She is up and walking, eating, drinking, and besides the cough, it seems like she completely fine.
I am petrified at the prospect that either her immune system is being overwhelmed silently or that she will crash sometime soon. 
Is it possible for a 74 year old woman to have such mild symptoms? Does anyone know if we should just take her to the ER? We are waiting for really bad symptoms or &amp;gt;95% O2 before we do that.  She has consistent 99% oxygen saturation. 
Please help.  I am terrified of the idea of losing my grandma.</t>
        </is>
      </c>
      <c r="D3350" t="n">
        <v>1</v>
      </c>
      <c r="E3350" t="n">
        <v>9</v>
      </c>
      <c r="F3350">
        <f>HYPERLINK("https://www.reddit.com/r/COVID19positive/comments/htejbz/my_entire_family_has_tested_positive_and_i_am/")</f>
        <v/>
      </c>
      <c r="G3350" t="inlineStr">
        <is>
          <t>2020-07-18 03:33:52</t>
        </is>
      </c>
      <c r="H3350" t="inlineStr">
        <is>
          <t>Tested Positive - Family</t>
        </is>
      </c>
    </row>
    <row r="3351">
      <c r="A3351" t="inlineStr">
        <is>
          <t>htfv6e</t>
        </is>
      </c>
      <c r="B3351" t="inlineStr">
        <is>
          <t>Recovered in 1 week.</t>
        </is>
      </c>
      <c r="C3351" t="inlineStr">
        <is>
          <t>Hey there! Last Friday 10th July, I noticed the first symptoms and family doctor presumed me Positive 100% on tuesday since I lost sense of smell and taste. 1 week later on Friday I had no more symptoms and felt completely back to normal. My sense of smell and taste came back 60% and continues to get better. Today is Saturday, July 18th and im feeling great, energized and completely normal. 
Do you think Im virus free and is it safe for me to get back to work on Monday? 
P.s I didn’t get officially tested since its limited in my country and it’s offered only to people with more seriously symptoms. So that means I can’t get tested now to know for sure.
I’d like an opinion from you guys.</t>
        </is>
      </c>
      <c r="D3351" t="n">
        <v>1</v>
      </c>
      <c r="E3351" t="n">
        <v>8</v>
      </c>
      <c r="F3351">
        <f>HYPERLINK("https://www.reddit.com/r/COVID19positive/comments/htfv6e/recovered_in_1_week/")</f>
        <v/>
      </c>
      <c r="G3351" t="inlineStr">
        <is>
          <t>2020-07-18 05:32:02</t>
        </is>
      </c>
      <c r="H3351" t="inlineStr">
        <is>
          <t>Presumed Positive - From Doctor</t>
        </is>
      </c>
    </row>
    <row r="3352">
      <c r="A3352" t="inlineStr">
        <is>
          <t>htgmz4</t>
        </is>
      </c>
      <c r="B3352" t="inlineStr">
        <is>
          <t>ER on Sunday, tested positive.</t>
        </is>
      </c>
      <c r="C3352" t="inlineStr">
        <is>
          <t>We found out on July 4th that my friend who had visited us two days prior to drop off a tool tested positive for covid. He pet our puppy and hung out in the garage. 
Well, my family and I (35F) immediately quarantined on the 4th because of the exposure. I lost my taste and my sense of smell 3 days after that. 
Saturday and Sunday were horrible last week. Vomiting, liquid guts, burning flashes up and down my arms, neck, and face. Like a niacin flush. Rapid heart rate. But I never had a fever or a cough, just a heavy chest. Sunday I drove to the ER because I thought I was having a mild heart attack (I called the ER and let them know I may have covid before I arrived). 
Every test and x-ray came back normal and looked good. Clear lungs, ekg was great. Turns out I was having panic attacks. I’d never had one before. The doc prescribed Xanax. They tested me, it came back positive the next day. 
I’m getting better, Monday I will be considered recovered if all my symptoms are gone - heavy chest, no fever or cough, etc. But since I couldn’t quarantine myself from my family we’re all under quarantine until the end of July. 
The media scared me, scared me so badly I was making myself worse. The thought of dying and leaving behind my husband and 3 children terrified me into panic attacks which I had never had before. Googling made it even worse. 
I’ve lost 12 pounds since the 7th of July due to the sickness and the stress. I’m hydrating and eating small amounts because I have to. 
FTR My kids show no signs of it, and my husband has very mild symptoms. He’s tired easily. 
A small victory, I was able to smell cilantro this morning. I HATE cilantro, but it’s the first thing I’ve been able to smell in over a week.</t>
        </is>
      </c>
      <c r="D3352" t="n">
        <v>1</v>
      </c>
      <c r="E3352" t="n">
        <v>54</v>
      </c>
      <c r="F3352">
        <f>HYPERLINK("https://www.reddit.com/r/COVID19positive/comments/htgmz4/er_on_sunday_tested_positive/")</f>
        <v/>
      </c>
      <c r="G3352" t="inlineStr">
        <is>
          <t>2020-07-18 06:30:21</t>
        </is>
      </c>
      <c r="H3352" t="inlineStr">
        <is>
          <t>Tested Positive - Me</t>
        </is>
      </c>
    </row>
    <row r="3353">
      <c r="A3353" t="inlineStr">
        <is>
          <t>hti343</t>
        </is>
      </c>
      <c r="B3353" t="inlineStr">
        <is>
          <t>The COVID Symptom Study reveals six distinct ‘types’ of COVID-19</t>
        </is>
      </c>
      <c r="C3353" t="inlineStr">
        <is>
          <t>[removed]
[View Poll](https://www.reddit.com/poll/hti343)</t>
        </is>
      </c>
      <c r="D3353" t="n">
        <v>1</v>
      </c>
      <c r="E3353" t="n">
        <v>1</v>
      </c>
      <c r="F3353">
        <f>HYPERLINK("https://www.reddit.com/r/COVID19positive/comments/hti343/the_covid_symptom_study_reveals_six_distinct/")</f>
        <v/>
      </c>
      <c r="G3353" t="inlineStr">
        <is>
          <t>2020-07-18 08:07:30</t>
        </is>
      </c>
      <c r="H3353" t="inlineStr">
        <is>
          <t>Presumed Positive - From Doctor</t>
        </is>
      </c>
    </row>
    <row r="3354">
      <c r="A3354" t="inlineStr">
        <is>
          <t>htjhq4</t>
        </is>
      </c>
      <c r="B3354" t="inlineStr">
        <is>
          <t>For those who recovered, when did your tests start to show you were negative</t>
        </is>
      </c>
      <c r="C3354" t="inlineStr">
        <is>
          <t>I tested positive about 10 days ago and I feel much better. To return to my workplace, I need to get a negative test. I'm planning on getting tested next week, but I've also read stories about people "shedding" the virus even after they recovered and are no longer contagious. For those of you who tested positive and then recovered, how soon did you start to see negative tests?</t>
        </is>
      </c>
      <c r="D3354" t="n">
        <v>2</v>
      </c>
      <c r="E3354" t="n">
        <v>4</v>
      </c>
      <c r="F3354">
        <f>HYPERLINK("https://www.reddit.com/r/COVID19positive/comments/htjhq4/for_those_who_recovered_when_did_your_tests_start/")</f>
        <v/>
      </c>
      <c r="G3354" t="inlineStr">
        <is>
          <t>2020-07-18 09:33:03</t>
        </is>
      </c>
      <c r="H3354" t="inlineStr">
        <is>
          <t>Tested Positive - Me</t>
        </is>
      </c>
    </row>
    <row r="3355">
      <c r="A3355" t="inlineStr">
        <is>
          <t>htjwif</t>
        </is>
      </c>
      <c r="B3355" t="inlineStr">
        <is>
          <t>Sharing symptoms seems helpful.</t>
        </is>
      </c>
      <c r="C3355" t="inlineStr">
        <is>
          <t>I have found that reading everyones symptoms on here has been helpful through this stressful time. I ignored many symptoms in the beginning that make sense to me now. 
Here is what I have experienced so far:
Started with Brain Fog. Slight headache. And SOB while at work doing normal chores.  I even left stuff at the grocery store 2 times in 3 days and had to return to retrieve them.
Overall confusion. Feeling out of it. 
Neck &amp;amp; Back pain started next. With extreme fatigue. Thought I pulled a muscle. Kept going to work. This lasted for a few days.
Headache got worse. Hurt to move my eyes, hurt to blink, with occasional shooting nerve pains up the side of my head. I felt like a migraine was coming on at any minute. Occasional Optical disturbances. Nerve ending pings in random parts of my body. Toes, Legs, &amp;amp; arms. Hurt to touch the skin on my thighs. Like I did too many squats. 
I got my period 3 days late and it only lasted 3 days. Aunt Flo did not even want to hang out for the ‘Rona party. 
Next was a Sore throat like I ate razor blades. Extreme fatigue! No appetite. Sweet tasted sweet but no distinctive flavors. Dry coughing randomly. Called out of work &amp;amp; slept all day.
Then an Odd Rash showed up on my chest. And a clump of hair came out in the shower that had me scared! Not your usual hair shed. Chewbacca style hair ball! 
Sore throat turned into itchy cotton mouth. Chest pressure like muscle tightness. Heart rate spiking occasionally and waking up in sweats. No documented fever to mention. Low body temperature at a few points. 95 degrees. Acid reflux feeling in stomach &amp;amp; chest. Extreme thirst. 
This is where I currently reside. It has been 10 days or so,it is hard to keep track., and I am waiting for test results.  
Hope this is helpful to anyone looking for symptoms to compare. ❤️ I beg you don’t ignore them like I did! I could have put many people at risk continuing to work with the public.</t>
        </is>
      </c>
      <c r="D3355" t="n">
        <v>44</v>
      </c>
      <c r="E3355" t="n">
        <v>16</v>
      </c>
      <c r="F3355">
        <f>HYPERLINK("https://www.reddit.com/r/COVID19positive/comments/htjwif/sharing_symptoms_seems_helpful/")</f>
        <v/>
      </c>
      <c r="G3355" t="inlineStr">
        <is>
          <t>2020-07-18 09:57:21</t>
        </is>
      </c>
      <c r="H3355" t="inlineStr">
        <is>
          <t>Presumed Positive - From Doctor</t>
        </is>
      </c>
    </row>
    <row r="3356">
      <c r="A3356" t="inlineStr">
        <is>
          <t>htk38i</t>
        </is>
      </c>
      <c r="B3356" t="inlineStr">
        <is>
          <t>Trying to stay calm but so anxious</t>
        </is>
      </c>
      <c r="C3356" t="inlineStr">
        <is>
          <t>I’m on Day 7 and my fever and fatigue came roaring back.  Seem to be breathing fine.  Pulse ox still mid to high 90s.  I’ve posted more of my history in another thread.   But the stress and anxiety are really getting me right now.  Idk how I am holding it together.   Did anyone else have a relapse around this time?   I need some positive thoughts!</t>
        </is>
      </c>
      <c r="D3356" t="n">
        <v>3</v>
      </c>
      <c r="E3356" t="n">
        <v>8</v>
      </c>
      <c r="F3356">
        <f>HYPERLINK("https://www.reddit.com/r/COVID19positive/comments/htk38i/trying_to_stay_calm_but_so_anxious/")</f>
        <v/>
      </c>
      <c r="G3356" t="inlineStr">
        <is>
          <t>2020-07-18 10:08:19</t>
        </is>
      </c>
      <c r="H3356" t="inlineStr">
        <is>
          <t>Presumed Positive - From Doctor</t>
        </is>
      </c>
    </row>
    <row r="3357">
      <c r="A3357" t="inlineStr">
        <is>
          <t>htmbin</t>
        </is>
      </c>
      <c r="B3357" t="inlineStr">
        <is>
          <t>What foods did you eat while your taste and smell was absent.</t>
        </is>
      </c>
      <c r="C3357" t="inlineStr">
        <is>
          <t>I was tested for COVID-19 because I had a low grade fever 3 days back (now it’s normal) but this morning I woke up no smell and taste. I dint have a stuffy nose so that’s strange. I went and got tested and waiting for results. 
But I need some advice on what to eat. 
What foods did you eat when you couldn’t taste anything? Also what seasonings help?</t>
        </is>
      </c>
      <c r="D3357" t="n">
        <v>14</v>
      </c>
      <c r="E3357" t="n">
        <v>25</v>
      </c>
      <c r="F3357">
        <f>HYPERLINK("https://www.reddit.com/r/COVID19positive/comments/htmbin/what_foods_did_you_eat_while_your_taste_and_smell/")</f>
        <v/>
      </c>
      <c r="G3357" t="inlineStr">
        <is>
          <t>2020-07-18 12:17:29</t>
        </is>
      </c>
      <c r="H3357" t="inlineStr">
        <is>
          <t>Presumed Positive - From Test</t>
        </is>
      </c>
    </row>
    <row r="3358">
      <c r="A3358" t="inlineStr">
        <is>
          <t>htmesx</t>
        </is>
      </c>
      <c r="B3358" t="inlineStr">
        <is>
          <t>Just tested positive and have health anxiety, please help me calm down</t>
        </is>
      </c>
      <c r="C3358" t="inlineStr">
        <is>
          <t>Starting June 26th I had pretty bad indigestion and it hasn’t gone away yet, I threw up on that one day and that was it. July 6th I got a super dry throat. I’ve been feeling a little weak and tired but that’s about it. I get a headache sometimes at night but once I lay down I feel fine. I’ve been getting weird feelings in my arms and chest but I normally get those so I didn’t think much of it. I found out my mother tested positive for COVID so my dad and I got tested too. He turned out negative twice so I thought I’d be negative too, but alas I turned out positive. I’m so fucking scared. How long have I been sick? Will I ever get over it? I’m only 17 I don’t want to die yet. Is the indigestion I’m experiencing part of it?</t>
        </is>
      </c>
      <c r="D3358" t="n">
        <v>15</v>
      </c>
      <c r="E3358" t="n">
        <v>38</v>
      </c>
      <c r="F3358">
        <f>HYPERLINK("https://www.reddit.com/r/COVID19positive/comments/htmesx/just_tested_positive_and_have_health_anxiety/")</f>
        <v/>
      </c>
      <c r="G3358" t="inlineStr">
        <is>
          <t>2020-07-18 12:22:44</t>
        </is>
      </c>
      <c r="H3358" t="inlineStr">
        <is>
          <t>Tested Positive - Me</t>
        </is>
      </c>
    </row>
    <row r="3359">
      <c r="A3359" t="inlineStr">
        <is>
          <t>html2a</t>
        </is>
      </c>
      <c r="B3359" t="inlineStr">
        <is>
          <t>My friend is alone with symptoms</t>
        </is>
      </c>
      <c r="C3359" t="inlineStr">
        <is>
          <t>She is living alone in Plano, Texas and it's freaking me out because she doesn't want me to fly in and help her and put myself at risk. She is vomiting multiple times a day and has a fever. She is unable to keep food or water down for very long because of the vomiting. She is light headed and passes out frequently, probably because of the lack of food and water. She is barely able to crawl around her house to get food and water. She has already sprained her ankle trying to get to the kitchen.
My question is, what can she do? What services can help her? She has been to the hospital multiple times, and each time they just give her some sort of intravenous hydrating solution and then send her back home, because the hospitals are all at maximum capacity.</t>
        </is>
      </c>
      <c r="D3359" t="n">
        <v>17</v>
      </c>
      <c r="E3359" t="n">
        <v>35</v>
      </c>
      <c r="F3359">
        <f>HYPERLINK("https://www.reddit.com/r/COVID19positive/comments/html2a/my_friend_is_alone_with_symptoms/")</f>
        <v/>
      </c>
      <c r="G3359" t="inlineStr">
        <is>
          <t>2020-07-18 12:32:40</t>
        </is>
      </c>
      <c r="H3359" t="inlineStr">
        <is>
          <t>Tested Positive - Friends</t>
        </is>
      </c>
    </row>
    <row r="3360">
      <c r="A3360" t="inlineStr">
        <is>
          <t>htmwjc</t>
        </is>
      </c>
      <c r="B3360" t="inlineStr">
        <is>
          <t>Covid Pasma therapy for my dad. Need donors O+. Plz respond</t>
        </is>
      </c>
      <c r="C3360" t="inlineStr">
        <is>
          <t>I'm Pavan. From Hyderabad, India. My father is admitted in yashoda, secunderabad branch. Is covid positive patient. Is serious and need o+ plasma therapy urgently till the end 20th july, 2020.  Plz, donors do respond. 🙏🙏
Contact: 9640090095, 8801476169, 9705495457</t>
        </is>
      </c>
      <c r="D3360" t="n">
        <v>613</v>
      </c>
      <c r="E3360" t="n">
        <v>101</v>
      </c>
      <c r="F3360">
        <f>HYPERLINK("https://www.reddit.com/r/COVID19positive/comments/htmwjc/covid_pasma_therapy_for_my_dad_need_donors_o_plz/")</f>
        <v/>
      </c>
      <c r="G3360" t="inlineStr">
        <is>
          <t>2020-07-18 12:50:35</t>
        </is>
      </c>
      <c r="H3360" t="inlineStr">
        <is>
          <t>Tested Positive - Family</t>
        </is>
      </c>
    </row>
    <row r="3361">
      <c r="A3361" t="inlineStr">
        <is>
          <t>htn2ci</t>
        </is>
      </c>
      <c r="B3361" t="inlineStr">
        <is>
          <t>Neck and trapezius pain?</t>
        </is>
      </c>
      <c r="C3361" t="inlineStr">
        <is>
          <t>I was tested on July 1, 2020 and received my positive result on the 4th. I felt fine other than feeling like I had a severe sinus infection. My symptoms subsided around the 9th, but since last Sunday (July 12, 2020) I have had intermittent headaches, nausea and vomiting, &amp;amp; neck/trapezius pain and stiffness that nothing will touch. I’ve tried massage, chiropractic, muscle relaxers, heat, hash baths (THC bath salts), and norco with no relief. Has anyone else experienced this? 
For the record, I have talked to my Dr and he’s advised me to go to the ER if I have any confusion or other neurological symptoms.</t>
        </is>
      </c>
      <c r="D3361" t="n">
        <v>4</v>
      </c>
      <c r="E3361" t="n">
        <v>14</v>
      </c>
      <c r="F3361">
        <f>HYPERLINK("https://www.reddit.com/r/COVID19positive/comments/htn2ci/neck_and_trapezius_pain/")</f>
        <v/>
      </c>
      <c r="G3361" t="inlineStr">
        <is>
          <t>2020-07-18 12:59:54</t>
        </is>
      </c>
      <c r="H3361" t="inlineStr">
        <is>
          <t>Tested Positive - Me</t>
        </is>
      </c>
    </row>
    <row r="3362">
      <c r="A3362" t="inlineStr">
        <is>
          <t>htn9ub</t>
        </is>
      </c>
      <c r="B3362" t="inlineStr">
        <is>
          <t>120 Days post "infective" and still having symptoms. Advice/Support/Information would be extremely helpful</t>
        </is>
      </c>
      <c r="C3362" t="inlineStr">
        <is>
          <t>Okay so I (Male, 31 years old, non smoker, no underlying conditions) came down with Covid around March 17, and I had a fairly severe case. I didn't end up in the hospital, but if I had not had a spouse that was asymptomatic (but has asthma) I definitely would have required hospitalisation, as I couldn't at all take care of myself. I had all of the usual symptoms, with a cough being uncommon but occasional. I was too sick to even walk around the block for about 8 weeks. 
Fast forward to today, and I'm still having intermittent "symptoms" every 2 weeks or so. Extreme fatigue, so much that raising my arms off desk is physically taxing, excruciating joint pain, diarrhea, headaches, neuralgia, and even some chest pain. I think the most alarming symptom is the brain fog and how forgetful I am now.
These "flare ups" are happening with less frequency than they were 2 months ago, but I can't seem to shake whatever is going on, and it's an enormous drain on my emotional and mental wellbeing. 
Has anyone else here had a similar experience? 
Is there anything I should be doing/taking? (supplements or otherwise) 
I've seen my General Practitioner about 4 times since being sick for various symptoms, but they don't have any advice besides take ibuprofen for the inflammation. They haven't directed me to any kind of specialist as of yet.</t>
        </is>
      </c>
      <c r="D3362" t="n">
        <v>12</v>
      </c>
      <c r="E3362" t="n">
        <v>41</v>
      </c>
      <c r="F3362">
        <f>HYPERLINK("https://www.reddit.com/r/COVID19positive/comments/htn9ub/120_days_post_infective_and_still_having_symptoms/")</f>
        <v/>
      </c>
      <c r="G3362" t="inlineStr">
        <is>
          <t>2020-07-18 13:11:44</t>
        </is>
      </c>
      <c r="H3362" t="inlineStr">
        <is>
          <t>Tested Positive - Me</t>
        </is>
      </c>
    </row>
    <row r="3363">
      <c r="A3363" t="inlineStr">
        <is>
          <t>hto3wd</t>
        </is>
      </c>
      <c r="B3363" t="inlineStr">
        <is>
          <t>My friend's father (65) and a relative (93) both recovered</t>
        </is>
      </c>
      <c r="C3363" t="inlineStr">
        <is>
          <t>To offset some doom and gloom, I have two brief stories:
Three months ago: my friend's father is 65 and got COVID-19 at work. Had a cough for weeks that got worse, until he couldn't breathe. Resisted going to the hospital for as long as possible, but was finally convinced to go. To give you an idea of how stubborn he is, he wrote a will to his son before deciding he should go. Required a medium flow of supplemental oxygen upon admittance and soon required max flow. They were going to intubate him if it got any worse. He was prescribed HCQ, Zinc, and Azithromycin, and was going to receive Remdesivir if he was intubated. He slowly started to improve, thankfully, and was eventually discharged. Three months on and he still has shortness of breath when doing daily activities.
Also about three months ago, a 93-year-old relative with dementia was screened as part of a normal process at her nursing home, and was COVID-19 positive. I figured there was no hope, but she never developed anything more than mild symptoms or even no symptoms (they thought maybe the sniffles or a mild cough) and that was that. Nothing else ever came of it.
I'd also like to see a flair in this sub with something like `Story: Recovered`</t>
        </is>
      </c>
      <c r="D3363" t="n">
        <v>63</v>
      </c>
      <c r="E3363" t="n">
        <v>34</v>
      </c>
      <c r="F3363">
        <f>HYPERLINK("https://www.reddit.com/r/COVID19positive/comments/hto3wd/my_friends_father_65_and_a_relative_93_both/")</f>
        <v/>
      </c>
      <c r="G3363" t="inlineStr">
        <is>
          <t>2020-07-18 14:01:15</t>
        </is>
      </c>
      <c r="H3363" t="inlineStr">
        <is>
          <t>Tested Positive - Family</t>
        </is>
      </c>
    </row>
    <row r="3364">
      <c r="A3364" t="inlineStr">
        <is>
          <t>htoa4u</t>
        </is>
      </c>
      <c r="B3364" t="inlineStr">
        <is>
          <t>3 yr old son tested positive</t>
        </is>
      </c>
      <c r="C3364" t="inlineStr">
        <is>
          <t>He can't have fevers because they send him into convulsions or seizures like I did at that age. But he's been acting normal. He had a fever one day and I gave him Motrin. Me and his mom are separated so he is quarantined with her for a while and idk when I'll get to see him again. Just wanna know as anybody with young kids have them test positive</t>
        </is>
      </c>
      <c r="D3364" t="n">
        <v>5</v>
      </c>
      <c r="E3364" t="n">
        <v>4</v>
      </c>
      <c r="F3364">
        <f>HYPERLINK("https://www.reddit.com/r/COVID19positive/comments/htoa4u/3_yr_old_son_tested_positive/")</f>
        <v/>
      </c>
      <c r="G3364" t="inlineStr">
        <is>
          <t>2020-07-18 14:11:16</t>
        </is>
      </c>
      <c r="H3364" t="inlineStr">
        <is>
          <t>Tested Positive - Family</t>
        </is>
      </c>
    </row>
    <row r="3365">
      <c r="A3365" t="inlineStr">
        <is>
          <t>htor9j</t>
        </is>
      </c>
      <c r="B3365" t="inlineStr">
        <is>
          <t>When did sense of smell come back fro those who tested positive ?</t>
        </is>
      </c>
      <c r="C3365" t="inlineStr">
        <is>
          <t>Ive had it now for almost 2 weeks and the only symptom i still have is loss of smell . This sucks when will it come back ?</t>
        </is>
      </c>
      <c r="D3365" t="n">
        <v>1</v>
      </c>
      <c r="E3365" t="n">
        <v>6</v>
      </c>
      <c r="F3365">
        <f>HYPERLINK("https://www.reddit.com/r/COVID19positive/comments/htor9j/when_did_sense_of_smell_come_back_fro_those_who/")</f>
        <v/>
      </c>
      <c r="G3365" t="inlineStr">
        <is>
          <t>2020-07-18 14:40:58</t>
        </is>
      </c>
      <c r="H3365" t="inlineStr">
        <is>
          <t>Tested Positive - Me</t>
        </is>
      </c>
    </row>
    <row r="3366">
      <c r="A3366" t="inlineStr">
        <is>
          <t>htoznq</t>
        </is>
      </c>
      <c r="B3366" t="inlineStr">
        <is>
          <t>Honest question - what’s the difference between those that die a week after getting the virus and those that get it and recover?</t>
        </is>
      </c>
      <c r="C3366" t="inlineStr">
        <is>
          <t>This is an honest question. I saw a post shared on Facebook about about someone’s 27 year old daughter who went to a party and then died a week a later 
I’m 24. But even as someone who had Covid for the entire of month of February these kinds of stories are all I am seeing on Facebook, the news, etc. 
It REALLY freaks me out and makes me anxious about getting it again and dying from it</t>
        </is>
      </c>
      <c r="D3366" t="n">
        <v>3</v>
      </c>
      <c r="E3366" t="n">
        <v>9</v>
      </c>
      <c r="F3366">
        <f>HYPERLINK("https://www.reddit.com/r/COVID19positive/comments/htoznq/honest_question_whats_the_difference_between/")</f>
        <v/>
      </c>
      <c r="G3366" t="inlineStr">
        <is>
          <t>2020-07-18 14:55:33</t>
        </is>
      </c>
      <c r="H3366" t="inlineStr">
        <is>
          <t>Tested Positive - Me</t>
        </is>
      </c>
    </row>
    <row r="3367">
      <c r="A3367" t="inlineStr">
        <is>
          <t>htp6rr</t>
        </is>
      </c>
      <c r="B3367" t="inlineStr">
        <is>
          <t>My COVID-19 experience Update</t>
        </is>
      </c>
      <c r="C3367" t="inlineStr">
        <is>
          <t>I'm about 16 days recovered and while my lung capacity feels back to normal I still have some lingering effects. Mainly fatigue and digestive issues. The digestive issues are odd because one BM will be a little loose and then I'll get constipated and can barely eek out a pebble the next time. I did have a normal one yesterday so i'm hoping that's over. The fatigue presents itself at the end of my day. I feel like i'm drained and I get super drowsy. I have to fight it to eat some dinner and do my bedtime routine. Once my head hits my pillow I am out. The oddest thing that I'm experiencing is a patch of numbness on the upper side of my left leg. I thought it was from the hospital bed and sitting for a long time as I dealt with the virus. It feels like it's going away, but it's taking longer than I thought it would. Anyone else experiencing any of these after effects? Stay safe and heal up if you're recovering.</t>
        </is>
      </c>
      <c r="D3367" t="n">
        <v>2</v>
      </c>
      <c r="E3367" t="n">
        <v>2</v>
      </c>
      <c r="F3367">
        <f>HYPERLINK("https://www.reddit.com/r/COVID19positive/comments/htp6rr/my_covid19_experience_update/")</f>
        <v/>
      </c>
      <c r="G3367" t="inlineStr">
        <is>
          <t>2020-07-18 15:07:18</t>
        </is>
      </c>
      <c r="H3367" t="inlineStr">
        <is>
          <t>Tested Positive - Me</t>
        </is>
      </c>
    </row>
    <row r="3368">
      <c r="A3368" t="inlineStr">
        <is>
          <t>htqcv3</t>
        </is>
      </c>
      <c r="B3368" t="inlineStr">
        <is>
          <t>I got my mom sick and I feel like a monster. Im So worried for her.</t>
        </is>
      </c>
      <c r="C3368" t="inlineStr">
        <is>
          <t>I tested positive on Tuesday the 14th and I’m on day 5 now. This virus is no joke and my mom now says she’s experiencing symptoms. She’s 76 with a history of respiratory problems, like pneumonia, and I feel like a monster. I won’t be able to live with myself if she doesn’t make it through this. I’m terrified of what this illness can do. Do elderly people survive this?</t>
        </is>
      </c>
      <c r="D3368" t="n">
        <v>29</v>
      </c>
      <c r="E3368" t="n">
        <v>39</v>
      </c>
      <c r="F3368">
        <f>HYPERLINK("https://www.reddit.com/r/COVID19positive/comments/htqcv3/i_got_my_mom_sick_and_i_feel_like_a_monster_im_so/")</f>
        <v/>
      </c>
      <c r="G3368" t="inlineStr">
        <is>
          <t>2020-07-18 16:20:00</t>
        </is>
      </c>
      <c r="H3368" t="inlineStr">
        <is>
          <t>Tested Positive - Me</t>
        </is>
      </c>
    </row>
    <row r="3369">
      <c r="A3369" t="inlineStr">
        <is>
          <t>htqfpe</t>
        </is>
      </c>
      <c r="B3369" t="inlineStr">
        <is>
          <t>Back pain?</t>
        </is>
      </c>
      <c r="C3369" t="inlineStr">
        <is>
          <t>Anyone else having back pain as a lingering symptom?
Mostly lower but higher in the back at times</t>
        </is>
      </c>
      <c r="D3369" t="n">
        <v>2</v>
      </c>
      <c r="E3369" t="n">
        <v>12</v>
      </c>
      <c r="F3369">
        <f>HYPERLINK("https://www.reddit.com/r/COVID19positive/comments/htqfpe/back_pain/")</f>
        <v/>
      </c>
      <c r="G3369" t="inlineStr">
        <is>
          <t>2020-07-18 16:25:17</t>
        </is>
      </c>
      <c r="H3369" t="inlineStr">
        <is>
          <t>Presumed Positive - From Doctor</t>
        </is>
      </c>
    </row>
    <row r="3370">
      <c r="A3370" t="inlineStr">
        <is>
          <t>htr49s</t>
        </is>
      </c>
      <c r="B3370" t="inlineStr">
        <is>
          <t>Rib pain?</t>
        </is>
      </c>
      <c r="C3370" t="inlineStr">
        <is>
          <t>21f, day 35. Has anyone experience rib pain on the right side? I really don’t know what this could be!</t>
        </is>
      </c>
      <c r="D3370" t="n">
        <v>8</v>
      </c>
      <c r="E3370" t="n">
        <v>43</v>
      </c>
      <c r="F3370">
        <f>HYPERLINK("https://www.reddit.com/r/COVID19positive/comments/htr49s/rib_pain/")</f>
        <v/>
      </c>
      <c r="G3370" t="inlineStr">
        <is>
          <t>2020-07-18 17:11:05</t>
        </is>
      </c>
      <c r="H3370" t="inlineStr">
        <is>
          <t>Tested Positive - Me</t>
        </is>
      </c>
    </row>
    <row r="3371">
      <c r="A3371" t="inlineStr">
        <is>
          <t>hts6c6</t>
        </is>
      </c>
      <c r="B3371" t="inlineStr">
        <is>
          <t>Day 18 Mild case but have pain</t>
        </is>
      </c>
      <c r="C3371" t="inlineStr">
        <is>
          <t>I have a severe pain in left collar bone.  Anyone else having this issue.  At about a 6 on good days but this am back to feeling like it was broken.  Tylenol  not helping.</t>
        </is>
      </c>
      <c r="D3371" t="n">
        <v>2</v>
      </c>
      <c r="E3371" t="n">
        <v>4</v>
      </c>
      <c r="F3371">
        <f>HYPERLINK("https://www.reddit.com/r/COVID19positive/comments/hts6c6/day_18_mild_case_but_have_pain/")</f>
        <v/>
      </c>
      <c r="G3371" t="inlineStr">
        <is>
          <t>2020-07-18 18:25:28</t>
        </is>
      </c>
      <c r="H3371" t="inlineStr">
        <is>
          <t>Tested Positive - Me</t>
        </is>
      </c>
    </row>
    <row r="3372">
      <c r="A3372" t="inlineStr">
        <is>
          <t>hts7uy</t>
        </is>
      </c>
      <c r="B3372" t="inlineStr">
        <is>
          <t>Severe depression post-covid?</t>
        </is>
      </c>
      <c r="C3372" t="inlineStr">
        <is>
          <t>I was infected 45 days ago, and my symptoms were all encephalitis (except some light pneumonia 2 weeks into it) and my brain still has not recovered, I still get vertigo and headaches and I have terrible chronic fatigue, and the longer my fatigue and symptoms go on, the more depressed I get. I can't concentrate on anything long and involved like TV, movies or books (my psychiatrist recommended graphic novels and those have been alright, I can actually get through a whole one of those) and I mostly read Reddit because I'm so bored, and Reddit is so depressing and I'm getting despondent over the state of my country (USA) and what's going on with the government and covid and I'm having suicidal thoughts (I've talked to my psychiatrist about them, I'm not in danger at this time). Is covid causing horrible depression for anyone else? I tried some of my stash of anti-depressants, but they just give me more headaches and vertigo (weed does the same), so I can't take them. I just feel so helpless and hopeless, and I'm sleeping like 16 hours a day. I just feel so alone. My mother got a very mild case and only lost her sense of taste and Dad is O+ and seems immune since living with us didn't make him sick (Mom infected us by having coffee outside with her friends with no mask). I don't know anyone else other than my family who had covid, and I can't relate to anyone and I feel very alone. And because my symptoms were almost entirely neurological, people dismiss my concerns (as not real covid) even though my doctor confirmed that I have it and he has two patients with the exact same symptoms, one who got it in April and still has the same symptoms I still have, which makes me feel even more hopeless. I don't want to go through my life with permanent brain damage, I want to be able to watch a movie or read a book again, Everything I enjoy is being taken away from me.</t>
        </is>
      </c>
      <c r="D3372" t="n">
        <v>13</v>
      </c>
      <c r="E3372" t="n">
        <v>28</v>
      </c>
      <c r="F3372">
        <f>HYPERLINK("https://www.reddit.com/r/COVID19positive/comments/hts7uy/severe_depression_postcovid/")</f>
        <v/>
      </c>
      <c r="G3372" t="inlineStr">
        <is>
          <t>2020-07-18 18:28:25</t>
        </is>
      </c>
      <c r="H3372" t="inlineStr">
        <is>
          <t>Presumed Positive - From Doctor</t>
        </is>
      </c>
    </row>
    <row r="3373">
      <c r="A3373" t="inlineStr">
        <is>
          <t>htsfj5</t>
        </is>
      </c>
      <c r="B3373" t="inlineStr">
        <is>
          <t>I'm scared that I'll lose my mom due to respiratory issues.</t>
        </is>
      </c>
      <c r="C3373" t="inlineStr">
        <is>
          <t>My older mother has tested positive for COVID-19 yesterday. My mom says she's fine, but she constantly looks lifeless and tired. She has A LOT of medical issues,she's overweight, and she's older in age. She says that her lungs hurt, so I'm assuming they're respiratory issues. She already has severe asthma, so I don't even know what to do at this point. I'm going to "force" her to do breathing exercises online, but I'm scared she'll pass away in her sleep. I am looking for some advice on what to/how to cope with this. I'm disgusted and furious with how selfish so many Americans are regarding COVID-19. I hope everyone stays safe and healthy.</t>
        </is>
      </c>
      <c r="D3373" t="n">
        <v>3</v>
      </c>
      <c r="E3373" t="n">
        <v>14</v>
      </c>
      <c r="F3373">
        <f>HYPERLINK("https://www.reddit.com/r/COVID19positive/comments/htsfj5/im_scared_that_ill_lose_my_mom_due_to_respiratory/")</f>
        <v/>
      </c>
      <c r="G3373" t="inlineStr">
        <is>
          <t>2020-07-18 18:43:41</t>
        </is>
      </c>
      <c r="H3373" t="inlineStr">
        <is>
          <t>Tested Positive - Family</t>
        </is>
      </c>
    </row>
    <row r="3374">
      <c r="A3374" t="inlineStr">
        <is>
          <t>htsog3</t>
        </is>
      </c>
      <c r="B3374" t="inlineStr">
        <is>
          <t>Facebook experiences</t>
        </is>
      </c>
      <c r="C3374" t="inlineStr">
        <is>
          <t>Is anyone else just straight up furious with Facebook posts from “friends” and family? Not everyone knows I’ve tested positive (it isn’t everyone’s business). But when I see “it’s a hoax” or “don’t wear a mask sheeple” posts I just want to scream.
Not everyone has symptoms to the point where they are hospitalized, some show no symptoms, others are unfortunately experiencing the worst, but that doesn’t mean that this is just NOTHING. I just don’t know what to do, it makes me feel like these people wouldn’t be there for me if they knew I tested positive &amp;amp; felt awful. So I shouldn’t even give them the time of day, right?But I also want to yell at them and let them know how their hurtful messages are affecting those around them - a little virtual slap in the face.
I’ve been staying off of Facebook lately for this reason. But I am wondering, am I just overreacting? Are other people also feeling this way?</t>
        </is>
      </c>
      <c r="D3374" t="n">
        <v>89</v>
      </c>
      <c r="E3374" t="n">
        <v>67</v>
      </c>
      <c r="F3374">
        <f>HYPERLINK("https://www.reddit.com/r/COVID19positive/comments/htsog3/facebook_experiences/")</f>
        <v/>
      </c>
      <c r="G3374" t="inlineStr">
        <is>
          <t>2020-07-18 19:01:39</t>
        </is>
      </c>
      <c r="H3374" t="inlineStr">
        <is>
          <t>Tested Positive - Me</t>
        </is>
      </c>
    </row>
    <row r="3375">
      <c r="A3375" t="inlineStr">
        <is>
          <t>htsuje</t>
        </is>
      </c>
      <c r="B3375" t="inlineStr">
        <is>
          <t>Tested positive, treated like Leper even though i have been released from isolation.</t>
        </is>
      </c>
      <c r="C3375" t="inlineStr">
        <is>
          <t>I traveled to Wyoming and contracted COVID-19 while I was here. I have been on isolation for 13 days. I need to get back home. But my family back home wants me to re-test and come back negative before doing so. The concern there is that even though you are not contagious you can still test positive. My big fear is going home testing positive in CA and being re isolated in CA. Even though i have already been through isolation here and show no symptoms. All government agencies and doctors i have talked to say i am safe to go back to life. Yet my family refuses to believe that. They want me to re test, if i come back positive in CA i will be re isolated, not be able to work an un able to take care of myself. All to make them feel better. WTF</t>
        </is>
      </c>
      <c r="D3375" t="n">
        <v>1</v>
      </c>
      <c r="E3375" t="n">
        <v>12</v>
      </c>
      <c r="F3375">
        <f>HYPERLINK("https://www.reddit.com/r/COVID19positive/comments/htsuje/tested_positive_treated_like_leper_even_though_i/")</f>
        <v/>
      </c>
      <c r="G3375" t="inlineStr">
        <is>
          <t>2020-07-18 19:13:45</t>
        </is>
      </c>
      <c r="H3375" t="inlineStr">
        <is>
          <t>Tested Positive - Me</t>
        </is>
      </c>
    </row>
    <row r="3376">
      <c r="A3376" t="inlineStr">
        <is>
          <t>htt8nj</t>
        </is>
      </c>
      <c r="B3376" t="inlineStr">
        <is>
          <t>Sense of smell gone since June 28</t>
        </is>
      </c>
      <c r="C3376" t="inlineStr">
        <is>
          <t>I got tested June 28th— positive. My only symptoms were loss of smell and a very light cough— kinda when you just have dust in the air. 
I am a 25 year old female with no health issues. I wear a mask everywhere I go and try to limit myself to only the grocery store every 2 weeks. 
I Waited over two weeks and quarintined, got tested recently on Wednesday July 15... and once again.. positive!!! I still don’t have my sense of smell back. I remember when I first had it I legit sprayed the strongest perfume I have and could not get ANY sense feedback of what it smells like. Right now I would say it’s like 20% back. Taste is also the same. I can’t taste anything sweet or salty. I plan on quarantining for ANOTHER two weeks and taking another test to hopefully come back negative. Anybody that has waited longer? How long did your senses of smell and taste take to fully come back?</t>
        </is>
      </c>
      <c r="D3376" t="n">
        <v>3</v>
      </c>
      <c r="E3376" t="n">
        <v>12</v>
      </c>
      <c r="F3376">
        <f>HYPERLINK("https://www.reddit.com/r/COVID19positive/comments/htt8nj/sense_of_smell_gone_since_june_28/")</f>
        <v/>
      </c>
      <c r="G3376" t="inlineStr">
        <is>
          <t>2020-07-18 19:41:11</t>
        </is>
      </c>
      <c r="H3376" t="inlineStr">
        <is>
          <t>Tested Positive</t>
        </is>
      </c>
    </row>
    <row r="3377">
      <c r="A3377" t="inlineStr">
        <is>
          <t>httex7</t>
        </is>
      </c>
      <c r="B3377" t="inlineStr">
        <is>
          <t>loss of taste</t>
        </is>
      </c>
      <c r="C3377" t="inlineStr">
        <is>
          <t>my taste when it comes to sweets is perfectly intact but when it comes to salty/savory foods they taste like soy sauce? i tried a bunch of different chips, and some leftover pasta from yesterday and it just tastes like salt.. no other flavors.
has anyone else had this happen?</t>
        </is>
      </c>
      <c r="D3377" t="n">
        <v>5</v>
      </c>
      <c r="E3377" t="n">
        <v>6</v>
      </c>
      <c r="F3377">
        <f>HYPERLINK("https://www.reddit.com/r/COVID19positive/comments/httex7/loss_of_taste/")</f>
        <v/>
      </c>
      <c r="G3377" t="inlineStr">
        <is>
          <t>2020-07-18 19:54:12</t>
        </is>
      </c>
      <c r="H3377" t="inlineStr">
        <is>
          <t>Tested Positive - Me</t>
        </is>
      </c>
    </row>
    <row r="3378">
      <c r="A3378" t="inlineStr">
        <is>
          <t>httgap</t>
        </is>
      </c>
      <c r="B3378" t="inlineStr">
        <is>
          <t>Presumed positive living with VERY high risk family members</t>
        </is>
      </c>
      <c r="C3378" t="inlineStr">
        <is>
          <t>Hi everyone! Really hoping for some success stories and words of encouragement. My mom (55F) started showing symptoms this morning. She got tested this afternoon and is presumed positive. My dad (56M) is extremely high risk (uncontrolled type II diabetes (A1C 10.5), hypertension, etc.)  
I (23F) am here staying with them between leases and feel lucky to be able to be a caretaker to them as I have no current obligations as a recent grad without a job thanks to the pandemic. They live in a 2 bed/2bath home with a “bonus room”. As of this morning, I am residing in the “bonus room” on an air mattress with my dog (not letting anyone else touch her), my dad is staying in the guest room, and my mom is in the master. We all have individual bathrooms and are being vigilant about sanitizing. 
Is there anything else we can do? My dads underlying conditions put him greatly at risk of succumbing to the virus if he contracts it, so we are looking to be as proactive as possible. 
Thanks so much :)</t>
        </is>
      </c>
      <c r="D3378" t="n">
        <v>5</v>
      </c>
      <c r="E3378" t="n">
        <v>24</v>
      </c>
      <c r="F3378">
        <f>HYPERLINK("https://www.reddit.com/r/COVID19positive/comments/httgap/presumed_positive_living_with_very_high_risk/")</f>
        <v/>
      </c>
      <c r="G3378" t="inlineStr">
        <is>
          <t>2020-07-18 19:57:05</t>
        </is>
      </c>
      <c r="H3378" t="inlineStr">
        <is>
          <t>Presumed Positive - From Doctor</t>
        </is>
      </c>
    </row>
    <row r="3379">
      <c r="A3379" t="inlineStr">
        <is>
          <t>httwne</t>
        </is>
      </c>
      <c r="B3379" t="inlineStr">
        <is>
          <t>Am I just worrying too much ??</t>
        </is>
      </c>
      <c r="C3379" t="inlineStr">
        <is>
          <t>How high Is my risk?
 Well I stay in Cali(NorCal) I’m 17 with no real major health issues however not much concerned about myself more so my family  
I had a friend visit me right after my sisters friend visited her they are both from states with not as high cases as California has
We’ve both kept a mask on as much as we humanly can (have to eat drink and something get a break from the mask but it doesn’t last long)  anyway just for safety we checked his temperature his is 96.0 and mine was atleast 98.9 
I stay in the mountains and it was very very cold last night I woke up with some cold in my chest and a very sore throat but I drunk  some tea with some vitamin c took my  multi vites however 
Ive been wearing a mask for 12-14 hrs (friend is still here ) and ive taken it off and now my throat hurts and It feels like I’m adjusting to my own face and breathing again like it’s super dry and sore and feels full 
Is this just a sign of wearing the mask too long ? Or did I possibly get exposed either through him or just going out 
Not to mention I was presumed positive back in March and that lasted 12 days 
March symptoms were  bad headache runny nose couldn’t eat anything at all sneeze cough chest pressure and a tight throat shooting hot pains through my arm and leg fatigue and a high fever along with watery eyes
Keep in mind I have active allergies I get a sneeze or two each day without fail , and I can always tell when it’s just allergy /anxiety symptoms when I don’t worry about anything my body is giving me it goes away which makes me believe it’s just anxiety mixed with allergies However my sisters friend stayed in our house and he also visited LA  days before he saw my sister I’m not worried abt my friend he took precautions and I made him take a evidential  proof of it however my sisters friend I’m not worried abt just added info</t>
        </is>
      </c>
      <c r="D3379" t="n">
        <v>1</v>
      </c>
      <c r="E3379" t="n">
        <v>12</v>
      </c>
      <c r="F3379">
        <f>HYPERLINK("https://www.reddit.com/r/COVID19positive/comments/httwne/am_i_just_worrying_too_much/")</f>
        <v/>
      </c>
      <c r="G3379" t="inlineStr">
        <is>
          <t>2020-07-18 20:29:43</t>
        </is>
      </c>
      <c r="H3379" t="inlineStr">
        <is>
          <t>Presumed Positive - From Doctor</t>
        </is>
      </c>
    </row>
    <row r="3380">
      <c r="A3380" t="inlineStr">
        <is>
          <t>htu41y</t>
        </is>
      </c>
      <c r="B3380" t="inlineStr">
        <is>
          <t>Cost to test in NC?</t>
        </is>
      </c>
      <c r="C3380" t="inlineStr">
        <is>
          <t>My husband was tested on Wednesday and we just received positive results earlier today. He has health insurance and had to pay his normal copay which was $50. 
We have not quarantined from one another and I’ve been having symptoms but unfortunately I do not have health insurance. Does anyone here know about how much it would be? Not sure if there were free tests or if it varies by state or clinic since he had to pay.</t>
        </is>
      </c>
      <c r="D3380" t="n">
        <v>1</v>
      </c>
      <c r="E3380" t="n">
        <v>18</v>
      </c>
      <c r="F3380">
        <f>HYPERLINK("https://www.reddit.com/r/COVID19positive/comments/htu41y/cost_to_test_in_nc/")</f>
        <v/>
      </c>
      <c r="G3380" t="inlineStr">
        <is>
          <t>2020-07-18 20:44:53</t>
        </is>
      </c>
      <c r="H3380" t="inlineStr">
        <is>
          <t>Tested Positive - Family</t>
        </is>
      </c>
    </row>
    <row r="3381">
      <c r="A3381" t="inlineStr">
        <is>
          <t>htufkw</t>
        </is>
      </c>
      <c r="B3381" t="inlineStr">
        <is>
          <t>My Roommate might’ve brought back COVID 😭</t>
        </is>
      </c>
      <c r="C3381" t="inlineStr">
        <is>
          <t>My freaking stupid roommate went to a party a week ago, and just informed me that a few of her friends tested positive for COVID and that she’s getting tested. I’m so angry- I have been so, so careful, and have tried super hard to avoid getting sick. I’m not sure if I’m imagining it, but my stomach hasn’t been right these past few days and I’ve noticed that I’m feeling under the weather. I’m not sure if I should self-isolate or not, and I’m freaking out because I just saw my grandma for the first time in ages. I’m so upset. How likely is it that I’ve caught/spread COVID?! Is it definitely a death sentence for older people? 😩</t>
        </is>
      </c>
      <c r="D3381" t="n">
        <v>146</v>
      </c>
      <c r="E3381" t="n">
        <v>89</v>
      </c>
      <c r="F3381">
        <f>HYPERLINK("https://www.reddit.com/r/COVID19positive/comments/htufkw/my_roommate_mightve_brought_back_covid/")</f>
        <v/>
      </c>
      <c r="G3381" t="inlineStr">
        <is>
          <t>2020-07-18 21:09:50</t>
        </is>
      </c>
      <c r="H3381" t="inlineStr">
        <is>
          <t>Tested Positive - Friends</t>
        </is>
      </c>
    </row>
    <row r="3382">
      <c r="A3382" t="inlineStr">
        <is>
          <t>htuh3r</t>
        </is>
      </c>
      <c r="B3382" t="inlineStr">
        <is>
          <t>Asymptomatic</t>
        </is>
      </c>
      <c r="C3382" t="inlineStr">
        <is>
          <t>Hello all!
I got exposed on the 4th of July and decided to get tested yesterday. I had no symptoms but wanted to test out of an abundance of caution. I tested positive. I still have no major symptoms. Just a slight stuffy nose and occasional fatigue.
Anybody else experienced this? 
Also, any tips on vitamins, supplements, and/or food to eat while sick?</t>
        </is>
      </c>
      <c r="D3382" t="n">
        <v>9</v>
      </c>
      <c r="E3382" t="n">
        <v>22</v>
      </c>
      <c r="F3382">
        <f>HYPERLINK("https://www.reddit.com/r/COVID19positive/comments/htuh3r/asymptomatic/")</f>
        <v/>
      </c>
      <c r="G3382" t="inlineStr">
        <is>
          <t>2020-07-18 21:13:08</t>
        </is>
      </c>
      <c r="H3382" t="inlineStr">
        <is>
          <t>Tested Positive - Me</t>
        </is>
      </c>
    </row>
    <row r="3383">
      <c r="A3383" t="inlineStr">
        <is>
          <t>htumx2</t>
        </is>
      </c>
      <c r="B3383" t="inlineStr">
        <is>
          <t>What to do when your loved one gets worse?</t>
        </is>
      </c>
      <c r="C3383" t="inlineStr">
        <is>
          <t>My mom, who doesn't live with me, hasn't been giving me a lot of details about her condition. At first my mother told me she was sick, then she told me that she was covid-19 positive. However, today she finally told me she experiencing pain and a fever. She is having a hard time eating. This is not like her at all. I cried when she first told me she was positive. Later I came here and you all gave me some encouraging words. I had some confidence that she would get better, but instead the opposite happened. The first few days her condition did not display a lot of symptoms.</t>
        </is>
      </c>
      <c r="D3383" t="n">
        <v>0</v>
      </c>
      <c r="E3383" t="n">
        <v>13</v>
      </c>
      <c r="F3383">
        <f>HYPERLINK("https://www.reddit.com/r/COVID19positive/comments/htumx2/what_to_do_when_your_loved_one_gets_worse/")</f>
        <v/>
      </c>
      <c r="G3383" t="inlineStr">
        <is>
          <t>2020-07-18 21:26:11</t>
        </is>
      </c>
      <c r="H3383" t="inlineStr">
        <is>
          <t>Tested Positive - Family</t>
        </is>
      </c>
    </row>
    <row r="3384">
      <c r="A3384" t="inlineStr">
        <is>
          <t>htvvv1</t>
        </is>
      </c>
      <c r="B3384" t="inlineStr">
        <is>
          <t>Diabetic with no-symptoms?</t>
        </is>
      </c>
      <c r="C3384" t="inlineStr">
        <is>
          <t>Hey all. Wanted to ask for your advice (specially for those who are diabetic). My dad is 56 and diabetic – he ignored his diabetes diagnosis a couple of years ago and kinda went on with his life. He tested positive this past Monday (6 days ago). 
He got tested because he came in contact with someone who tested positive. His exposure to that person was 10 days ago or longer.  As you all can imagine all of my family is very concerned for him. He has absolutely no symptoms – no headaches, fever, runny nose, cough or anything of that sort. He got some bloodwork done and his ferritin level was a bit high. (699 on a range from 30 to 400). My family wonders what should we do or not do? Doctor gave him Ivermectin, Paracetamol, Azithromycin, Apixaban, and Jardianz duo (For his diabetes). After how many days of no-symptoms would he be in the clear? Thank you all for your comments/suggestions.</t>
        </is>
      </c>
      <c r="D3384" t="n">
        <v>2</v>
      </c>
      <c r="E3384" t="n">
        <v>10</v>
      </c>
      <c r="F3384">
        <f>HYPERLINK("https://www.reddit.com/r/COVID19positive/comments/htvvv1/diabetic_with_nosymptoms/")</f>
        <v/>
      </c>
      <c r="G3384" t="inlineStr">
        <is>
          <t>2020-07-18 23:14:25</t>
        </is>
      </c>
      <c r="H3384" t="inlineStr">
        <is>
          <t>Tested Positive - Family</t>
        </is>
      </c>
    </row>
    <row r="3385">
      <c r="A3385" t="inlineStr">
        <is>
          <t>htw1lj</t>
        </is>
      </c>
      <c r="B3385" t="inlineStr">
        <is>
          <t>Anyone recover from covid-19 without having any serious symptoms?</t>
        </is>
      </c>
      <c r="C3385" t="inlineStr">
        <is>
          <t>I was just tested positive for covid-19. 3 days back I had a low grade fever that lasted only a few hours. Had a runny nose that's now gone. Only I can't smell or taste. 
I feel good. But I'm wondering if I can walk away from this so easily as many people have serious symptoms.
Trying to remain positive about this because I suffer from anxiety. But it's hard.</t>
        </is>
      </c>
      <c r="D3385" t="n">
        <v>2</v>
      </c>
      <c r="E3385" t="n">
        <v>22</v>
      </c>
      <c r="F3385">
        <f>HYPERLINK("https://www.reddit.com/r/COVID19positive/comments/htw1lj/anyone_recover_from_covid19_without_having_any/")</f>
        <v/>
      </c>
      <c r="G3385" t="inlineStr">
        <is>
          <t>2020-07-18 23:29:50</t>
        </is>
      </c>
      <c r="H3385" t="inlineStr">
        <is>
          <t>Tested Positive - Friends</t>
        </is>
      </c>
    </row>
    <row r="3386">
      <c r="A3386" t="inlineStr">
        <is>
          <t>htwddz</t>
        </is>
      </c>
      <c r="B3386" t="inlineStr">
        <is>
          <t>My daily COVID breakdown. If you have any suspicions, go get tested!</t>
        </is>
      </c>
      <c r="C3386" t="inlineStr">
        <is>
          <t>Day 1: I woke up with back pain. I thought it may have been from sleeping on a new mattress so I got on with my day and ignored it. However, as the day went on, the back pain spread and turned into full body muscle aches. I began to have a scratchy throat mid-day, like a cold was coming on. It felt like I had a fever minus the chills that I typically get with a fever. I took my temperature and did not have one. Later that night I had some diarrhea and stomach pain. I did experience some chills that night but still didn't have a fever. My temperature usually is around 97.6-97.9. My temperature was consistently registering as 98.4-98.6. While not a fever, it was still nearly a degree higher than normal. 
Day 2: I felt better. Still some body aches but not nearly as bad. By this point I had some post-nasal drip in the back of my throat and was constantly clearing my throat, but no cough. My throat was starting to hurt worse as well. I was starting to feel winded when I did things that typically wouldn't wind me. Like going for a walk outside or going up and down stairs. 
Day 3: Probably the worst day. The muscle aches were gone but I hadn't been able to get comfortable the previous night. It's hard to describe the discomfort. My chest felt strange. Sometimes like I had rocks in my chest. Other times it felt crampy in my ribs. When I lay on my back it felt as if something was sitting on my chest. I tossed and turned and was up at 2 am and didn't fall back asleep until about 7 am. When I woke back up, I noticed that how winded I was was worse than the day before. I lay in bed most of the day as sitting up was more uncomfortable than laying at that point. Still no official fever. My post nasal drip was still present and I was still clearing my throat, but no cough. I did get up for a bit and walk around my apartment in the afternoon. When I lay back down that night I was extremely uncomfortable again. Still the same chest pressure and cramping.
Day 4:  I felt a bit better. Still winded and fatigued. But I was able to get up and sit at my desk. I would often get cramps or sharp pains in my chest and ribs. Sometimes when I would be breathing in and sometimes when I would just be sitting. I had an on and off headache all day. 
Day 5: My stuffy nose and cough got a bit worse on this day as well as my headache. However, my rib/chest cramps had lessened and I was less tired. I was able to move around more. My post nasal drip turned into a very stuffy nose with sneezing and a slight cough. This felt just like a cold would. I had some slight sinus pressure as well. I lost my sense of smell on this day.
Days 6-7: All of my other symptoms are gone except for the headache and a very stuffy nose with a mild cough. I sneezed a lot more than I coughed. It definitely felt like a cold this day. By day 7, my stuffy nose had lessened a lot as well as my cough. 
Day 8: All of my symptoms are gone except for no scent still and a chapped nose from blowing it so much. This was the day I was finally able to get tested. I got the nasopharyngeal swab and I was honestly extremely nervous about it. For those who are also nervous about it, it was not bad at all. I got both nostrils swabbed. It was just a little uncomfortable and strange feeling. There was a slight burning sensation on the second nostril but that was it.  
It is currently day 12 and I got my positive results back. Never had a fever, never had a heavy cough. I still don't have my smell back but that's my only symptom left. I have yet to lose my taste. My fiance has not only been exposed to me but also a co-worker he was with. He has had no symptoms as of yet but I will be astonished if he comes back negative. He got tested as well and we are still waiting on his results. I went back and forth about whether or not to get tested at first because of the lack of cough and fever. A lot of people where I live assume if you don't have "traditional" COVID symptoms, there's no point in getting tested. I'm here to tell you to GET TESTED. I decided to post my daily experience for others to see in case they need any convincing about being tested because they don't have a fever, cough, or trouble breathing. There's no such thing as "traditional" COVID symptoms. It could present as anything or nothing. If you have any suspicion go get tested if you are able</t>
        </is>
      </c>
      <c r="D3386" t="n">
        <v>232</v>
      </c>
      <c r="E3386" t="n">
        <v>129</v>
      </c>
      <c r="F3386">
        <f>HYPERLINK("https://www.reddit.com/r/COVID19positive/comments/htwddz/my_daily_covid_breakdown_if_you_have_any/")</f>
        <v/>
      </c>
      <c r="G3386" t="inlineStr">
        <is>
          <t>2020-07-19 00:01:36</t>
        </is>
      </c>
      <c r="H3386" t="inlineStr">
        <is>
          <t>Tested Positive - Me</t>
        </is>
      </c>
    </row>
    <row r="3387">
      <c r="A3387" t="inlineStr">
        <is>
          <t>htwmhi</t>
        </is>
      </c>
      <c r="B3387" t="inlineStr">
        <is>
          <t>COVID symptom or physical anxiety?</t>
        </is>
      </c>
      <c r="C3387" t="inlineStr">
        <is>
          <t>Hi all, I tested positive for covid on July 3rd and as of today it has been a total of 3 weeks since I tested positive. During my first week I’ve had symptoms of dry coughing, a loss of sense of taste and smell, and gastro problems such as diarrhea and my stomach acting bubbly (needing to burp most of the time). I did not experience any kind of fever, shortness of breath, nausea, headaches, etc. 
My symptoms started to become better during my second week (all symptoms were gone except for my dry cough). I had a 2 week follow up appointment on my covid symptoms yesterday the 17th and my oxygen levels were normal and the doctor even checked my breathing, my heart, and my lungs for that matter and said it was normal. 
Last night, I was awaken at 4 am with an almost feeling of an elevated heart rate and a very slight tightness to my chest. I went to use the restroom, came back and took some deep breaths to calm myself down and was able to go back to sleep. I woke up this morning with the same feeling of an elevated heart rate almost like it’s pounding and I can breathe normally, but there are instances where I’m constantly taking a deep breathe and there are also times where I would try to take a deep breath in but would fail and it almost sounds like a sigh. I also sometimes have this feeling of tightness around my throat area (I think it may be from my constant coughing because I still have it, it never went away) whenever I feel like I’m coughing too much, I also have heartburn and I feel the need to burp more than usual, and sometimes nausea. 
I have been diagnosed with anxiety before, but I’ve never had this feeling of constantly taking deep breaths... just the nausea and heartburn is usually what I feel when I’m anxious. 
Can some of you possibly give me some advice or reassurance if whether or not my weird awakening at 4 am was possibly an anxiety attack or a new symptom of covid even though I was feeling 99% recovered 2 days ago? I am currently still experiencing those anxiety like symptoms, but I’m unsure if it could be related to covid and it’s SOB and gasping for air and if I should go to the hospital. 
Thanks guys!</t>
        </is>
      </c>
      <c r="D3387" t="n">
        <v>1</v>
      </c>
      <c r="E3387" t="n">
        <v>10</v>
      </c>
      <c r="F3387">
        <f>HYPERLINK("https://www.reddit.com/r/COVID19positive/comments/htwmhi/covid_symptom_or_physical_anxiety/")</f>
        <v/>
      </c>
      <c r="G3387" t="inlineStr">
        <is>
          <t>2020-07-19 00:26:36</t>
        </is>
      </c>
      <c r="H3387" t="inlineStr">
        <is>
          <t>Tested Positive</t>
        </is>
      </c>
    </row>
    <row r="3388">
      <c r="A3388" t="inlineStr">
        <is>
          <t>htwn1h</t>
        </is>
      </c>
      <c r="B3388" t="inlineStr">
        <is>
          <t>Question for those who don't know how they contracted COVID-19</t>
        </is>
      </c>
      <c r="C3388" t="inlineStr">
        <is>
          <t>I've been trying to trace my steps the weeks leading to my diagnosis. I've narrowed it down to a couple locations. I was curious if anyone who has COVID-19 or had it visited dispensaries in Eastern Oregon. I know one of my acquaintances had also contracted it around the same time I had and we had been to the same location. 
I am suspicious because PPE was used very inconsistently among most people I had seen one a couple occasions. I wore my mask and sanitized my hands.</t>
        </is>
      </c>
      <c r="D3388" t="n">
        <v>1</v>
      </c>
      <c r="E3388" t="n">
        <v>13</v>
      </c>
      <c r="F3388">
        <f>HYPERLINK("https://www.reddit.com/r/COVID19positive/comments/htwn1h/question_for_those_who_dont_know_how_they/")</f>
        <v/>
      </c>
      <c r="G3388" t="inlineStr">
        <is>
          <t>2020-07-19 00:28:01</t>
        </is>
      </c>
      <c r="H3388" t="inlineStr">
        <is>
          <t>Tested Positive</t>
        </is>
      </c>
    </row>
    <row r="3389">
      <c r="A3389" t="inlineStr">
        <is>
          <t>htxc0y</t>
        </is>
      </c>
      <c r="B3389" t="inlineStr">
        <is>
          <t>My heart is pounding like I'm mid-run.</t>
        </is>
      </c>
      <c r="C3389" t="inlineStr">
        <is>
          <t>I won't go to the hospital, it's just me and my kid. Anybody know how long the pounding takes to pass? Assuming any of you are awake.</t>
        </is>
      </c>
      <c r="D3389" t="n">
        <v>5</v>
      </c>
      <c r="E3389" t="n">
        <v>12</v>
      </c>
      <c r="F3389">
        <f>HYPERLINK("https://www.reddit.com/r/COVID19positive/comments/htxc0y/my_heart_is_pounding_like_im_midrun/")</f>
        <v/>
      </c>
      <c r="G3389" t="inlineStr">
        <is>
          <t>2020-07-19 01:36:40</t>
        </is>
      </c>
      <c r="H3389" t="inlineStr">
        <is>
          <t>Presumed Positive - From Test</t>
        </is>
      </c>
    </row>
    <row r="3390">
      <c r="A3390" t="inlineStr">
        <is>
          <t>htxos0</t>
        </is>
      </c>
      <c r="B3390" t="inlineStr">
        <is>
          <t>How does extended Covid feel?</t>
        </is>
      </c>
      <c r="C3390" t="inlineStr">
        <is>
          <t>For those wondering how Covid feels weeks/months after infection, here's my experience. I would say I was a serious case within the officially designated "mild" cases - never hospitalized. Nothing was consistent but occurred in waves of length and/or severity. Always fatigue - either sitting or lying down. I'm Week 19/128d with no prior health issues, 120 lbs, female, no previous medications, hiking mountains the week I was infected. 56yo
**Lungs**: Sometimes like my lungs are filled with smoke; sometimes like a lung collapses or crumples up like a paper ball; sometimes with aches in various locations; sometimes like it forgets how to breathe and I have to consciously take in a breath; sometimes like lungs are heavy sacks; sometimes like someone's sitting on lungs; sometimes like a bronchial infection; sometimes like the air's too thick to pull in; sometimes like I'm on top of a high mountain at high altitude; sometimes like my lungs are icy burning; SOB where it's a strain to breathe in and can't complete a sentence; light dry cough with throat phlegm
**Heart**: achy feeling over heart when talk on phone for more than 20 min or if walk longer than a certain amount of time; occasional racing or pounding or irregular rhythm despite sitting doing nothing; pain from heart streaking across chest to left arm/shoulder; sudden dizziness and limb weakness
**GI**: diarrhea; upper stomach fullness despite barely eating - could barely breathe; lack of appetite; food aversion; weight loss; huge belching; nausea
**Neurological**: severe migraine at onset and then lesser ones for first couple months; left brainstem pain; numbness in limbs and on left side of body; tingling in limbs; dizziness; confusion/disorientation; brainfog; short term memory difficulties; difficulty multi-tasking; blurry/double vision; ear pain; complete loss of smell/taste; change of taste (food tasted like chemicals); phantom smells
**Vascular**: random bruising; surface skin vein clotting; localized aches in left leg; sudden blood loss to arm; bulging veins in various parts of body; extremely cold extremities; sudden onset numbness/tingling/weakness; Covid toe
**Kidney**: sharp pains in kidney area in back; difficulty urinating despite full bladder
Most have lessened in severity or are no longer returning. But new things crop up each day/week.</t>
        </is>
      </c>
      <c r="D3390" t="n">
        <v>30</v>
      </c>
      <c r="E3390" t="n">
        <v>55</v>
      </c>
      <c r="F3390">
        <f>HYPERLINK("https://www.reddit.com/r/COVID19positive/comments/htxos0/how_does_extended_covid_feel/")</f>
        <v/>
      </c>
      <c r="G3390" t="inlineStr">
        <is>
          <t>2020-07-19 02:14:31</t>
        </is>
      </c>
      <c r="H3390" t="inlineStr">
        <is>
          <t>Presumed Positive - From Doctor</t>
        </is>
      </c>
    </row>
    <row r="3391">
      <c r="A3391" t="inlineStr">
        <is>
          <t>htxsdx</t>
        </is>
      </c>
      <c r="B3391" t="inlineStr">
        <is>
          <t>Here's my story, hope it can help you shed some light on some of your doubts. (32/M/positive/asymptomatic,smoker)</t>
        </is>
      </c>
      <c r="C3391" t="inlineStr">
        <is>
          <t>Hi,
first of all sorry for my bad english, but it's not my native language. (I'm an italian 32 male, living in Bulgaria for work reason with my 31 mexican wife, smoker).
Long story short (wall of text coming), my wife arrived here in Bulgaria on 27/6/20. She was fine and we spent the following weekend going out for the 1st time after many days of lockdown. This was probably the first and only situation in which we didn't wear a mask properly after all this mess started, because we felt safe here due to the lower amount of case compared to Italy).
tuesday 30/6: she started feeling weird (low fever, fatigue, some diarrea and stomach/head ache). We thought those were still some side effects of saturday's night hangover, she took paracetamol and we went to sleep.
Wednesday 01/07: she woke up with 37.5 C, I started feeling that something was wrong since she rarely gets sick. I called my boss and he suggested me to stay home and not going to to work till the situation gets clear. We are working on an international construction project, so luckily we have the possibility to get tested whenever we want, and he organized a PCR swab test for the next friday 3/7.
Meanwhile, her fever gets higher, almost till 39 C. She started to cough (not so badly) and to feel really really tired and sleepy. She was taking paracetamol to lower the fever, and she was basically sleeping all the time. Also she started to lose her sense of smell. I was feeling pretty good, working out and waiting for our test.
friday 3/7: she feels better, we got tested
saturday 4/7: she keeps getting better, no fever at all, no cough, just some fatigue. Sense of smell gets back. I'm feeling great. We got the results in the afternoon: she was positive, I was negative. But I was sure I got infected, we had spent the last 4 days locked down in a small flat, kissing etc. etc.
monday 6/7. They come and test me again. On wednesday 8/7 I got the result and I was positive. I felt good, no fever, no cough, no fatigue, but all of a sudden my sense of smell disappeared.
I spent the following days waiting for the virus to kick me hard, but it simply didn't. My wife kept feeling better. My sense of smell was totally inhibited. I could not smell NOTHING. Taste was still working, but mainly recognizing if something was salty, spicy, sweet, sour, and not really the specific taste itself (maybe due to the lack of smell).
 monday 13/7. They come to our place to take a blood test. The following days we received the results:
My wife had COVID19 IGG 4,0 (limit is 1) and IGM 0,8 (limit is 1). After some google, looks like so that she had already then anticorps "that last" and no undergoing infection.
Me..I had nothing. IGG 0,3 and IGM 0,1. I thought that maybe my body didn't start producing them since I almost got no symptoms, meaning a milder reaction by my system. I was fine, so I didn't worry and waited for the next PCR test to come.
thursday 16/7. We got another PCR test and the day after we resulted both negative. We felt so blessed and happy, cause we didn't have any of the bad symptoms/consequence I heard and lived from others experience (I know personally people who died for covid)
I was also lucky that my company provided me with all this tests in a timely manner and I didn't to just wait as it happens in many country (like in Italy and in the US as far as I understood from your stories)
Today, 19/7, my sense of smell still doesn't work. I hope it will get back sooner or later, but I accept this if compared to the lack of breath etc.
&amp;amp;#x200B;
a few lesson learned:
&amp;amp;#x200B;
\- you can take care of yourself but this virus is a bastard and as soon as you leave him some way to attack you, he will do that. 
\- PCR negative test means nothing if made in the wrong timeframe. I was negative on friday, positive on monday
\- Asymptomatic people are really. If my wife didn't had some real symptoms (like high fever) we would have let things go, I would have been infected and I would have spreaded it to the 500+ people i work with.
&amp;amp;#x200B;
I wish you all the best, take care of yourselves.
&amp;amp;#x200B;
ciao</t>
        </is>
      </c>
      <c r="D3391" t="n">
        <v>426</v>
      </c>
      <c r="E3391" t="n">
        <v>101</v>
      </c>
      <c r="F3391">
        <f>HYPERLINK("https://www.reddit.com/r/COVID19positive/comments/htxsdx/heres_my_story_hope_it_can_help_you_shed_some/")</f>
        <v/>
      </c>
      <c r="G3391" t="inlineStr">
        <is>
          <t>2020-07-19 02:24:56</t>
        </is>
      </c>
      <c r="H3391" t="inlineStr">
        <is>
          <t>Tested Positive</t>
        </is>
      </c>
    </row>
    <row r="3392">
      <c r="A3392" t="inlineStr">
        <is>
          <t>hty32q</t>
        </is>
      </c>
      <c r="B3392" t="inlineStr">
        <is>
          <t>Does taking TOO much vitamin D worsen your state?</t>
        </is>
      </c>
      <c r="C3392" t="inlineStr">
        <is>
          <t>I was doing fairly decent a week ago
I used to take 5000IU vitamin D daily but they expired so i asked my dad to bring more on his way home from work.
He accidentally picked 10000IU vitamin D though, so i started taking vitamin D every OTHER day rather than every single day
However i noticed that eating the 10000IU one brought in great improvements and part of the reason why i felt great was due to it (i think)
So i decided to start taking them daily instead.
Im not showing any signs or symptoms of vitamin D overdose but i feel terrible in all regards.
My SOB is terrible, dryness, terrible sore throat, nausea, weakness, fatigue, and so on.</t>
        </is>
      </c>
      <c r="D3392" t="n">
        <v>2</v>
      </c>
      <c r="E3392" t="n">
        <v>14</v>
      </c>
      <c r="F3392">
        <f>HYPERLINK("https://www.reddit.com/r/COVID19positive/comments/hty32q/does_taking_too_much_vitamin_d_worsen_your_state/")</f>
        <v/>
      </c>
      <c r="G3392" t="inlineStr">
        <is>
          <t>2020-07-19 02:54:50</t>
        </is>
      </c>
      <c r="H3392" t="inlineStr">
        <is>
          <t>Tested Positive - Me</t>
        </is>
      </c>
    </row>
    <row r="3393">
      <c r="A3393" t="inlineStr">
        <is>
          <t>htzyts</t>
        </is>
      </c>
      <c r="B3393" t="inlineStr">
        <is>
          <t>What is the best oximeter to buy online (affordable)?</t>
        </is>
      </c>
      <c r="C3393" t="inlineStr">
        <is>
          <t>My mother was informed she had COVID-19, and some redditors said to get an oximeter, but there are so many options. Any recommendations?</t>
        </is>
      </c>
      <c r="D3393" t="n">
        <v>1</v>
      </c>
      <c r="E3393" t="n">
        <v>10</v>
      </c>
      <c r="F3393">
        <f>HYPERLINK("https://www.reddit.com/r/COVID19positive/comments/htzyts/what_is_the_best_oximeter_to_buy_online_affordable/")</f>
        <v/>
      </c>
      <c r="G3393" t="inlineStr">
        <is>
          <t>2020-07-19 05:48:00</t>
        </is>
      </c>
      <c r="H3393" t="inlineStr">
        <is>
          <t>Tested Positive - Family</t>
        </is>
      </c>
    </row>
    <row r="3394">
      <c r="A3394" t="inlineStr">
        <is>
          <t>hu000c</t>
        </is>
      </c>
      <c r="B3394" t="inlineStr">
        <is>
          <t>Still no taste and smell 8 weeks later</t>
        </is>
      </c>
      <c r="C3394" t="inlineStr">
        <is>
          <t>Posted here about loss of taste and smell about 2 weeks after I lost it. Now it’s over 8 weeks since I had taste/smell. I had very mild symptoms of covid (lasted only 3 days) and Im very young. So to me it felt like a no-brainer that I’m going to get my senses back, not so sure anymore. 
Anyone else in the same boat as me? 
Brings me a lot of anxiety to think about it, but I guess that’s my life now.</t>
        </is>
      </c>
      <c r="D3394" t="n">
        <v>35</v>
      </c>
      <c r="E3394" t="n">
        <v>48</v>
      </c>
      <c r="F3394">
        <f>HYPERLINK("https://www.reddit.com/r/COVID19positive/comments/hu000c/still_no_taste_and_smell_8_weeks_later/")</f>
        <v/>
      </c>
      <c r="G3394" t="inlineStr">
        <is>
          <t>2020-07-19 05:50:35</t>
        </is>
      </c>
      <c r="H3394" t="inlineStr">
        <is>
          <t>Tested Positive - Me</t>
        </is>
      </c>
    </row>
    <row r="3395">
      <c r="A3395" t="inlineStr">
        <is>
          <t>hu0fg0</t>
        </is>
      </c>
      <c r="B3395" t="inlineStr">
        <is>
          <t>A lot of the mental is placebo</t>
        </is>
      </c>
      <c r="C3395" t="inlineStr">
        <is>
          <t>Before downvoting please read the entire post. 
About a month and a half ago I started experiencing COVID symptoms, but given my busy lifestyle I did not take the time to consider they could be covid. Symptoms were diarrhea, tiredness &amp;amp; dizziness (especially in the morning), shortness of breath (also mostly in the morning), testicle &amp;amp; abominable pain, and the occasional feeling of needing to cough. Oddly enough never had loss of taste or smell. 
A couple weeks ago after curiously reading through this subreddit I realized people who tested positive have similar symptoms as I (the specifics like testicle and abdominal pain, specifically the left side, had me really interested). Most individuals though were commenting on their mental awareness, like severe confusion/delirium. 
I decided to get a test which resulted negative but my antibody test was positive. This made me come to a conclusion. 
After realizing I had covid, I ran multiple situations through my head, like was I acting a certain way then because I had covid? Etc. 
You guys are getting tested positive and running thousands of situations in your head and reading so much negative news on social media and that is severely affecting your mindsets. Or when you suddenly feel out of breath or dizzy do not overthink it and become overwhelmed because of it. I believe a lot of this is contributing to the confusion and delirium side effects. If you are not experiencing heavy fever symptoms, please relax! Try to think about other things, I not once felt clumsy or such things during my symptom period, maybe just in the morning but that felt normal because I just woke up.
This is absolutely not to take away from the thousands of people dying, this is a serious disease that needs to be taken seriously. But I really wish a lot of you to not be so anxious for what is going to happen to you. The more you think of it, believe it as a true and give the feeling to it accordingly - the denser the possibility becomes. So please, focus your mind elsewhere and maybe not read so much on the negative news that just feeds this mindset. And please be safe.</t>
        </is>
      </c>
      <c r="D3395" t="n">
        <v>1</v>
      </c>
      <c r="E3395" t="n">
        <v>36</v>
      </c>
      <c r="F3395">
        <f>HYPERLINK("https://www.reddit.com/r/COVID19positive/comments/hu0fg0/a_lot_of_the_mental_is_placebo/")</f>
        <v/>
      </c>
      <c r="G3395" t="inlineStr">
        <is>
          <t>2020-07-19 06:24:03</t>
        </is>
      </c>
      <c r="H3395" t="inlineStr">
        <is>
          <t>Tested Positive - Me</t>
        </is>
      </c>
    </row>
    <row r="3396">
      <c r="A3396" t="inlineStr">
        <is>
          <t>hu1gkw</t>
        </is>
      </c>
      <c r="B3396" t="inlineStr">
        <is>
          <t>COVID Positive People- Did you retest after 14 days?</t>
        </is>
      </c>
      <c r="C3396" t="inlineStr">
        <is>
          <t>Hey guys, so about 10 days ago I tested positive for the dreaded COVID.
My symptoms have been pretty mild throughout, the worst thing is the hacking coughs &amp;amp; fatigue. 
On Thursday, my 2 week quarantine will be up. Should I go get another test before going out of quarantine? What have other people done? Thanks in advance! 🙏</t>
        </is>
      </c>
      <c r="D3396" t="n">
        <v>7</v>
      </c>
      <c r="E3396" t="n">
        <v>20</v>
      </c>
      <c r="F3396">
        <f>HYPERLINK("https://www.reddit.com/r/COVID19positive/comments/hu1gkw/covid_positive_people_did_you_retest_after_14_days/")</f>
        <v/>
      </c>
      <c r="G3396" t="inlineStr">
        <is>
          <t>2020-07-19 07:35:33</t>
        </is>
      </c>
      <c r="H3396" t="inlineStr">
        <is>
          <t>Tested Positive - Me</t>
        </is>
      </c>
    </row>
    <row r="3397">
      <c r="A3397" t="inlineStr">
        <is>
          <t>hu1njh</t>
        </is>
      </c>
      <c r="B3397" t="inlineStr">
        <is>
          <t>Fiance tested negative/positive/negative again within 14 days. Would you consider that a false positive? Trying to figure out if I still need to consider myself exposed to the virus.</t>
        </is>
      </c>
      <c r="C3397" t="inlineStr">
        <is>
          <t>My fiancé tested negative on 7/3, positive on 7/9, and negative on 7/15. I tested negative on 7/15. No symptoms for either of us so far. 
Would you consider that 7/9 positive false? Or is it possible that his 7/3 negative was false, and I was still potentially exposed? Trying to figure out if I still have to stay home for 14 days. I don’t want to do anything to put my coworkers at risk, but I also don’t want to miss work unnecessarily. 
I’ve tried googling and couldn’t find a clear answer, and it will take a few days to get a response from my doctor. Thanks for any insight you can provide!</t>
        </is>
      </c>
      <c r="D3397" t="n">
        <v>2</v>
      </c>
      <c r="E3397" t="n">
        <v>16</v>
      </c>
      <c r="F3397">
        <f>HYPERLINK("https://www.reddit.com/r/COVID19positive/comments/hu1njh/fiance_tested_negativepositivenegative_again/")</f>
        <v/>
      </c>
      <c r="G3397" t="inlineStr">
        <is>
          <t>2020-07-19 07:48:55</t>
        </is>
      </c>
      <c r="H3397" t="inlineStr">
        <is>
          <t>Tested Positive - Family</t>
        </is>
      </c>
    </row>
    <row r="3398">
      <c r="A3398" t="inlineStr">
        <is>
          <t>hu1v72</t>
        </is>
      </c>
      <c r="B3398" t="inlineStr">
        <is>
          <t>Tested Negative :(</t>
        </is>
      </c>
      <c r="C3398" t="inlineStr">
        <is>
          <t>Surprisingly I got my results back from being tested Friday afternoon. It was negative. I don't believe it for a minute that it's accurate though given everything I've heard around her from friends who are RNs or CNAs with the number of sick folk with a multitude of Covid symptoms coming up negative. Was able to get in touch with my doc's nurse this morning and she recommended getting tested again soon.  I almost broke down and went to the ER because I felt so bad yesterday. If it's not trying to kill me then wtf is?!</t>
        </is>
      </c>
      <c r="D3398" t="n">
        <v>2</v>
      </c>
      <c r="E3398" t="n">
        <v>12</v>
      </c>
      <c r="F3398">
        <f>HYPERLINK("https://www.reddit.com/r/COVID19positive/comments/hu1v72/tested_negative/")</f>
        <v/>
      </c>
      <c r="G3398" t="inlineStr">
        <is>
          <t>2020-07-19 08:02:52</t>
        </is>
      </c>
      <c r="H3398" t="inlineStr">
        <is>
          <t>Presumed Positive - From Doctor</t>
        </is>
      </c>
    </row>
    <row r="3399">
      <c r="A3399" t="inlineStr">
        <is>
          <t>hu20zf</t>
        </is>
      </c>
      <c r="B3399" t="inlineStr">
        <is>
          <t>I've beat COVID, and my physician says I am not contagious, but they are discouraging me getting another test.</t>
        </is>
      </c>
      <c r="C3399" t="inlineStr">
        <is>
          <t>Hello! I posted earlier this week that I've had COVID. I've officially had symptoms for 14+ days, and have been officially diagnosed 11 days. I will be posting a full write-up later down the road, but right now I am confused.
The Nurse at my local Health Department (the one monitoring my case) told me that I am not contagious anymore and free to resume normal activities. They sent a format letter and everything. She deemed this as I've had no fever, and have had minor symptoms. My only symptom left is a slight tickle/congestion in the chest and mild cough. My smell and taste are 75% back.
My primary care physician told me the same thing. She said that I could be showing positive for up to a month if I re-test, and it's not necessary. I only need to get tested if my employer requires it, and I'm working from home so they don't. She also mentioned I can still show some symptoms but not be contagious.
Does anyone have any input with this? I don't want to leave my apartment and get others sick, but I don't want to waste my time with another test if it's going to show up positive again.
Thoughts?
Edit: Grammar and adding some words.
Edit 2: Maybe it's a bit early to say I've "beat" COVID as I still have minor symptoms. Sorry if the title is misleading.</t>
        </is>
      </c>
      <c r="D3399" t="n">
        <v>17</v>
      </c>
      <c r="E3399" t="n">
        <v>24</v>
      </c>
      <c r="F3399">
        <f>HYPERLINK("https://www.reddit.com/r/COVID19positive/comments/hu20zf/ive_beat_covid_and_my_physician_says_i_am_not/")</f>
        <v/>
      </c>
      <c r="G3399" t="inlineStr">
        <is>
          <t>2020-07-19 08:12:48</t>
        </is>
      </c>
      <c r="H3399" t="inlineStr">
        <is>
          <t>Tested Positive - Me</t>
        </is>
      </c>
    </row>
    <row r="3400">
      <c r="A3400" t="inlineStr">
        <is>
          <t>hu2x8c</t>
        </is>
      </c>
      <c r="B3400" t="inlineStr">
        <is>
          <t>Two questions about positive tests: one for me, one for my brother.</t>
        </is>
      </c>
      <c r="C3400" t="inlineStr">
        <is>
          <t>1. I tested postive on a PCR test 9 (nine) days ago. Does that mean that I'm *probably* past the incubation period? I don't have any covid-19-specific symptoms, except perhaps a bit low energy. Normal body temperature, no loss of smell/taste, no difficulty breathing. I had palpitations a week ago, but I had them occasionally in the past too (I suffer from essential hypertension, well-controlled by medications). Should I expect to get sick? Or, since I didn't get sick this far, I probably wont?
2. Five days ago, my brother (we don't live together, nor contacted each other) tested positive for IgM antibodies, negative for IgG antibodies, and - a day later - tested *negative* in a PCR test. How is that possible? Does that mean that the PCR test is a false-negative? Or is there another possible scenario?
Thank you for your thoughts, I appreciate them!
Live long and prosper!</t>
        </is>
      </c>
      <c r="D3400" t="n">
        <v>3</v>
      </c>
      <c r="E3400" t="n">
        <v>6</v>
      </c>
      <c r="F3400">
        <f>HYPERLINK("https://www.reddit.com/r/COVID19positive/comments/hu2x8c/two_questions_about_positive_tests_one_for_me_one/")</f>
        <v/>
      </c>
      <c r="G3400" t="inlineStr">
        <is>
          <t>2020-07-19 09:07:48</t>
        </is>
      </c>
      <c r="H3400" t="inlineStr">
        <is>
          <t>Tested Positive</t>
        </is>
      </c>
    </row>
    <row r="3401">
      <c r="A3401" t="inlineStr">
        <is>
          <t>hu3fw8</t>
        </is>
      </c>
      <c r="B3401" t="inlineStr">
        <is>
          <t>Rapid test gave no results, then negative?</t>
        </is>
      </c>
      <c r="C3401" t="inlineStr">
        <is>
          <t>Hi everyone - I received a rapid covid test at an urgent care on Tuesday night. They said they'd call within an hour for results, but I ended up having to call them 3 times for my results. The first two times they said the results had not been recorded (this was about 20 hours after being tested), then the last call about 24 hours after I was tested, they said "something happened" to several of the tests given on Tuesday and they gave no results of any kind, so I should call back the next day to talk to a manager.
I called when they opened the next day, and they said that now my test was reading negative. I followed up to ask for some kind of explanation, but I've heard nothing. I'm just looking for some peace of mind before I go back to work tomorrow. Has this happened to anyone else?</t>
        </is>
      </c>
      <c r="D3401" t="n">
        <v>1</v>
      </c>
      <c r="E3401" t="n">
        <v>12</v>
      </c>
      <c r="F3401">
        <f>HYPERLINK("https://www.reddit.com/r/COVID19positive/comments/hu3fw8/rapid_test_gave_no_results_then_negative/")</f>
        <v/>
      </c>
      <c r="G3401" t="inlineStr">
        <is>
          <t>2020-07-19 09:39:23</t>
        </is>
      </c>
      <c r="H3401" t="inlineStr">
        <is>
          <t>Presumed Positive - From Doctor</t>
        </is>
      </c>
    </row>
    <row r="3402">
      <c r="A3402" t="inlineStr">
        <is>
          <t>hu3ydr</t>
        </is>
      </c>
      <c r="B3402" t="inlineStr">
        <is>
          <t>How to grocery shop?</t>
        </is>
      </c>
      <c r="C3402" t="inlineStr">
        <is>
          <t>My mother has caught COVID-19 (I probably have too, as we live in a small apartment), but we're running low on supplies. I've been preventing my mother from leaving for now, so she doesn't put others in harm's way, but we need some basic supplies. There aren't any online services we can order food from. How are we supposed to deal with this?</t>
        </is>
      </c>
      <c r="D3402" t="n">
        <v>1</v>
      </c>
      <c r="E3402" t="n">
        <v>18</v>
      </c>
      <c r="F3402">
        <f>HYPERLINK("https://www.reddit.com/r/COVID19positive/comments/hu3ydr/how_to_grocery_shop/")</f>
        <v/>
      </c>
      <c r="G3402" t="inlineStr">
        <is>
          <t>2020-07-19 10:10:20</t>
        </is>
      </c>
      <c r="H3402" t="inlineStr">
        <is>
          <t>Tested Positive - Family</t>
        </is>
      </c>
    </row>
    <row r="3403">
      <c r="A3403" t="inlineStr">
        <is>
          <t>hu4lrf</t>
        </is>
      </c>
      <c r="B3403" t="inlineStr">
        <is>
          <t>I can’t get a recovery confirmation test, I’ve followed CDC guidelines to isolate, but just want to make sure I’m safe to return to work</t>
        </is>
      </c>
      <c r="C3403" t="inlineStr">
        <is>
          <t>Had contact with somebody on 7/4 and 7/5 who presented symptoms the day before me and also tested positive. My symptoms began 7/7 and I tested positive on 7/8. I only had a true fever (100.4+) 7/7-9. 7/13 was my last day of a low grade fever where I got up to 99.6. On 7/14 my main symptom of a sore throat finally went away, fever broke and has stayed at 99 or below since (i often run a little warm), and a small cough developed probably due to my sinuses drying up. I’ve had a slight cough since, but I already had a cough before getting sick due to allergies and asthma. It’s improved a bit and feels like it’s almost at the same level it was at before ever getting sick. It’s mostly only somewhat bad at morning and night and the only time it’s been bad enough to be unable to hold it in has been when laughing. I called my doctors office and they told me that coming in again was unnecessary, they aren’t retesting to confirm recovery, and to just follow my state/CDC guidelines which consider me clear to end isolation. 
I work at a grocery store so I’m close to coworkers and customers and just want to be extra cautious. Masks are required and for the most part, I can keep a 6ft distance besides occasionally passing by close to somebody. I won’t eat in the break room and will avoid going in there unmasked when others are eating just to be extra cautious. I know I can’t scientifically have a certain answer since I can’t get retested to confirm, but morally/ethically along with what research is out there does it sound like I’m good to return to work in two days?</t>
        </is>
      </c>
      <c r="D3403" t="n">
        <v>1</v>
      </c>
      <c r="E3403" t="n">
        <v>4</v>
      </c>
      <c r="F3403">
        <f>HYPERLINK("https://www.reddit.com/r/COVID19positive/comments/hu4lrf/i_cant_get_a_recovery_confirmation_test_ive/")</f>
        <v/>
      </c>
      <c r="G3403" t="inlineStr">
        <is>
          <t>2020-07-19 10:47:59</t>
        </is>
      </c>
      <c r="H3403" t="inlineStr">
        <is>
          <t>Tested Positive - Me</t>
        </is>
      </c>
    </row>
    <row r="3404">
      <c r="A3404" t="inlineStr">
        <is>
          <t>hu5lts</t>
        </is>
      </c>
      <c r="B3404" t="inlineStr">
        <is>
          <t>I got tested positive this morning and i dont know if i feel sick because of the virus or from my panic attacks.</t>
        </is>
      </c>
      <c r="C3404" t="inlineStr">
        <is>
          <t>I am from Luxembourg and i got the call this morning that i actually am positive, i didnt really have symptoms before the test, so i am so afraid that everything will hit me very soon and my doctor could not give me any Info  about what will happen next. 
I read a lot of posts and saw a lot of Day by Day Videos, and they all sound so awful....
Are there actually people who got trough this with mild symptoms and nothing more, i cant find anything about such Stories...A few here on this reddit, but especially on Youtube people just talk about how bad it was.
I cant stop crying because i have a BMI of 32 and i am afraid that i will have to get to the ICU in the next Weeks...
Is there any positive someone who went trough it can tell me? 
Is there nothing i can do to prepare myself?</t>
        </is>
      </c>
      <c r="D3404" t="n">
        <v>7</v>
      </c>
      <c r="E3404" t="n">
        <v>27</v>
      </c>
      <c r="F3404">
        <f>HYPERLINK("https://www.reddit.com/r/COVID19positive/comments/hu5lts/i_got_tested_positive_this_morning_and_i_dont/")</f>
        <v/>
      </c>
      <c r="G3404" t="inlineStr">
        <is>
          <t>2020-07-19 11:42:44</t>
        </is>
      </c>
      <c r="H3404" t="inlineStr">
        <is>
          <t>Tested Positive</t>
        </is>
      </c>
    </row>
    <row r="3405">
      <c r="A3405" t="inlineStr">
        <is>
          <t>hu6117</t>
        </is>
      </c>
      <c r="B3405" t="inlineStr">
        <is>
          <t>My experience with covid 19</t>
        </is>
      </c>
      <c r="C3405" t="inlineStr">
        <is>
          <t>Its crazy how this virus affects everyone differently, just wanted to share mine. I feel like I lucked out and got a mild case. Started feeling bad on Monday, fever, chills, body aches, and a slight weird feeling pressure in my chest?only really got worse when I was outside in the heat. Got tested on Tuesday and just now got my results today. On Tuesday I was still feeling bad, but not as bad. Chills turned to sweats as my fever broke on it's own. On Wednesday fever and body aches were gone, and ever since then I just feel slightly congested like mild allergies. I'm on day six, so I'm just chilling before I have to go back to work since I have to quarantine for 14 days. Anways, just wanted to share my experience. Stay safe and I wish all of yall who tested postive a fast and easy recovery.</t>
        </is>
      </c>
      <c r="D3405" t="n">
        <v>17</v>
      </c>
      <c r="E3405" t="n">
        <v>16</v>
      </c>
      <c r="F3405">
        <f>HYPERLINK("https://www.reddit.com/r/COVID19positive/comments/hu6117/my_experience_with_covid_19/")</f>
        <v/>
      </c>
      <c r="G3405" t="inlineStr">
        <is>
          <t>2020-07-19 12:05:25</t>
        </is>
      </c>
      <c r="H3405" t="inlineStr">
        <is>
          <t>Tested Positive - Me</t>
        </is>
      </c>
    </row>
    <row r="3406">
      <c r="A3406" t="inlineStr">
        <is>
          <t>hu6iom</t>
        </is>
      </c>
      <c r="B3406" t="inlineStr">
        <is>
          <t>Headache</t>
        </is>
      </c>
      <c r="C3406" t="inlineStr">
        <is>
          <t>I’ve had symptoms since April 8th and one thing that isn’t leaving is these weird headache. I literally felt like I had pretty much recovered during June but glad I didn’t speak too soon because these headaches came back and now I have a sore throat which could genuinely be allergies or stomach issues. I’m also getting a few twitches again and a few weird palpitations. And my mood has been off. I’m just tired of this thing... can anyone relate :(</t>
        </is>
      </c>
      <c r="D3406" t="n">
        <v>3</v>
      </c>
      <c r="E3406" t="n">
        <v>8</v>
      </c>
      <c r="F3406">
        <f>HYPERLINK("https://www.reddit.com/r/COVID19positive/comments/hu6iom/headache/")</f>
        <v/>
      </c>
      <c r="G3406" t="inlineStr">
        <is>
          <t>2020-07-19 12:32:38</t>
        </is>
      </c>
      <c r="H3406" t="inlineStr">
        <is>
          <t>Presumed Positive - From Doctor</t>
        </is>
      </c>
    </row>
    <row r="3407">
      <c r="A3407" t="inlineStr">
        <is>
          <t>hu6sb1</t>
        </is>
      </c>
      <c r="B3407" t="inlineStr">
        <is>
          <t>Covid Free 😊</t>
        </is>
      </c>
      <c r="C3407" t="inlineStr">
        <is>
          <t>Hey everyone! I hope all of you are doing well. I just wanted to share my story with all of you and shed some light on the situation.
A little background info: I’m 26F, healthy, exercises 5-6 times a week, no underlying conditions,uninsured.
June 13: I was a fucking idiot and went to a bar. (I know my actions were selfish and stupid and I take accountability, but lesson learned)
June 16: I started experiencing symptoms this day. Just a mild sore throat. Didn’t think much of it. 
June 18: I went to the doctor and my doctor prescribed antibiotics. Told me it was just an infection, didn’t get tested for COVID. 
June 19: I loss my sense of smell and soon enough my sense of taste.
June 23: Went back to the doctors office again and told him I wasn’t feeling any better. He just prescribed a nasal spray. 
June 24: I went to get tested for COVID 19.
June 28: Tested positive for COVID 19, started to quarantine, and also started getting my sense of smell and taste back. 
June 29: Started exercising again. Started slow and didn’t have any issues with breathing. 
June 30-July 12: During this time I was still exercising and started feeling so much better. 
July 13: Went to get tested again. 
July 18: Tested negative for COVID 19 😊
So there you have it. I’m lucky I only experienced mild symptoms (I’ve had colds in the past that have been so much worse!) None of my friends who I went to the bar with got sick. Mind you, I’m a healthy individual, exercises almost daily, and I still caught it. (Tbh I think my immune system is trash) I still live at home (I’m Hispanic lol) and luckily, my parents and siblings are all fine. My boyfriend went to get tested on July 2nd since we had contact with each just when I was at my peak. He got back negative results. My sense of smell is also not 100% back, I feel like it’s only 95% back lol it’s hard to explain. I can smell strong odors and when things are close to my nose. 
Anyways, I hope all of you are staying safe. Please don’t lose hope. You can do it too ❤️</t>
        </is>
      </c>
      <c r="D3407" t="n">
        <v>41</v>
      </c>
      <c r="E3407" t="n">
        <v>52</v>
      </c>
      <c r="F3407">
        <f>HYPERLINK("https://www.reddit.com/r/COVID19positive/comments/hu6sb1/covid_free/")</f>
        <v/>
      </c>
      <c r="G3407" t="inlineStr">
        <is>
          <t>2020-07-19 12:48:16</t>
        </is>
      </c>
      <c r="H3407" t="inlineStr">
        <is>
          <t>Tested Positive</t>
        </is>
      </c>
    </row>
    <row r="3408">
      <c r="A3408" t="inlineStr">
        <is>
          <t>hu7be2</t>
        </is>
      </c>
      <c r="B3408" t="inlineStr">
        <is>
          <t>So when am I safe and free to return to society?</t>
        </is>
      </c>
      <c r="C3408" t="inlineStr">
        <is>
          <t>I tested positive 3 weeks ago, earlier this month, but I'm feeling much better now. Just took it easy day by day with tea and bedrest. The most prominent of signs of recovery is that I'm beginning to smell again. It's not at full capacity, but I can definitely tell that my food has flavor and taste once more. Following public health guidelines, when am I clear to return to hangout with my roommates?</t>
        </is>
      </c>
      <c r="D3408" t="n">
        <v>7</v>
      </c>
      <c r="E3408" t="n">
        <v>18</v>
      </c>
      <c r="F3408">
        <f>HYPERLINK("https://www.reddit.com/r/COVID19positive/comments/hu7be2/so_when_am_i_safe_and_free_to_return_to_society/")</f>
        <v/>
      </c>
      <c r="G3408" t="inlineStr">
        <is>
          <t>2020-07-19 13:17:31</t>
        </is>
      </c>
      <c r="H3408" t="inlineStr">
        <is>
          <t>Tested Positive</t>
        </is>
      </c>
    </row>
    <row r="3409">
      <c r="A3409" t="inlineStr">
        <is>
          <t>hu7tgq</t>
        </is>
      </c>
      <c r="B3409" t="inlineStr">
        <is>
          <t>Waiting a few months for antibodies</t>
        </is>
      </c>
      <c r="C3409" t="inlineStr">
        <is>
          <t>I'm curious if anyone has had a successful positive antibody test after it's been 12+ weeks since recovery.  Does it even still show in people at that point?
Back in mid March I came down with "an diagnosed respiratory infection" that was just pure evil.  I didn't get tested for Covid until end of April (negative at this point) which was a about 5 weeks later.  It was right around then I had an antibody test which was also negative.  Since then i've been tested 3 more times for Covid for procedures that were being performed but no more antibody tests.
Fast forward to today and my Dr isn't getting anywhere with why I have super high ferratin levels, inflammation, headaches, feeling like I have a fever, Serious GI pain, etc. and would like to do antibody tests again to see if they can confirm I really did have corona a few months ago.   I guess these are all common symptoms post recovery judging by this sub reddit.  We are starting to get major push back from insurance on all the tests right now.</t>
        </is>
      </c>
      <c r="D3409" t="n">
        <v>9</v>
      </c>
      <c r="E3409" t="n">
        <v>14</v>
      </c>
      <c r="F3409">
        <f>HYPERLINK("https://www.reddit.com/r/COVID19positive/comments/hu7tgq/waiting_a_few_months_for_antibodies/")</f>
        <v/>
      </c>
      <c r="G3409" t="inlineStr">
        <is>
          <t>2020-07-19 13:47:07</t>
        </is>
      </c>
      <c r="H3409" t="inlineStr">
        <is>
          <t>Presumed Positive - From Doctor</t>
        </is>
      </c>
    </row>
    <row r="3410">
      <c r="A3410" t="inlineStr">
        <is>
          <t>hu7trm</t>
        </is>
      </c>
      <c r="B3410" t="inlineStr">
        <is>
          <t>Just when you think you're better...</t>
        </is>
      </c>
      <c r="C3410" t="inlineStr">
        <is>
          <t>I've been sick since the 3rd of July. Over the last few days, I finally thought I was getting back to normal. I still have pain in my lungs when I wake up in the mornings, and some SOB when I overexert myself, but that's the most of it. I was feeling so great, that I went to the lake with my family a few days ago. I just sat by the shore, and watched those that went swimming, and played a little fetch with my dog. The fresh air was so nice, and being out in the sunshine made me feel so invigorated. The next day, I was still feeling great. As long as I didn't overexert myself, I felt like I was back to normal. Then last night... I had some really intense heart burn, that wouldn't go away despite antacids. Then when bed time rolled around, it was like revenge of the lung pain. Even laying in the prone position wasn't helping, and I would fall asleep, and then wake up to the pain or gasping for air. 
This virus is just so unpredictable, because some days are by far worse than others. I'm getting so sick of it, because between the insomnia and lung pain, I haven't had a good night's sleep since this virus started. I desperately want to believe that the virus is just taking a bit longer for me, but I can't help but feel this sense of impending doom that I'm going to be a long-hauler. I caught the virus from my sister, and she was only sick for about two weeks, then I gave the virus to my spouse, and she's already feeling better. I just feel so hopeless. I've been to the doctors three times at this point. They've done scans and x-rays, and nothing comes back concerning. My oxygen saturation has always been fine, so no need to hospitalize. There's nothing the doctors can do for me, I just have to wait it out.
 I just wish this virus wouldn't toy with your mind so much... Three days ago, I'm at the lake with my family, and today I can barely get out of bed...</t>
        </is>
      </c>
      <c r="D3410" t="n">
        <v>2</v>
      </c>
      <c r="E3410" t="n">
        <v>16</v>
      </c>
      <c r="F3410">
        <f>HYPERLINK("https://www.reddit.com/r/COVID19positive/comments/hu7trm/just_when_you_think_youre_better/")</f>
        <v/>
      </c>
      <c r="G3410" t="inlineStr">
        <is>
          <t>2020-07-19 13:47:39</t>
        </is>
      </c>
      <c r="H3410" t="inlineStr">
        <is>
          <t>Presumed Positive - From Doctor</t>
        </is>
      </c>
    </row>
    <row r="3411">
      <c r="A3411" t="inlineStr">
        <is>
          <t>hu8dm2</t>
        </is>
      </c>
      <c r="B3411" t="inlineStr">
        <is>
          <t>Seeking advice.</t>
        </is>
      </c>
      <c r="C3411" t="inlineStr">
        <is>
          <t>I don’t know what to do. 
My boyfriend was tested positive on the 13th I then got tested on the 15th I have been in isolation this entire time and only today got my test results back. 
They’re negative. 
I’m going tomorrow to get another test done, but, at this point would taking myself out of the house be acceptable? 
I’d sleep in my car if need be. But it’s almost already been a week since he’s been positive. 
This is just a fucking crazy mind fuck.
The week of 6th through 10th (when he first started showing symptoms) I was eating after him, drinking after him, breathing the same air as him, kissing him. How do I not have this?
Also how likely is it that the virus is airborne? Does anyone have anything to read about that?</t>
        </is>
      </c>
      <c r="D3411" t="n">
        <v>3</v>
      </c>
      <c r="E3411" t="n">
        <v>22</v>
      </c>
      <c r="F3411">
        <f>HYPERLINK("https://www.reddit.com/r/COVID19positive/comments/hu8dm2/seeking_advice/")</f>
        <v/>
      </c>
      <c r="G3411" t="inlineStr">
        <is>
          <t>2020-07-19 14:18:48</t>
        </is>
      </c>
      <c r="H3411" t="inlineStr">
        <is>
          <t>Tested Positive - Family</t>
        </is>
      </c>
    </row>
    <row r="3412">
      <c r="A3412" t="inlineStr">
        <is>
          <t>hu9311</t>
        </is>
      </c>
      <c r="B3412" t="inlineStr">
        <is>
          <t>Getting over COVID, exhaustion just won't stop.</t>
        </is>
      </c>
      <c r="C3412" t="inlineStr">
        <is>
          <t>Anyone else getting over COVID and just can't do anything because of extreme exhaustion? 
I literally have become a couch potato (even more than usual) because of this infection and I would love to have my energy back.
I'm so over this...</t>
        </is>
      </c>
      <c r="D3412" t="n">
        <v>6</v>
      </c>
      <c r="E3412" t="n">
        <v>16</v>
      </c>
      <c r="F3412">
        <f>HYPERLINK("https://www.reddit.com/r/COVID19positive/comments/hu9311/getting_over_covid_exhaustion_just_wont_stop/")</f>
        <v/>
      </c>
      <c r="G3412" t="inlineStr">
        <is>
          <t>2020-07-19 14:59:44</t>
        </is>
      </c>
      <c r="H3412" t="inlineStr">
        <is>
          <t>Tested Positive - Friends</t>
        </is>
      </c>
    </row>
    <row r="3413">
      <c r="A3413" t="inlineStr">
        <is>
          <t>hu990x</t>
        </is>
      </c>
      <c r="B3413" t="inlineStr">
        <is>
          <t>Lupus, RA, Diabetes... Long Hauling</t>
        </is>
      </c>
      <c r="C3413" t="inlineStr">
        <is>
          <t>I see very little talk about this on the news as well as on this forum and I decided I’d bring it up. All 3 titled chronic conditions are known to be caused by infection. The idea of autoimmune disorders has been brought up before as seen when searching through this forum, and ANA tests have been done and come back positive. A positive ANA could mean anything but it also happens to work as intended, a predictor for autoimmune disorders. I’m 17, male, and have been perfectly healthy since I can remember. One day I’m kicked to the curb and it continues for a month? You can check my post history, I’ve been through it, recovered perfectly, and relapsed soon after. I’m only a month in. Who knows what’s waiting in the future, but every day is different. Research needs to be done on this long haul syndrome being discussed. Covid has already been observed to have caused Type 1 Diabetes. What else could it cause? Are symptoms temporary, or permanent? I recommend every person who is experiencing these long haul symptoms get tested for antibodies for Covid as well as an ANA bloodwork and whatever else you can get your hands on. You might be able to find something interesting.</t>
        </is>
      </c>
      <c r="D3413" t="n">
        <v>6</v>
      </c>
      <c r="E3413" t="n">
        <v>17</v>
      </c>
      <c r="F3413">
        <f>HYPERLINK("https://www.reddit.com/r/COVID19positive/comments/hu990x/lupus_ra_diabetes_long_hauling/")</f>
        <v/>
      </c>
      <c r="G3413" t="inlineStr">
        <is>
          <t>2020-07-19 15:09:22</t>
        </is>
      </c>
      <c r="H3413" t="inlineStr">
        <is>
          <t>Presumed Positive - From Doctor</t>
        </is>
      </c>
    </row>
    <row r="3414">
      <c r="A3414" t="inlineStr">
        <is>
          <t>hu9mow</t>
        </is>
      </c>
      <c r="B3414" t="inlineStr">
        <is>
          <t>Been sick for 6 weeks and scared I'll not be able to spend time with my dying father before he passes</t>
        </is>
      </c>
      <c r="C3414" t="inlineStr">
        <is>
          <t>This subreddit seems like a safe space to air concerns like this, so I'll give it a go.
I'm a 24-year old otherwise healthy female who tested positive for covid-19 5 weeks ago. I've naturally been self-isolating ever since. While in quarantine, my already very sick father recieved the news that he probably has less than a year left to live. Wanting to spend as much time as possible with him, I'm prepping to move in with him once I'm healthy. But man, the road there feels so long.
My symptoms are luckily among the mildest you can imagine: only a stuffed nose and swollen lymph nodes. But it's absolute torture having to stay away from my father when it's uncertain how long he has left. He lives alone and is very sickly. And he's getting worse. I'm scared I won't be there in time.</t>
        </is>
      </c>
      <c r="D3414" t="n">
        <v>5</v>
      </c>
      <c r="E3414" t="n">
        <v>6</v>
      </c>
      <c r="F3414">
        <f>HYPERLINK("https://www.reddit.com/r/COVID19positive/comments/hu9mow/been_sick_for_6_weeks_and_scared_ill_not_be_able/")</f>
        <v/>
      </c>
      <c r="G3414" t="inlineStr">
        <is>
          <t>2020-07-19 15:32:00</t>
        </is>
      </c>
      <c r="H3414" t="inlineStr">
        <is>
          <t>Tested Positive - Me</t>
        </is>
      </c>
    </row>
    <row r="3415">
      <c r="A3415" t="inlineStr">
        <is>
          <t>hu9ply</t>
        </is>
      </c>
      <c r="B3415" t="inlineStr">
        <is>
          <t>My dad did everything right and still got it (Arizona)</t>
        </is>
      </c>
      <c r="C3415" t="inlineStr">
        <is>
          <t>I'm really upset right now.  My dad is 80 with COPD and diabetes. I live with my parents and help take care of my dad and help with bills. I work from home full time as a service desk technician and go to school. 
Last semester I dropped my in person classes in March and started self isolating on 3/5. My parents already isolate by nature. 
My mom or I go out once a week for groceries, which are generally touch free pickup from Walmart.  My dad has only left the house 3 - 4 times since March and that was for medical appointments. 
Last week my dad was hospitalized with pneumonia. They did a covid19 test when he was admitted that came back negative the next day. They then did a second test (1st on Friday, 2nd on Saturday) and released him on Sunday. 
Last night he took a turn for the worse and my mom took him to the ER. They looked up his second test and it was positive. No one notified us. My parents have called every day to check the result and have only been told someone will call them. 
My dad's being admitted again. I don't know if I'll even ever get to see him again. 
I myself have been sick for about 3 days, but it's all headache, runny nose, congestion, sneezing. No cough. Some shortness of breath and aches though. 
The only place he could have gotten it is the doctors office. He always wears a mask, but he says a lot of people don't and our governor is too neutered by Trump to show any kind of leadership.</t>
        </is>
      </c>
      <c r="D3415" t="n">
        <v>631</v>
      </c>
      <c r="E3415" t="n">
        <v>195</v>
      </c>
      <c r="F3415">
        <f>HYPERLINK("https://www.reddit.com/r/COVID19positive/comments/hu9ply/my_dad_did_everything_right_and_still_got_it/")</f>
        <v/>
      </c>
      <c r="G3415" t="inlineStr">
        <is>
          <t>2020-07-19 15:37:01</t>
        </is>
      </c>
      <c r="H3415" t="inlineStr">
        <is>
          <t>Tested Positive - Family</t>
        </is>
      </c>
    </row>
    <row r="3416">
      <c r="A3416" t="inlineStr">
        <is>
          <t>huadbt</t>
        </is>
      </c>
      <c r="B3416" t="inlineStr">
        <is>
          <t>Fevers are brutal</t>
        </is>
      </c>
      <c r="C3416" t="inlineStr">
        <is>
          <t>I'm on day 8 and other than low grade fever the first 2 days, I've been spiking out at just over 103 everyday. It's been a cycle of Tylenol starting around 3pm as it moves up high and then taking it throughout the night until I sweat through the whole bed, and my fever comes down to just under 100 in the morning. And then the cycle repeats. Other than the fever I have an annoying dry cough, but oxygen levels are good.
Anyone else was/is in a similar situation? It's incredibly exhausting</t>
        </is>
      </c>
      <c r="D3416" t="n">
        <v>8</v>
      </c>
      <c r="E3416" t="n">
        <v>46</v>
      </c>
      <c r="F3416">
        <f>HYPERLINK("https://www.reddit.com/r/COVID19positive/comments/huadbt/fevers_are_brutal/")</f>
        <v/>
      </c>
      <c r="G3416" t="inlineStr">
        <is>
          <t>2020-07-19 16:18:27</t>
        </is>
      </c>
      <c r="H3416" t="inlineStr">
        <is>
          <t>Presumed Positive - From Doctor</t>
        </is>
      </c>
    </row>
    <row r="3417">
      <c r="A3417" t="inlineStr">
        <is>
          <t>huafoz</t>
        </is>
      </c>
      <c r="B3417" t="inlineStr">
        <is>
          <t>Does continued loss of smell and taste mean I still have the virus? Also hoping to hear from people who experienced loss of smell and taste.</t>
        </is>
      </c>
      <c r="C3417" t="inlineStr">
        <is>
          <t>My symptoms began a little more than 2 weeks ago, I had a raging headache and an itchy rash on my arm... 
The following week I was congested for 3 days, experienced night sweats, body aches, and random fits of sneezes. Oh, and complete loss of smell and taste.
I’m a little over 2 weeks since the symptoms began, about 2 weeks of no smell or taste, what are the odds that I am still contagious? I live with my family and have been isolating myself in my room. 
The only symptom I am experiencing these days is the loss of smell and taste which has been extremely unnerving. I’m no longer congested, but do feel a bit of sinus pressure along with a slightly sharp sensation in my nose at all times. 
Does anyone know if the sinus pressure directly related to the loss of smell and taste? If so, it’s pretty scary. It feels like that slight pain is what is causing the damage to my senses and the longer I feel it the more damage it’s doing, I’m worried of being one of those who never recovers their senses which is pretty depressing.... I cook a lot so this would be devastating 😔 I cannot smell anything, I bought some essential oils, including a clove one, my family all smelled them and had an averse reaction to them, but I couldn’t smell anything.</t>
        </is>
      </c>
      <c r="D3417" t="n">
        <v>1</v>
      </c>
      <c r="E3417" t="n">
        <v>6</v>
      </c>
      <c r="F3417">
        <f>HYPERLINK("https://www.reddit.com/r/COVID19positive/comments/huafoz/does_continued_loss_of_smell_and_taste_mean_i/")</f>
        <v/>
      </c>
      <c r="G3417" t="inlineStr">
        <is>
          <t>2020-07-19 16:22:50</t>
        </is>
      </c>
      <c r="H3417" t="inlineStr">
        <is>
          <t>Presumed Positive - From Doctor</t>
        </is>
      </c>
    </row>
    <row r="3418">
      <c r="A3418" t="inlineStr">
        <is>
          <t>hual1j</t>
        </is>
      </c>
      <c r="B3418" t="inlineStr">
        <is>
          <t>My Covid-19 Experience</t>
        </is>
      </c>
      <c r="C3418" t="inlineStr">
        <is>
          <t>(Sorry for the weird format im on mobile) Im an 19 year old male who recently came down with covid.
On July 4th my mom started seeing very mild symptoms. With her being diabetic and prone to blood clots, I decided to bite the bullet and go to her house and take care of her. On July 6th she was tested for covid and her results came back positive 2 days later. She had body aches, a mild cough, and horrible headaches... but no fever. The night of her results I started getting a horrible headache. I was up all night unable to go to sleep. In the morning I was running a 101 fever. Because my mom and aunt tested positive, I just assumed I had it and decided to not go get tested (Stupid I know). I took some tylenol and just layed around all day... Day 2 I woke up feeling better. No headache or fever but i felt congested. I would try and cough up the mucus but my cough was unproductive. My throat congestion only got worse and made it hard to breathe or focus on anything. I began using a humidifier and started taking mucus thinners. I lost most of my sense of smell (I could still smell vinegar and it was REPULSIVE ) and I could not taste anything. It is now 11 days after I started showing symptoms and my cough is very minimal... My taste and smell are both returning and I feel pretty good. The Health department called my mom and said she could unquarantine but we are both staying home for a couple more days to be safe... We were prepared for the worst but Im suprised at how mild our symptoms were!</t>
        </is>
      </c>
      <c r="D3418" t="n">
        <v>20</v>
      </c>
      <c r="E3418" t="n">
        <v>6</v>
      </c>
      <c r="F3418">
        <f>HYPERLINK("https://www.reddit.com/r/COVID19positive/comments/hual1j/my_covid19_experience/")</f>
        <v/>
      </c>
      <c r="G3418" t="inlineStr">
        <is>
          <t>2020-07-19 16:32:16</t>
        </is>
      </c>
      <c r="H3418" t="inlineStr">
        <is>
          <t>Tested Positive - Family</t>
        </is>
      </c>
    </row>
    <row r="3419">
      <c r="A3419" t="inlineStr">
        <is>
          <t>huamvy</t>
        </is>
      </c>
      <c r="B3419" t="inlineStr">
        <is>
          <t>Bounce back better...stronger...</t>
        </is>
      </c>
      <c r="C3419" t="inlineStr">
        <is>
          <t>Two weeks in and I can kind of smell food now.  Still nauseous periodically.  I used this time of zero taste and smell to eat healthier because I can’t taste anything anyway.  Plus side is I feel healthier eating fresh fruits and steamed veggies.  Strange that eating fresh plant based diet doesnt make me as nauseous compared to eating fried or greasy foods.  Tried to eat some McDonald’s the other day because the kids have been asking for it, and I dang near threw up.  I also quit smoking two weeks ago due to covid.  Silver linings!  I’m gonna make it a point to bounce back better.  Join me friends...let’s not only beat this thing together but let’s beat the ever loving fuck out of it.</t>
        </is>
      </c>
      <c r="D3419" t="n">
        <v>43</v>
      </c>
      <c r="E3419" t="n">
        <v>16</v>
      </c>
      <c r="F3419">
        <f>HYPERLINK("https://www.reddit.com/r/COVID19positive/comments/huamvy/bounce_back_betterstronger/")</f>
        <v/>
      </c>
      <c r="G3419" t="inlineStr">
        <is>
          <t>2020-07-19 16:35:22</t>
        </is>
      </c>
      <c r="H3419" t="inlineStr">
        <is>
          <t>Presumed Positive - From Doctor</t>
        </is>
      </c>
    </row>
    <row r="3420">
      <c r="A3420" t="inlineStr">
        <is>
          <t>huas1x</t>
        </is>
      </c>
      <c r="B3420" t="inlineStr">
        <is>
          <t>Worried about Dad (49, mild hypertension, just recovered from pneumonia 4 months ago)</t>
        </is>
      </c>
      <c r="C3420" t="inlineStr">
        <is>
          <t>Hello,
I am a 19m who is presumed positive. My symptoms were mostly mild and lasted 4-5 days. I tried to isolate as best as I could, however my 49 year old dad is now showing symptoms(cough, diarrhea). He has mild hypertension, sleep apnea(uses cpap machine), is slightly overweight but very active, and just recovered from pneumonia a few months ago. Is he going to be okay? I cannot stop worrying.</t>
        </is>
      </c>
      <c r="D3420" t="n">
        <v>1</v>
      </c>
      <c r="E3420" t="n">
        <v>4</v>
      </c>
      <c r="F3420">
        <f>HYPERLINK("https://www.reddit.com/r/COVID19positive/comments/huas1x/worried_about_dad_49_mild_hypertension_just/")</f>
        <v/>
      </c>
      <c r="G3420" t="inlineStr">
        <is>
          <t>2020-07-19 16:44:02</t>
        </is>
      </c>
      <c r="H3420" t="inlineStr">
        <is>
          <t>Tested Positive - Family</t>
        </is>
      </c>
    </row>
    <row r="3421">
      <c r="A3421" t="inlineStr">
        <is>
          <t>hubis7</t>
        </is>
      </c>
      <c r="B3421" t="inlineStr">
        <is>
          <t>Tested positive AND negative on the same day...???</t>
        </is>
      </c>
      <c r="C3421" t="inlineStr">
        <is>
          <t>I was tested twice for COVID on Friday, July 17th. (My husband is currently positive, which is why I was tested.)
My first test was an oral swab performed around noon.  It was sent out to LabCorp for evaluation.
I was then tested a second time, at a different facility, about 5 hours later.  This time it was a nasal swab, and they did a rapid in-house test and provided results within 15 minutes.
The in-house test came back Negative and I walked out of the clinic with a sigh of relief. 
This afternoon, I received an email from LabCorp with their results...and they say I'm Positive.
So which is it???  I have no "real" symptoms...I have a headache (I'm prone to headaches and have been for years), I have some sinus congestion that clears up after being up and around for a couple of hours, I'm very tired (but I've been caring for my husband, taking care of our son, taking care of two Great Danes, keeping laundry going and the house sanitized, AND I'm working from home)....I've not had a fever (my normal temp is around 97.2 and I haven't even made it up to 98.6 - and I check my temp 4 times a day.)
So what gives...I plan to talk with a doc Monday but in the meantime...anyone else experienced this?  Thoughts??</t>
        </is>
      </c>
      <c r="D3421" t="n">
        <v>5</v>
      </c>
      <c r="E3421" t="n">
        <v>18</v>
      </c>
      <c r="F3421">
        <f>HYPERLINK("https://www.reddit.com/r/COVID19positive/comments/hubis7/tested_positive_and_negative_on_the_same_day/")</f>
        <v/>
      </c>
      <c r="G3421" t="inlineStr">
        <is>
          <t>2020-07-19 17:32:37</t>
        </is>
      </c>
      <c r="H3421" t="inlineStr">
        <is>
          <t>Tested Positive</t>
        </is>
      </c>
    </row>
    <row r="3422">
      <c r="A3422" t="inlineStr">
        <is>
          <t>hubk6j</t>
        </is>
      </c>
      <c r="B3422" t="inlineStr">
        <is>
          <t>How likely is it that I’m still contagious?</t>
        </is>
      </c>
      <c r="C3422" t="inlineStr">
        <is>
          <t>I’ve been in self isolation for two weeks now since my exposure to the virus, and it’s been 12 says since my first symptoms. I’ve seen a lot on here about how it’s safe to return back to society masked and socially distanced, but the main concern on my mind is my girlfriend. Obviously I will social distance from everyone else but is it safe for me to be together with her again? If not, how much longer should I wait? I just don’t want to risk giving her the virus.</t>
        </is>
      </c>
      <c r="D3422" t="n">
        <v>1</v>
      </c>
      <c r="E3422" t="n">
        <v>18</v>
      </c>
      <c r="F3422">
        <f>HYPERLINK("https://www.reddit.com/r/COVID19positive/comments/hubk6j/how_likely_is_it_that_im_still_contagious/")</f>
        <v/>
      </c>
      <c r="G3422" t="inlineStr">
        <is>
          <t>2020-07-19 17:35:07</t>
        </is>
      </c>
      <c r="H3422" t="inlineStr">
        <is>
          <t>Tested Positive - Me</t>
        </is>
      </c>
    </row>
    <row r="3423">
      <c r="A3423" t="inlineStr">
        <is>
          <t>hubl71</t>
        </is>
      </c>
      <c r="B3423" t="inlineStr">
        <is>
          <t>Symptoms for children?</t>
        </is>
      </c>
      <c r="C3423" t="inlineStr">
        <is>
          <t>What symptoms did any of your children look like? Little cousin just tested positive so wondering what her experience will look like.</t>
        </is>
      </c>
      <c r="D3423" t="n">
        <v>0</v>
      </c>
      <c r="E3423" t="n">
        <v>4</v>
      </c>
      <c r="F3423">
        <f>HYPERLINK("https://www.reddit.com/r/COVID19positive/comments/hubl71/symptoms_for_children/")</f>
        <v/>
      </c>
      <c r="G3423" t="inlineStr">
        <is>
          <t>2020-07-19 17:37:02</t>
        </is>
      </c>
      <c r="H3423" t="inlineStr">
        <is>
          <t>Tested Positive - Family</t>
        </is>
      </c>
    </row>
    <row r="3424">
      <c r="A3424" t="inlineStr">
        <is>
          <t>hubu4h</t>
        </is>
      </c>
      <c r="B3424" t="inlineStr">
        <is>
          <t>Asthma is Worse, but Otherwise Recovered Fully</t>
        </is>
      </c>
      <c r="C3424" t="inlineStr">
        <is>
          <t>I got sick in February when things in the west were still chaotic and testing wasn’t widely available. I was sick for about six weeks. I’m better now, but my asthma is worse than it’s ever been in my 34 years. I hope it’s just coincidence, but I can’t help but wonder. 
I’ve only ever needed my asthma steroids during spring, and even then pretty rarely. Now I keep having to go back on them, and blue rescue inhalers are a regular use item. I hope this gets better.</t>
        </is>
      </c>
      <c r="D3424" t="n">
        <v>6</v>
      </c>
      <c r="E3424" t="n">
        <v>12</v>
      </c>
      <c r="F3424">
        <f>HYPERLINK("https://www.reddit.com/r/COVID19positive/comments/hubu4h/asthma_is_worse_but_otherwise_recovered_fully/")</f>
        <v/>
      </c>
      <c r="G3424" t="inlineStr">
        <is>
          <t>2020-07-19 17:53:49</t>
        </is>
      </c>
      <c r="H3424" t="inlineStr">
        <is>
          <t>Presumed Positive - From Doctor</t>
        </is>
      </c>
    </row>
    <row r="3425">
      <c r="A3425" t="inlineStr">
        <is>
          <t>hubwkw</t>
        </is>
      </c>
      <c r="B3425" t="inlineStr">
        <is>
          <t>Nausea?</t>
        </is>
      </c>
      <c r="C3425" t="inlineStr">
        <is>
          <t>I’ve had terrible nausea for the last 2 days.  Day 7&amp;amp;8 of my symptoms.   I can hardly stomach food.   Did anyone else experience this?   Fever is back up so I’m taking Tylenol and Mucinex again.</t>
        </is>
      </c>
      <c r="D3425" t="n">
        <v>1</v>
      </c>
      <c r="E3425" t="n">
        <v>15</v>
      </c>
      <c r="F3425">
        <f>HYPERLINK("https://www.reddit.com/r/COVID19positive/comments/hubwkw/nausea/")</f>
        <v/>
      </c>
      <c r="G3425" t="inlineStr">
        <is>
          <t>2020-07-19 17:58:31</t>
        </is>
      </c>
      <c r="H3425" t="inlineStr">
        <is>
          <t>Presumed Positive - From Doctor</t>
        </is>
      </c>
    </row>
    <row r="3426">
      <c r="A3426" t="inlineStr">
        <is>
          <t>huc10w</t>
        </is>
      </c>
      <c r="B3426" t="inlineStr">
        <is>
          <t>Anyone else going crazy waiting for results?</t>
        </is>
      </c>
      <c r="C3426" t="inlineStr">
        <is>
          <t>Tested on 7/16 and was told 2-4 days for results. They update twice a day (9 AM and 6 PM). The more time goes by I’m starting to worry it’s not Covid and something else. 
The back pain is my biggest complaint followed by chest pain and a headache. My husband also commented how I feel like I’m on fire at night when sleeping. Overall, I feel very unwell.</t>
        </is>
      </c>
      <c r="D3426" t="n">
        <v>1</v>
      </c>
      <c r="E3426" t="n">
        <v>24</v>
      </c>
      <c r="F3426">
        <f>HYPERLINK("https://www.reddit.com/r/COVID19positive/comments/huc10w/anyone_else_going_crazy_waiting_for_results/")</f>
        <v/>
      </c>
      <c r="G3426" t="inlineStr">
        <is>
          <t>2020-07-19 18:06:37</t>
        </is>
      </c>
      <c r="H3426" t="inlineStr">
        <is>
          <t>Presumed Positive - From Doctor</t>
        </is>
      </c>
    </row>
    <row r="3427">
      <c r="A3427" t="inlineStr">
        <is>
          <t>huc31l</t>
        </is>
      </c>
      <c r="B3427" t="inlineStr">
        <is>
          <t>Pain in nipple?</t>
        </is>
      </c>
      <c r="C3427" t="inlineStr">
        <is>
          <t>(24 M) I just started feeling an intense warm pain in my left nipple. I checked and I felt a lump and it was super tender. There is redness around the area that is swelling. Called urgent care to see if they could see me since I'm still experiencing the shortness of breath with minimal exertion and an elevated HR of 95-100+. They told me to take an ibprouphen and wait about 30min to an hour. They said if it persists to go the ER to get an evaluation. I'm not sure if it is COVID-19 related and I'm curious if anyone else had this come up during their battle.
Edit: Called our nearest urgent care and they referred me to the ER. Doctor has prescribed antibiotics, Cephalon 500MG four  pills a day and Sulfamethoxazole-TMP DS twice a day, to treat potential cellulitis. Redness has and swelling has increased and still feels tender and warm. I have done a self breast exam and found a couple enlarged lymph nodes in my neck, breast, and under my arm. Was told that if it continues to progress or symptoms don't change after 3 days to come in immediately. I'm on a 7 day dosage schedule and just playing a waiting game. He came back into the room and said there is a possibility it could be male breast cancer by the way my symptoms presented themselves.</t>
        </is>
      </c>
      <c r="D3427" t="n">
        <v>1</v>
      </c>
      <c r="E3427" t="n">
        <v>6</v>
      </c>
      <c r="F3427">
        <f>HYPERLINK("https://www.reddit.com/r/COVID19positive/comments/huc31l/pain_in_nipple/")</f>
        <v/>
      </c>
      <c r="G3427" t="inlineStr">
        <is>
          <t>2020-07-19 18:10:21</t>
        </is>
      </c>
      <c r="H3427" t="inlineStr">
        <is>
          <t>Tested Positive</t>
        </is>
      </c>
    </row>
    <row r="3428">
      <c r="A3428" t="inlineStr">
        <is>
          <t>huccxr</t>
        </is>
      </c>
      <c r="B3428" t="inlineStr">
        <is>
          <t>Just found out I’m positive today</t>
        </is>
      </c>
      <c r="C3428" t="inlineStr">
        <is>
          <t>F/19
I thought I had strep because those were the only symptoms I was having. 
I started having symptoms on July 9th with diarrhea and a sore throat. July 10th my sore throat got worse and I could feel my body aching with the beginning of a fever. I stayed in bed mostly that day. I fell asleep around 7 pm that evening and woke up around 11 pm with a terrible fever. I tested it with one of the automatic forehead thermometer and it read 98.6 so it wasn’t accurate. I took acetaminophen to reduce my fever. 
The next morning (the 11th) I woke around noon and didn’t have a fever anymore but I tried to eat some toast and it was the saltiest thing I’d ever tasted. 
I had my boyfriend order me Chinese that night and on the food I smelled a terrible metallic chemical smell and thought that the food was bad so I didn’t eat it. Then I tried to eat a hot dog later that day and I smelled the same smell so this is when I started worrying. 
July 12th  I decided I shouldn’t go into work even if I thought it was just strep since I work at a daycare and went to the nearest urgent care. They thought I had strep too and weren’t even gonna test me for covid but I told them I wanted to be tested to make sure so they tested me for both. I told the doctor about the smell I was having and he told me that all I was smelling was the strep bacteria. 
The test was not anymore uncomfortable than getting tested for the flu and strep. The testing strip was a small and thin spatula looking piece of plastic they stick is your nose and twist around for three seconds. 
They also treated me for strep as well and gave me antibiotics. They gave me a doctors note saying I couldn’t go back to work until the 20th (tomorrow). 
They told me to expect results in 4-6 days. 
Today (the 19) they called me and before they told me my results they said I’d have to get on a video call with a doctor about my results. So that is when I figured I prolly did test positive. 
I got on call with the doctor and she told me I was positive and that everyone in my house was to be considered positive as well. Since I had already been quarantined since the 12th she told me that my work note was extended until the 28th of July. She had me check my pulse and breaths per minute and sent me my paperwork over email. 
Since they gave me antibiotics I lost my of my worst symptoms about three days after I left the urgent care and started taking my antibiotics. 
The symptoms I have now are headaches, phlemy cough, and stuffy nose. Nothing severe at all. I didn’t have any chest pain or shortness of breath or a dry cough like some of the common symptoms were.</t>
        </is>
      </c>
      <c r="D3428" t="n">
        <v>6</v>
      </c>
      <c r="E3428" t="n">
        <v>8</v>
      </c>
      <c r="F3428">
        <f>HYPERLINK("https://www.reddit.com/r/COVID19positive/comments/huccxr/just_found_out_im_positive_today/")</f>
        <v/>
      </c>
      <c r="G3428" t="inlineStr">
        <is>
          <t>2020-07-19 18:28:38</t>
        </is>
      </c>
      <c r="H3428" t="inlineStr">
        <is>
          <t>Tested Positive - Me</t>
        </is>
      </c>
    </row>
    <row r="3429">
      <c r="A3429" t="inlineStr">
        <is>
          <t>hucedw</t>
        </is>
      </c>
      <c r="B3429" t="inlineStr">
        <is>
          <t>Horrible taste and smell after COVID19</t>
        </is>
      </c>
      <c r="C3429" t="inlineStr">
        <is>
          <t>I was presumed positive for COVID-19 back in April where I couldn’t taste or smell anything for 3 weeks at a time. I did regain my sense of taste and smell later throughout May and suddenly my symptoms had disappeared. I was safe from this virus for 2 months all the way until 3 weeks ago where I noticed a really bad, distinguishable rotten taste and smell to food; specifically meat, chicken, and eggs. I can also smell a difference with soap and other shampoo. I’m really confused on what it could be since I was perfectly fine for 2 months until some symptoms started to reappear. I can’t really take it much longer because it is affecting certain foods I eat. I only see people losing their taste and smell but nothing like this.</t>
        </is>
      </c>
      <c r="D3429" t="n">
        <v>1</v>
      </c>
      <c r="E3429" t="n">
        <v>6</v>
      </c>
      <c r="F3429">
        <f>HYPERLINK("https://www.reddit.com/r/COVID19positive/comments/hucedw/horrible_taste_and_smell_after_covid19/")</f>
        <v/>
      </c>
      <c r="G3429" t="inlineStr">
        <is>
          <t>2020-07-19 18:31:21</t>
        </is>
      </c>
      <c r="H3429" t="inlineStr">
        <is>
          <t>Presumed Positive - From Doctor</t>
        </is>
      </c>
    </row>
    <row r="3430">
      <c r="A3430" t="inlineStr">
        <is>
          <t>hud6w0</t>
        </is>
      </c>
      <c r="B3430" t="inlineStr">
        <is>
          <t>Test variety</t>
        </is>
      </c>
      <c r="C3430" t="inlineStr">
        <is>
          <t>Are the tests that go further up your nose more accurate? The two tests I have gotten were basically q-tips. No pain or discomfort. But it leaves me doubting their legitimacy.</t>
        </is>
      </c>
      <c r="D3430" t="n">
        <v>1</v>
      </c>
      <c r="E3430" t="n">
        <v>6</v>
      </c>
      <c r="F3430">
        <f>HYPERLINK("https://www.reddit.com/r/COVID19positive/comments/hud6w0/test_variety/")</f>
        <v/>
      </c>
      <c r="G3430" t="inlineStr">
        <is>
          <t>2020-07-19 19:25:32</t>
        </is>
      </c>
      <c r="H3430" t="inlineStr">
        <is>
          <t>Presumed Positive - From Doctor</t>
        </is>
      </c>
    </row>
    <row r="3431">
      <c r="A3431" t="inlineStr">
        <is>
          <t>hue083</t>
        </is>
      </c>
      <c r="B3431" t="inlineStr">
        <is>
          <t>After effects after testing negative</t>
        </is>
      </c>
      <c r="C3431" t="inlineStr">
        <is>
          <t>I had it for 2 weeks. I had all the symptoms. Shortness of breathe, taste and smell, fatigue and insomnia. I finally tested negative twice and was super happy! Unfortunately, I still had chest pain. I wanted to let those know that if you’re still having the chest pain I’d recommend getting a massage. I got a massage and my pains have not come back since!</t>
        </is>
      </c>
      <c r="D3431" t="n">
        <v>1</v>
      </c>
      <c r="E3431" t="n">
        <v>4</v>
      </c>
      <c r="F3431">
        <f>HYPERLINK("https://www.reddit.com/r/COVID19positive/comments/hue083/after_effects_after_testing_negative/")</f>
        <v/>
      </c>
      <c r="G3431" t="inlineStr">
        <is>
          <t>2020-07-19 20:22:22</t>
        </is>
      </c>
      <c r="H3431" t="inlineStr">
        <is>
          <t>Tested Positive - Me</t>
        </is>
      </c>
    </row>
    <row r="3432">
      <c r="A3432" t="inlineStr">
        <is>
          <t>hueu2y</t>
        </is>
      </c>
      <c r="B3432" t="inlineStr">
        <is>
          <t>Tested negative 2 weeks after my positive test?</t>
        </is>
      </c>
      <c r="C3432" t="inlineStr">
        <is>
          <t>Hello on July 7 I took a nasal swab test at a cvs drive through and my results came out positive. I’ve been quarantined and have had mild symptoms the first couple days but have been feeling pretty well this past week.
On July 13 I took another test but at a state managed drive thru test center (Miami beach convention center)
I just received my results and they came out to be negative.
I found it quite strange to only have the virus for a couple weeks?
I will be getting another test tomorrow morning at a different clinic who can test me and give me my results in 15 minutes for $80 let’s see how that goes
I’m 20 years old
EDIT: I do want to add that I’m still Experiencing sneezing now and then and the occasional head ache. Plus I feel like my taste is still kinda gone</t>
        </is>
      </c>
      <c r="D3432" t="n">
        <v>1</v>
      </c>
      <c r="E3432" t="n">
        <v>8</v>
      </c>
      <c r="F3432">
        <f>HYPERLINK("https://www.reddit.com/r/COVID19positive/comments/hueu2y/tested_negative_2_weeks_after_my_positive_test/")</f>
        <v/>
      </c>
      <c r="G3432" t="inlineStr">
        <is>
          <t>2020-07-19 21:23:43</t>
        </is>
      </c>
      <c r="H3432" t="inlineStr">
        <is>
          <t>Tested Positive</t>
        </is>
      </c>
    </row>
    <row r="3433">
      <c r="A3433" t="inlineStr">
        <is>
          <t>hufgn9</t>
        </is>
      </c>
      <c r="B3433" t="inlineStr">
        <is>
          <t>Best friends uncle can no longer be kept in the hospital due to financial problems, Please help.</t>
        </is>
      </c>
      <c r="C3433" t="inlineStr">
        <is>
          <t>My good friend's uncle was diagnosed with COVID, he was quarantined and sent to the hospital we hoped things would get better but they didn't. He developed pneumonia and his lungs were damaged. His treatment costs a lot of money and if anyone could donate it would be greatly appreciated. This is the link to the go fund me page: https://gf.me/u/yg7uy3</t>
        </is>
      </c>
      <c r="D3433" t="n">
        <v>6</v>
      </c>
      <c r="E3433" t="n">
        <v>18</v>
      </c>
      <c r="F3433">
        <f>HYPERLINK("https://www.reddit.com/r/COVID19positive/comments/hufgn9/best_friends_uncle_can_no_longer_be_kept_in_the/")</f>
        <v/>
      </c>
      <c r="G3433" t="inlineStr">
        <is>
          <t>2020-07-19 22:13:20</t>
        </is>
      </c>
      <c r="H3433" t="inlineStr">
        <is>
          <t>Tested Positive - Family</t>
        </is>
      </c>
    </row>
    <row r="3434">
      <c r="A3434" t="inlineStr">
        <is>
          <t>hufnti</t>
        </is>
      </c>
      <c r="B3434" t="inlineStr">
        <is>
          <t>Day 30 tomorrow. I'm still not feeling 100%. At around 90% to 95%.My anxiety got worse. I'm just glad I didn't gather with family or friends the first few days of symptoms. Before testing positive. If you develop symptoms, treat as your positive.</t>
        </is>
      </c>
      <c r="C3434" t="inlineStr">
        <is>
          <t>I feel like a failure because I did pass the virus to my wife and my son. It's my job as the leader of the family to make sure that we are all ok and safe. But I didn't have major symptoms for the 1st week. 3rd day of symptoms I found I was positive for covid. I thank God that we are feeling better. Thank you Jesus for bringing healing to my family. But I think back and know it could have been a lot worse if I had visited my mom's, brothers, friends house those 1st two days before getting my results. Please if you think you feel like you have it, quarantine and test. Or at least stay away and test.</t>
        </is>
      </c>
      <c r="D3434" t="n">
        <v>1</v>
      </c>
      <c r="E3434" t="n">
        <v>18</v>
      </c>
      <c r="F3434">
        <f>HYPERLINK("https://www.reddit.com/r/COVID19positive/comments/hufnti/day_30_tomorrow_im_still_not_feeling_100_at/")</f>
        <v/>
      </c>
      <c r="G3434" t="inlineStr">
        <is>
          <t>2020-07-19 22:28:33</t>
        </is>
      </c>
      <c r="H3434" t="inlineStr">
        <is>
          <t>Tested Positive - Me</t>
        </is>
      </c>
    </row>
    <row r="3435">
      <c r="A3435" t="inlineStr">
        <is>
          <t>hug0hs</t>
        </is>
      </c>
      <c r="B3435" t="inlineStr">
        <is>
          <t>Resurfacing of COVID-19 Symptoms</t>
        </is>
      </c>
      <c r="C3435" t="inlineStr">
        <is>
          <t>Just wanted to make a post talking about my experience with COVID-19. It's really helped me being apart of this community and reading everyone else's experiences.
So I had my first symptoms June 16th, and it started with a sore throat, then moved to body aches/chills, fatigue, and congestion. A few days of a cough, and loss of taste/smell for 3 days near the end. My last symptom was June 29th. I tested positive on the 23rd of June. 
On July 3rd, after having a really mild case overall, I went running. Before getting sick, I was running at least 1-2 miles every day during quarantine. About .8 of the mile in, I couldn't run any longer. My lungs just couldn't handle it and I was so out of breath. For the next week and a half, until about the 13th or 14th, I had this "icy" feeling in my throat, as if I had been running in the cold... Except it's summer in Texas, and I hadn't been in the cold at all. I was scared I was getting pneumonia or something. Nothing ended up happening with that, but on the evening of July 18th, I had a resurgence of the body aches and fatigue. 
I was playing video games with a friend, and when we were done I noticed how exhausted I was... And how I was starting to feel a little crappy. I took some theraflu and lied down. Throughout the rest of the night it got a little worse, but not too bad. Just to the point where I knew it was me actually showing signs of being sick, and not just feeling tired or some type of way. 
The next morning, yesterday, July 19th, I woke up and went to the restroom. The next thing I know, my mind is just blank. It was the scariest feeling. I was conscious but I couldn't put thoughts together, I didn't know what was happening, and I felt like I couldn't breathe. Eventually I start coming to, and I realize I'm on the bathroom floor. I lay there for what felt like at least 5 minutes. I felt terrible and didn't know what was going on. I had absolutely no energy, just moments prior I had just woken up and felt okayish and just needed to use the bathroom. I mustered whatever energy I could, and walked to the living room. I collapsed on the couch and told my sister with whatever breath I had in me that I wasn't feeling well, and hadn't been feeling well since last night, and I think my symptoms are resurfacing from COVID-19 (but I didn't experience this in particular before). She got me some orange juice and a marshmallow, just in case my blood sugar was low. I started eating it and drinking the orange juice, and started feeling a little better. My entire body was shaking. I was very hot, not fever, but just hot. I was sweating profusely and she said I was very pale. After lying on the couch for a bit, I felt better. About 20 minutes later she went to the store and I felt fine. Then out of nowhere, again, I start sweating very bad and just not feeling fine. I've never felt the feeling before, it's so hard to describe. I recognized the same feeling from earlier and knew something was about to happen again. This time, I felt the need to throw up. I ran to the bathroom and threw up a little. I went back to the couch, called my sister, and told her that I don't feel fine. We decided that I should go to the emergency room. About 15 minutes later, and what felt like an eternity... I felt perfectly fine again. I got up, went and changed my clothes, got my wallet and face mask, and waited for her to get back. She arrived, we got in her car, I told her I felt fine. A few minutes later, I got that "weird" feeling where I knew I wasn't feeling okay and something was about to happen. I leaned her car seat back and started crying (it was a very weird cry - I almost never cry, but I just felt like crying in the moment because I knew something was wrong with me but I had no idea what could possibly be wrong since I've never felt this way before). She handed me a gatorade she bought from the store. I couldn't open it and I handed it back to her. I had literally no energy to even do that. By the time we got to the ER, I felt okay enough to function a little. She couldn't come in with me, but we don't live far so she went home. 
They took blood, checked blood pressure, ran other tests that I couldn't even tell you what they were for, checked oxygen all that. Everything... was fine. Nothing was wrong. The doctors just said "it's probably a second wave of COVID symptoms you're experiencing. It's common, monitor it and if it gets worse and you can't breathe then come back." And just like that, I was discharged. While waiting in the lobby, I got that same feeling again, but it was much milder than earlier. I felt like I needed to throw up a little, but never ended up throwing up. I went home and took a nap for a few hours. Woke up and sister made some homemade chicken noodle soup. I ate some and felt a lot better. I went back to sleep, and now I'm awake at 1AM to tell you all this wild day I had! I really thought that it was going to get a lot worse than it did. I have never experienced anything like I did. The moment where I blacked out and had no idea what was going on was the scariest. 
Going to set up a dr appointment to get checked up and get some closure, just because this was an odd experience, and I'm not satisfied with the answers I was given. I feel like this is a reoccurring thing with us - the doctors just don't know enough and can't give us the answers we want yet. I'm going to add my initial symptoms to the bottom of my post just because anyone wants to see what I first experienced and compare to what they may be going through. A lot of people have seemed to like seeing the symptoms other people's experienced, I sure did at least.
Stay safe everyone.
-------------------------------------------------------------------
June 16th
Sore throat
June 17th
Sore throat, very light fatigue later in the evening
June 18th
Sore throat, fatigue grew throughout the day and started feeling it worse at night, body aches
June 19th
Throat swollen, fatigue, body aches
June 20th
Fatigue, body aches, chest starting to feel tight around the lower throat/chest area, but not enough to inhibit breathing in any way
June 21st
Most previous symptoms gone, began to get a cough in the early morning hours, just a little bit of a sore throat and fatigue left
June 22nd
Slight fatigue, very slight cough
June 23rd
Cough
June 24th
Cough, congestion, body chills
June 25th
Congestion, body chills, fatigue
June 26th
Congestion, body chills, fatigue, loss of taste and smell
June 27th
Loss of taste and smell, very light fatigue for about an hour in the evening
June 28th
Loss of taste and smell
June 29th
Nausea</t>
        </is>
      </c>
      <c r="D3435" t="n">
        <v>6</v>
      </c>
      <c r="E3435" t="n">
        <v>12</v>
      </c>
      <c r="F3435">
        <f>HYPERLINK("https://www.reddit.com/r/COVID19positive/comments/hug0hs/resurfacing_of_covid19_symptoms/")</f>
        <v/>
      </c>
      <c r="G3435" t="inlineStr">
        <is>
          <t>2020-07-19 22:56:47</t>
        </is>
      </c>
      <c r="H3435" t="inlineStr">
        <is>
          <t>Tested Positive - Me</t>
        </is>
      </c>
    </row>
    <row r="3436">
      <c r="A3436" t="inlineStr">
        <is>
          <t>hugjvz</t>
        </is>
      </c>
      <c r="B3436" t="inlineStr">
        <is>
          <t>The mysterious bruising has started again. 😥</t>
        </is>
      </c>
      <c r="C3436" t="inlineStr">
        <is>
          <t>Long after we realized something was very wrong I started getting these disgusting splotchy bruises on my thighs right above the knee. Left side only. They would have purplish red dots throughout and were clearly seen through the skin. 
Tonight after a headache and chest pain (presumed from Costocondritis) I noticed the bruising on my left leg started again. I almost puked and then I cried. I kept saying “it’s happening again, something is wrong. It’s happening again.”
Please just hope the bruising disappears overnight and doesn’t spread like last time? After having a stroke at only 35, I’m very worried. 
I took my Klonopin and am trying to keep it all in perspective. My husband wants me to rest tomorrow and stay in bed.</t>
        </is>
      </c>
      <c r="D3436" t="n">
        <v>2</v>
      </c>
      <c r="E3436" t="n">
        <v>6</v>
      </c>
      <c r="F3436">
        <f>HYPERLINK("https://www.reddit.com/r/COVID19positive/comments/hugjvz/the_mysterious_bruising_has_started_again/")</f>
        <v/>
      </c>
      <c r="G3436" t="inlineStr">
        <is>
          <t>2020-07-19 23:40:59</t>
        </is>
      </c>
      <c r="H3436" t="inlineStr">
        <is>
          <t>Presumed Positive - From Doctor</t>
        </is>
      </c>
    </row>
    <row r="3437">
      <c r="A3437" t="inlineStr">
        <is>
          <t>huienw</t>
        </is>
      </c>
      <c r="B3437" t="inlineStr">
        <is>
          <t>Employer reinstated attendance point system at height of pandemic.</t>
        </is>
      </c>
      <c r="C3437" t="inlineStr">
        <is>
          <t>Yeah, so if we miss work even with a doctor's note we are getting points, which after accumulating enough results in termination. They did away with this nonsense when the pandemic started, but for some reason brought it back even though local cases keep going up. We can also get fired for working while sick. I'm confused, still recovering, high risk and have no idea if I have immunity. I'm thinking about going back on leave if they haven't changed that policy too. Ugh. I don't know how to handle this.</t>
        </is>
      </c>
      <c r="D3437" t="n">
        <v>59</v>
      </c>
      <c r="E3437" t="n">
        <v>51</v>
      </c>
      <c r="F3437">
        <f>HYPERLINK("https://www.reddit.com/r/COVID19positive/comments/huienw/employer_reinstated_attendance_point_system_at/")</f>
        <v/>
      </c>
      <c r="G3437" t="inlineStr">
        <is>
          <t>2020-07-20 02:36:21</t>
        </is>
      </c>
      <c r="H3437" t="inlineStr">
        <is>
          <t>Tested Positive - Me</t>
        </is>
      </c>
    </row>
    <row r="3438">
      <c r="A3438" t="inlineStr">
        <is>
          <t>hujjud</t>
        </is>
      </c>
      <c r="B3438" t="inlineStr">
        <is>
          <t>Anyone else have a really musty smell in their nose once their sense started to come back?</t>
        </is>
      </c>
      <c r="C3438" t="inlineStr">
        <is>
          <t>I posted this in the other subreddit before I found this one, my bad about that. 
'First symptoms were around 3 weeks ago and my sense of smell initially left around maybe 10 days ago, but it seems to be slowly returning. Does anyone else in this situation have a very musty smell in their nose that won't leave? I suppose it could be the air in my home but it feels like it's coming from my actual nose cavity
Also, very serious and important question: when am I able to see others again? They told me 72 hours after my symptoms go away, but does that mean if I have a mild cough/loss of smell even 3 weeks after my fever, I'm still infectious? It sucks not being able to see my loved ones.
Thank you for the responses and for listening'</t>
        </is>
      </c>
      <c r="D3438" t="n">
        <v>11</v>
      </c>
      <c r="E3438" t="n">
        <v>26</v>
      </c>
      <c r="F3438">
        <f>HYPERLINK("https://www.reddit.com/r/COVID19positive/comments/hujjud/anyone_else_have_a_really_musty_smell_in_their/")</f>
        <v/>
      </c>
      <c r="G3438" t="inlineStr">
        <is>
          <t>2020-07-20 04:21:08</t>
        </is>
      </c>
      <c r="H3438" t="inlineStr">
        <is>
          <t>Tested Positive</t>
        </is>
      </c>
    </row>
    <row r="3439">
      <c r="A3439" t="inlineStr">
        <is>
          <t>hukozb</t>
        </is>
      </c>
      <c r="B3439" t="inlineStr">
        <is>
          <t>Been almost 5 weeks since I have had Covid</t>
        </is>
      </c>
      <c r="C3439" t="inlineStr">
        <is>
          <t>Hi all! Just needing some advice... it has been 5 weeks since I have had symptoms from Covid &amp;amp; tested positive. My cough is not wanting to go away. Every time I do think it is getting better, I get hit with really awful coughing fits. I just took my last dose of Prednisone (60mg x 5 days) and honestly I feel worse today than when I started it 5 days ago. My whole body is weak/sore and my chest feels like someone is sitting on it. Is this normal so far down the line? Has this happened to anyone else after taking steroids?</t>
        </is>
      </c>
      <c r="D3439" t="n">
        <v>20</v>
      </c>
      <c r="E3439" t="n">
        <v>63</v>
      </c>
      <c r="F3439">
        <f>HYPERLINK("https://www.reddit.com/r/COVID19positive/comments/hukozb/been_almost_5_weeks_since_i_have_had_covid/")</f>
        <v/>
      </c>
      <c r="G3439" t="inlineStr">
        <is>
          <t>2020-07-20 05:51:39</t>
        </is>
      </c>
      <c r="H3439" t="inlineStr">
        <is>
          <t>Tested Positive - Me</t>
        </is>
      </c>
    </row>
    <row r="3440">
      <c r="A3440" t="inlineStr">
        <is>
          <t>hul6hq</t>
        </is>
      </c>
      <c r="B3440" t="inlineStr">
        <is>
          <t>Lower back pain/kidneys feel like they’re going to explode</t>
        </is>
      </c>
      <c r="C3440" t="inlineStr">
        <is>
          <t>I’ve had a weird lower back pain for about a week now along with other muscle aches, but just attributed it to my mattress and recently being more active. Had no appetite last Friday but had a headache, which I attributed to not eating much that day. Woke up Saturday super fatigued, but we have a 7-month-old who doesn’t sleep well, so there again an explanation for everything. Until yesterday after I ate, had pretty intense stomach pains and diarrhea. That’s still happening. Woke up early this morning with full on body aches and my lower back on fire. I don’t have lower back issues at all, so this definitely was different. Took my temperature—100.8. Tylenol has lowered it a bit, but still chilled. Headache and fatigue still here. Three days ago had weird draining in my ears. I have bad allergies, so anything nose, ears and throat related I’ve experience in the last week I’ve attributed to that, but not so sure anymore. Also, my eyes have been super sensitive to light and kinda goopy, again just thought allergy-related. I’m likely testing today. So working backward from now, all these things are starting to add up and I feel kinda foolish for not assuming Covid earlier. No cough, but a weird intermittent pressure in my chest. I have asthma, but it’s different than that, almost like a very light burning sensation? I don’t know how else to describe it. I’m a 38-year-old female, healthy other than the asthma since I was a kid. This thread has been very helpful. Wishing everyone the best. Will update with results when I get them.</t>
        </is>
      </c>
      <c r="D3440" t="n">
        <v>11</v>
      </c>
      <c r="E3440" t="n">
        <v>27</v>
      </c>
      <c r="F3440">
        <f>HYPERLINK("https://www.reddit.com/r/COVID19positive/comments/hul6hq/lower_back_painkidneys_feel_like_theyre_going_to/")</f>
        <v/>
      </c>
      <c r="G3440" t="inlineStr">
        <is>
          <t>2020-07-20 06:24:44</t>
        </is>
      </c>
      <c r="H3440" t="inlineStr">
        <is>
          <t>Presumed Positive - From Doctor</t>
        </is>
      </c>
    </row>
    <row r="3441">
      <c r="A3441" t="inlineStr">
        <is>
          <t>hul9gs</t>
        </is>
      </c>
      <c r="B3441" t="inlineStr">
        <is>
          <t>I'm pissed but I can only be mad with myself- rant</t>
        </is>
      </c>
      <c r="C3441" t="inlineStr">
        <is>
          <t>I'd been careful. Sanitizing whenever coming from the store. Always wearing a mask. No random outings. Only visiting family that I trust have been doing the same. 
One of my girlfriends is moving across the country.  Her best friend threw her a going away party. I'd been having a strained relationship with my best friend which has affected the group (the 4 of us). I hadn't seen them in months so I HAD to go to this party last Saturday. You know, for the friendship and all...
Oh and I need to mention that the three of them flew to Atlanta the week before.
Can I FOR SURE say I caught it at the party? No. But the chances are pretty damn high. 
I'm pissed because I'm the only one showing symptoms so they're saying they don't have it and I didn't get it there. I'm pissed because I've been around babies and my 64 year old mom since then. I'm pissed because I knew I shouldn't have gone but felt I had to and fell to peer presssure. I'm pissed because I have asthma.
Do I think I'll be fine? Absolutely.  But what if I infected other family members before I started showing symptoms.
I'm just pissed.</t>
        </is>
      </c>
      <c r="D3441" t="n">
        <v>633</v>
      </c>
      <c r="E3441" t="n">
        <v>315</v>
      </c>
      <c r="F3441">
        <f>HYPERLINK("https://www.reddit.com/r/COVID19positive/comments/hul9gs/im_pissed_but_i_can_only_be_mad_with_myself_rant/")</f>
        <v/>
      </c>
      <c r="G3441" t="inlineStr">
        <is>
          <t>2020-07-20 06:30:22</t>
        </is>
      </c>
      <c r="H3441" t="inlineStr">
        <is>
          <t>Tested Positive - Me</t>
        </is>
      </c>
    </row>
    <row r="3442">
      <c r="A3442" t="inlineStr">
        <is>
          <t>hun8ps</t>
        </is>
      </c>
      <c r="B3442" t="inlineStr">
        <is>
          <t>Are there false positive tests?</t>
        </is>
      </c>
      <c r="C3442" t="inlineStr">
        <is>
          <t>I googled it and couldn’t find anything about it, so maybe that’s already the answer..
But i just can’t understand how i got testet positive. I have no symptoms yet, and i got tested a week before that too, negative.
I am afraid that everything will hit me soon really hard, right now i am fine thou.</t>
        </is>
      </c>
      <c r="D3442" t="n">
        <v>3</v>
      </c>
      <c r="E3442" t="n">
        <v>20</v>
      </c>
      <c r="F3442">
        <f>HYPERLINK("https://www.reddit.com/r/COVID19positive/comments/hun8ps/are_there_false_positive_tests/")</f>
        <v/>
      </c>
      <c r="G3442" t="inlineStr">
        <is>
          <t>2020-07-20 08:28:05</t>
        </is>
      </c>
      <c r="H3442" t="inlineStr">
        <is>
          <t>Tested Positive - Me</t>
        </is>
      </c>
    </row>
    <row r="3443">
      <c r="A3443" t="inlineStr">
        <is>
          <t>huo993</t>
        </is>
      </c>
      <c r="B3443" t="inlineStr">
        <is>
          <t>Just tested positive only hours after being told that I had appendicitis and would need surgery...</t>
        </is>
      </c>
      <c r="C3443" t="inlineStr">
        <is>
          <t>Update: No Appendicitis! Yet... Was sent home to quarantine.
It’s been an eventful night, to say the least. I came to the emergency room after three days of a warm dull pain in my lower back; specifically, where my kidneys are. I monitored my urine, making sure to drink plenty of water, but the pain did not subside. I ultimately decided to hop in the shower and head to the emergency room. 
Was taken care of swiftly upon arriving to the hospital. Had bloodwork done, a CT-scan, a urinalysis, and then was admitted into a room. I felt a sigh of relief once the nurses came in to draw blood, but then my panic set in because they wanted to begin an IV. I should mention that I was in the ER three days ago while on vacation, where I was being seen for diarrhea. 
Last Friday, my seasonal allergies flared up (as they do every year) and the first couple of days were rough: an itchy throat with a small cough, sneezes, but that was about it. Then there was a wet cough, and eventually, I had diarrhea (but I was also on the keto diet and thought that it was the reason for the loose stools). 
Well I’m waiting in my room and the doctor finally comes in and says that my kidneys look great, but that I have appendicitis and need surgery to remove my appendix. I panicked, because I have never had surgery as an adult (I had my tonsils taken out when I was 7). I was very shaky and my jaw wouldn’t open properly from the shock and fear. 
They let me rest, and a couple of hours later my nurse came in and swabbed me. I was so groggy that I didn’t even feel it, but I know it hurt because she said to lean back because it was the test that would make you ‘jump back.’ 
Fast-forward a few hours, they close the glass sliding door to my room (which had only been separated by a curtain before) and a sign goes up on it. I immediately panic and try to fumble over disconnecting my pulse reader to pretend to go to the restroom because my call light isn’t working, hoping to grab the attention of the nearby staff. It doesn’t work and I head back to my room.
A CNA comes into to check my vitals, and he’s acting a little off. He keeps saying things like, “Have they told you anything yet?” or “Did they run any tests?” I eventually bite and tell him that I had been told I have appendicitis and would need surgery, and that I believe I was also tested for COVID but that I wasn’t sure.
He clicks on the computer and tells me that I had, in fact, tested positive, and shows me my chart with the big red block reading ‘POSITIVE’ under my name.
Needless to say, I feel hopeless. He kept telling me that the staff was unaware and that it’s hard to tell who has it anymore, because so many people are asymptomatic, and that they may move me because the wing that I am in was for people who are negative. My worst fear is that I did everything that I was supposed to do, and I’m still here in this situation, and I’m just hoping there won’t be any stronger symptoms. 
On top of that, I may not be able to get surgery, which terrifies me because I don’t want surgery but I also don’t want my appendix to burst and cause me to go into sepsis! 
I feel like just another number, and I’m scared that it can take a sharp turn at any moment, which is causing some severe panic and anxiety. I am on my second week of feeling this way, but I’m no longer congested.
I haven’t had a fever or body aches, chest pain, headaches, or dry cough the entire time that I have felt my symptoms. I have had light congestion, post-nasal drip, itchy throat, and lack of taste/smell (the smell has been coming back slowly the last two days).
I’m sitting alone in a room right now; it’s 9:00AM outside but it feels dark in here still and I’m very worried for the future. I just want to know what to expect and what to brace for.</t>
        </is>
      </c>
      <c r="D3443" t="n">
        <v>45</v>
      </c>
      <c r="E3443" t="n">
        <v>62</v>
      </c>
      <c r="F3443">
        <f>HYPERLINK("https://www.reddit.com/r/COVID19positive/comments/huo993/just_tested_positive_only_hours_after_being_told/")</f>
        <v/>
      </c>
      <c r="G3443" t="inlineStr">
        <is>
          <t>2020-07-20 09:24:12</t>
        </is>
      </c>
      <c r="H3443" t="inlineStr">
        <is>
          <t>Tested Positive - Me</t>
        </is>
      </c>
    </row>
    <row r="3444">
      <c r="A3444" t="inlineStr">
        <is>
          <t>huocwg</t>
        </is>
      </c>
      <c r="B3444" t="inlineStr">
        <is>
          <t>blue veins</t>
        </is>
      </c>
      <c r="C3444" t="inlineStr">
        <is>
          <t>my hands feet and forearms are so noticeably blue anyone else deal with this?</t>
        </is>
      </c>
      <c r="D3444" t="n">
        <v>5</v>
      </c>
      <c r="E3444" t="n">
        <v>26</v>
      </c>
      <c r="F3444">
        <f>HYPERLINK("https://www.reddit.com/r/COVID19positive/comments/huocwg/blue_veins/")</f>
        <v/>
      </c>
      <c r="G3444" t="inlineStr">
        <is>
          <t>2020-07-20 09:29:52</t>
        </is>
      </c>
      <c r="H3444" t="inlineStr">
        <is>
          <t>Tested Positive - Me</t>
        </is>
      </c>
    </row>
    <row r="3445">
      <c r="A3445" t="inlineStr">
        <is>
          <t>huovge</t>
        </is>
      </c>
      <c r="B3445" t="inlineStr">
        <is>
          <t>Smell Regeneration Question</t>
        </is>
      </c>
      <c r="C3445" t="inlineStr">
        <is>
          <t>I was likely infected around July 1st and am now just starting to regain noticeable smell sense. However, only one nostril is making steady improvement. The other one is stagnant. 
What has been the average time for all of you to mostly recover your smell? Did all of it return? Was it both nostrils? Or did your improvement plateau before it hit “100%” recovery?</t>
        </is>
      </c>
      <c r="D3445" t="n">
        <v>1</v>
      </c>
      <c r="E3445" t="n">
        <v>5</v>
      </c>
      <c r="F3445">
        <f>HYPERLINK("https://www.reddit.com/r/COVID19positive/comments/huovge/smell_regeneration_question/")</f>
        <v/>
      </c>
      <c r="G3445" t="inlineStr">
        <is>
          <t>2020-07-20 09:56:45</t>
        </is>
      </c>
      <c r="H3445" t="inlineStr">
        <is>
          <t>Tested Positive</t>
        </is>
      </c>
    </row>
    <row r="3446">
      <c r="A3446" t="inlineStr">
        <is>
          <t>huow2n</t>
        </is>
      </c>
      <c r="B3446" t="inlineStr">
        <is>
          <t>Long hauler experiencing hair loss. Need some advice.</t>
        </is>
      </c>
      <c r="C3446" t="inlineStr">
        <is>
          <t>Hi All !
A little background. I had covid in mid march. Never tested because testing wasn't available at that time in Brooklyn unless you met certain criteria. However I was presumed positive by my doctor because I had all symptoms + alot of long lasting ones. Had two more "waves" of sickness one in mid april and another in mid june. In June I thought I had been re-infected as I was feeling almost back to my normal self for a month so I got a test just to be safe and tested negative so my Dr said it is most likely another wave.  (I've posted a few times in detail if you'd like to see more you can see my post history or ask any questions)
 In the last two weeks I've noticed **alot** more hair falling out than usual and my hair is definitely thinner than usual. I don't have any bald spots it just seems to be overall thinning. I didn't even think it could be related to covid at first. I assumed it was either stress or possibly PCOS as I have a few friends that have that and have had hair thinning.  But, I came on here to check and I see this is happening to a few other long haulers. 
I have a dr appt (my first in person one since all this happened!) on wednesday to check my blood levels and make sure there are no more lasting symptoms and will have her check this out as well. 
A question to those who are experiencing this as well or know anything about it- is there anything you can do to prevent more hair from falling out? and has this slowed down for anyone? How long has it lasted for you? Kind of freaking out at the moment. 
Thank you.</t>
        </is>
      </c>
      <c r="D3446" t="n">
        <v>1</v>
      </c>
      <c r="E3446" t="n">
        <v>37</v>
      </c>
      <c r="F3446">
        <f>HYPERLINK("https://www.reddit.com/r/COVID19positive/comments/huow2n/long_hauler_experiencing_hair_loss_need_some/")</f>
        <v/>
      </c>
      <c r="G3446" t="inlineStr">
        <is>
          <t>2020-07-20 09:57:33</t>
        </is>
      </c>
      <c r="H3446" t="inlineStr">
        <is>
          <t>Presumed Positive - From Doctor</t>
        </is>
      </c>
    </row>
    <row r="3447">
      <c r="A3447" t="inlineStr">
        <is>
          <t>hup35r</t>
        </is>
      </c>
      <c r="B3447" t="inlineStr">
        <is>
          <t>Covid possibly? Could just be a sinus bug. Doctor says to wait...</t>
        </is>
      </c>
      <c r="C3447" t="inlineStr">
        <is>
          <t>After work Friday night I came home and felt pretty under the weather. Didn't hit me until late evening but it hit pretty fast. Felt exhausted and went to sleep.
Saturday I woke up and felt mild scratchy throat and started experiencing hot/cold flashes with mild nausea. After a couple hours of that, I actually felt pretty good. Still went to bed early and took it easy.
Sunday I felt the best I have. No real symptoms other than a headache and feeling a bit rundown.
This morning when I woke up I immediately felt congested, very subtle ear pain and mild light-headed feeling. Also a very mild runny nose. So not sure wtf is going on.
Other notes:
Called my doctor and he recommended rest for a couple of days and we will revisit then.
Took a COVID test 2 weeks ago and was negative.
No fever at all.
Pretty much had a constant headache.
Any advice or thoughts would be greatly appreciated and I wish any of you struggling with Covid that good  health finds you all soon. This shit is nuts man :(</t>
        </is>
      </c>
      <c r="D3447" t="n">
        <v>2</v>
      </c>
      <c r="E3447" t="n">
        <v>8</v>
      </c>
      <c r="F3447">
        <f>HYPERLINK("https://www.reddit.com/r/COVID19positive/comments/hup35r/covid_possibly_could_just_be_a_sinus_bug_doctor/")</f>
        <v/>
      </c>
      <c r="G3447" t="inlineStr">
        <is>
          <t>2020-07-20 10:07:22</t>
        </is>
      </c>
      <c r="H3447" t="inlineStr">
        <is>
          <t>Presumed Positive - From Doctor</t>
        </is>
      </c>
    </row>
    <row r="3448">
      <c r="A3448" t="inlineStr">
        <is>
          <t>hupgnc</t>
        </is>
      </c>
      <c r="B3448" t="inlineStr">
        <is>
          <t>can i still pass the virus to others?</t>
        </is>
      </c>
      <c r="C3448" t="inlineStr">
        <is>
          <t>i had the coronavirus at the end of june/early july. i’m fully recovered and back to work now. i work at an amusement park and come in contact with hundreds of people a day and work with about 8 different staff members. 
my question is.... if i come back in contact with the virus am i still able to spread it? or am i safe until my antibodies wear off?
i live with my parents and don’t want to infect them or spread this to anyone else i come in contact with. please help this is driving me crazy</t>
        </is>
      </c>
      <c r="D3448" t="n">
        <v>5</v>
      </c>
      <c r="E3448" t="n">
        <v>8</v>
      </c>
      <c r="F3448">
        <f>HYPERLINK("https://www.reddit.com/r/COVID19positive/comments/hupgnc/can_i_still_pass_the_virus_to_others/")</f>
        <v/>
      </c>
      <c r="G3448" t="inlineStr">
        <is>
          <t>2020-07-20 10:26:22</t>
        </is>
      </c>
      <c r="H3448" t="inlineStr">
        <is>
          <t>Tested Positive - Me</t>
        </is>
      </c>
    </row>
    <row r="3449">
      <c r="A3449" t="inlineStr">
        <is>
          <t>huq5fy</t>
        </is>
      </c>
      <c r="B3449" t="inlineStr">
        <is>
          <t>When did you test negative?</t>
        </is>
      </c>
      <c r="C3449" t="inlineStr">
        <is>
          <t>Hi all, I'm very grateful to be in recovery, and am doing well, generally.
The bulk of my course was about **15-20** days, with days # **5-16** being the peak "swell" of my worst symptoms.  &amp;lt; JFC that was horrible.
Anyway, I started feeling slowly better by day # **~18/19/20**.
I was re-tested on day **30**, which my doctor's office thought was enough time for me to finish shedding whatever viral load I had.
That 2nd time, I tested positive again... sh!t
Wondering what range of time people have experienced before they finally tested negative?
Thanks, for any data!
______________________________________
Very grateful to be mostly on the other side of this thing, and wish everyone here good health, good days, and hope for the future.  👍</t>
        </is>
      </c>
      <c r="D3449" t="n">
        <v>2</v>
      </c>
      <c r="E3449" t="n">
        <v>6</v>
      </c>
      <c r="F3449">
        <f>HYPERLINK("https://www.reddit.com/r/COVID19positive/comments/huq5fy/when_did_you_test_negative/")</f>
        <v/>
      </c>
      <c r="G3449" t="inlineStr">
        <is>
          <t>2020-07-20 11:01:30</t>
        </is>
      </c>
      <c r="H3449" t="inlineStr">
        <is>
          <t>Tested Positive - Me</t>
        </is>
      </c>
    </row>
    <row r="3450">
      <c r="A3450" t="inlineStr">
        <is>
          <t>huqli2</t>
        </is>
      </c>
      <c r="B3450" t="inlineStr">
        <is>
          <t>Tested positive today (21m/no underlying conditions), mild symptoms</t>
        </is>
      </c>
      <c r="C3450" t="inlineStr">
        <is>
          <t>Think I got it from my mom, who had mild fever/fatigue/loss of appetite for more than 2 weeks straight, but didn't show any other 'classic' symptoms (cough, shortness of breath, loss of smell/taste, etc). She tested negative today, I tested positive. 
It started out as postnasal drip, and I wasn't too worried since I usually get a cold this time of the year. I worked out one day and I had a tight throat for a couple days after that, and I was conscious of my breathing most of the time. I had trouble falling asleep too. I think that's more because of anxiety than the virus itself , though. My throat got better, but the cold symptoms remained. Yesterday, I lost most of my smell, which made me suspect I had covid. It was gradual though - I didn't lose it completely at once, I *could* make out strong smells like garlic, but it kept going down over the course of the day. Today I lost it completely. I have lost most of my taste as well, but not 100%. I can tell apart basic tastes, but it's very dulled. I also have a very mild fever, not more than 99.5, usually lingers around 99-99.2. I have no issues breathing and no coughing or any pain. 
I'm on day 7 of symptoms now. Here's how it progressed:
Day 1:
mild post nasal drip
Day 2:
mild post nasal drip, tightness in throat started
Day 3:
tight throat, constantly conscious of breathing
Day 4:
throat better, slightly less conscious of breathing
Day 5:
Feel normal, mild post-nasal drip and stuffy nose
Day 6:
Loss of smell set in
Day 7: 
Got tested positive, total loss of smell
I have no other symptoms and I feel perfectly fine. No fatigue/loss of appetite or any cough or pains or anything. The loss of taste is a bummer though. We've been careful and doing all that we can, but we still lost in the end. And it's not just us, but hundreds of people in our city. Don't really know who to blame, the people or the government for their response. 
This sub has been a real help to me and a break from the news showing all the serious cases and stuff, I'd completely forgotten that mild cases exist too and even asymptomatic ones. I've been told to get tested again in 17 days. From what I read here, the recovery of taste and smell sounds like a very slow process. That sounds really frustrating, I do hope I can recover soon though.
Edit: formatting</t>
        </is>
      </c>
      <c r="D3450" t="n">
        <v>6</v>
      </c>
      <c r="E3450" t="n">
        <v>12</v>
      </c>
      <c r="F3450">
        <f>HYPERLINK("https://www.reddit.com/r/COVID19positive/comments/huqli2/tested_positive_today_21mno_underlying_conditions/")</f>
        <v/>
      </c>
      <c r="G3450" t="inlineStr">
        <is>
          <t>2020-07-20 11:24:10</t>
        </is>
      </c>
      <c r="H3450" t="inlineStr">
        <is>
          <t>Tested Positive - Me</t>
        </is>
      </c>
    </row>
    <row r="3451">
      <c r="A3451" t="inlineStr">
        <is>
          <t>huqr0q</t>
        </is>
      </c>
      <c r="B3451" t="inlineStr">
        <is>
          <t>Beyond frustrated...</t>
        </is>
      </c>
      <c r="C3451" t="inlineStr">
        <is>
          <t>I began showing symptoms on the 10th, tested on the 11th. They told me at the testing center I would receive a call in 3 to 10 days regardless of results. The paperwork they gave me said 3 to 5 days and they’d only call if it was positive. Results would be available online only 48 hours after results were in. 
Luckily my doctor is treating me as presumptive and my medications regimen seems to be keeping me from worsening. But my husband is isolating with me, and it would be nice to know what the actual heck is going on...so I called my local public health office. There was recording directing me to another number, which I called and waited on hold with for 20 minutes. Then someone came on the phone and told me that the testing site I went to was a FEMA site and the results doesn’t come to them. She gave me another number, which took me to a rebate center for Walmart, of all things. 
I’m so frustrated I’m literally having a meltdown today, I just want to know wth is going on! 
Texas is a shitshow, and I’m scared.</t>
        </is>
      </c>
      <c r="D3451" t="n">
        <v>4</v>
      </c>
      <c r="E3451" t="n">
        <v>5</v>
      </c>
      <c r="F3451">
        <f>HYPERLINK("https://www.reddit.com/r/COVID19positive/comments/huqr0q/beyond_frustrated/")</f>
        <v/>
      </c>
      <c r="G3451" t="inlineStr">
        <is>
          <t>2020-07-20 11:32:02</t>
        </is>
      </c>
      <c r="H3451" t="inlineStr">
        <is>
          <t>Presumed Positive - From Doctor</t>
        </is>
      </c>
    </row>
    <row r="3452">
      <c r="A3452" t="inlineStr">
        <is>
          <t>hurna0</t>
        </is>
      </c>
      <c r="B3452" t="inlineStr">
        <is>
          <t>Lingering symptoms</t>
        </is>
      </c>
      <c r="C3452" t="inlineStr">
        <is>
          <t>How long have your symptoms lingered from a negative test result? I got cleared and had visited my boyfriend on Saturday. Today, my lungs hurt and my throat is scratchy. 
Thoughts?</t>
        </is>
      </c>
      <c r="D3452" t="n">
        <v>2</v>
      </c>
      <c r="E3452" t="n">
        <v>9</v>
      </c>
      <c r="F3452">
        <f>HYPERLINK("https://www.reddit.com/r/COVID19positive/comments/hurna0/lingering_symptoms/")</f>
        <v/>
      </c>
      <c r="G3452" t="inlineStr">
        <is>
          <t>2020-07-20 12:16:45</t>
        </is>
      </c>
      <c r="H3452" t="inlineStr">
        <is>
          <t>Tested Positive - Me</t>
        </is>
      </c>
    </row>
    <row r="3453">
      <c r="A3453" t="inlineStr">
        <is>
          <t>hurv75</t>
        </is>
      </c>
      <c r="B3453" t="inlineStr">
        <is>
          <t>A rant about fomo/fear in isolation.</t>
        </is>
      </c>
      <c r="C3453" t="inlineStr">
        <is>
          <t>I feel like life has been stolen from me and so many others who have this virus. Aside from the physical toll, I'm really having trouble with the mental strife of this virus and isolation isn't helping that aspect. 
My social media feeds are full of friends taking trips, going to each other's houses and I am at my wits end with this fomo. It's this strange juxtaposition of feelings because I'm also absolutely terrified that any of those friends could be catching the virus with all the socializing they're doing. I'm trying hard to gripe at anyone for their choices but it stings. I'm trapped at home, hoping to get better, and so many people are living their life like nothing is wrong. In the US we have absolutely been let down by our government, which has made things much worse and I have no idea when life will be able to return to normal. 
I'm so tired. I just want to feel better.</t>
        </is>
      </c>
      <c r="D3453" t="n">
        <v>15</v>
      </c>
      <c r="E3453" t="n">
        <v>14</v>
      </c>
      <c r="F3453">
        <f>HYPERLINK("https://www.reddit.com/r/COVID19positive/comments/hurv75/a_rant_about_fomofear_in_isolation/")</f>
        <v/>
      </c>
      <c r="G3453" t="inlineStr">
        <is>
          <t>2020-07-20 12:27:45</t>
        </is>
      </c>
      <c r="H3453" t="inlineStr">
        <is>
          <t>Tested Positive - Me</t>
        </is>
      </c>
    </row>
    <row r="3454">
      <c r="A3454" t="inlineStr">
        <is>
          <t>hurwk4</t>
        </is>
      </c>
      <c r="B3454" t="inlineStr">
        <is>
          <t>The eery return of the start of symptoms 4 months later</t>
        </is>
      </c>
      <c r="C3454" t="inlineStr">
        <is>
          <t xml:space="preserve">I woke up today with terrible GI symptoms and it's an eery reminder of how this all started for me 4 months ago. Normally I'd just tell myself it's a random bug, but that familiar dry cough and chest inflammation has returned today too. I'm sweating through my clothes. I told myself that the crushing fatigue that started on Friday and lasted through the weekend must just have been due to a busy work week or the start of my period. It's all too familiar.
&amp;amp;#x200B;
I was the first person I knew to get sick. First week of march, from work (a hospital). The first week was terrible GI symptoms with a dry cough, and then when the GI symptoms went away, that's when the severe shortness of breath started as well as the high fever. The worst of it was the neurological effects, which I would describe as perhaps even delirium. Took about 2 months to feel human again.
&amp;amp;#x200B;
Can we get this virus twice, can it reactivate like herpes, etc.? We don't know yet. Could what I'm physically experiencing just be my body doing funky stuff? Certainly. I'm hoping that I'll wake up tomorrow feeling a bit better.
&amp;amp;#x200B;
I think I'm just maxed out on the thought of being sick and confined to my bed for a moment longer. I'm supposed to be at work helping everyone with this virus get better, not the other way around.
&amp;amp;#x200B;
Edit: Lol 99.5F fever and 95% o2sat. Had to pull out my thermometer and pulse ox, had them packed away after not using them for so long.
Edit 2: Welp, it's something alright. Fever has lasted all day. My neck is super stuff and my lips/mouth are on fire. I'll get through the symptoms, I just want to keep everyone else in my home as safe as possible. </t>
        </is>
      </c>
      <c r="D3454" t="n">
        <v>270</v>
      </c>
      <c r="E3454" t="n">
        <v>193</v>
      </c>
      <c r="F3454">
        <f>HYPERLINK("https://www.reddit.com/r/COVID19positive/comments/hurwk4/the_eery_return_of_the_start_of_symptoms_4_months/")</f>
        <v/>
      </c>
      <c r="G3454" t="inlineStr">
        <is>
          <t>2020-07-20 12:29:35</t>
        </is>
      </c>
      <c r="H3454" t="inlineStr">
        <is>
          <t>Presumed Positive - From Doctor</t>
        </is>
      </c>
    </row>
    <row r="3455">
      <c r="A3455" t="inlineStr">
        <is>
          <t>hus912</t>
        </is>
      </c>
      <c r="B3455" t="inlineStr">
        <is>
          <t>Swift Recovery</t>
        </is>
      </c>
      <c r="C3455" t="inlineStr">
        <is>
          <t>Counting myself as an extraordinarily lucky lady.
I was only discharged from the hospital a little over 48hrs ago, and yet I feel incredible.
Don't get me wrong, I'm exhausted and still hypotensive and just cooking myself a meal or folding laundry makes me tired...
But I can breathe! I have no cough! No headache, no chills, no muscle pains, no chest pain except where I strained the muscles last week. 
I've been told to isolate a short while longer to ensure symptoms remain at bay, but hopefully will be able to get some fresh air by the end of the week.
So I went from a presymptomatic positive test, to mildly symptomatic, to hospitalised,  to home and recovering all within 12 days. I feel I got off very lightly.
To those still battling, keep strong. You can get through this and I look forward to seeing your recovery posts too.</t>
        </is>
      </c>
      <c r="D3455" t="n">
        <v>51</v>
      </c>
      <c r="E3455" t="n">
        <v>21</v>
      </c>
      <c r="F3455">
        <f>HYPERLINK("https://www.reddit.com/r/COVID19positive/comments/hus912/swift_recovery/")</f>
        <v/>
      </c>
      <c r="G3455" t="inlineStr">
        <is>
          <t>2020-07-20 12:46:36</t>
        </is>
      </c>
      <c r="H3455" t="inlineStr">
        <is>
          <t>Tested Positive - Me</t>
        </is>
      </c>
    </row>
    <row r="3456">
      <c r="A3456" t="inlineStr">
        <is>
          <t>husuaa</t>
        </is>
      </c>
      <c r="B3456" t="inlineStr">
        <is>
          <t>I over worked myself</t>
        </is>
      </c>
      <c r="C3456" t="inlineStr">
        <is>
          <t>I’m terrified right now, and frustrated as shit. I had a very mild case and after two weeks of laying in my bed (only had symptoms for 5-6 days) I went back to work. I was so excited to get back to work that I’ve only been taking one day off a week and have been absolutely working my ass off the past two weeks. But I think I over did it..
I work at a warehouse in Oklahoma where we grow cannabis in shipping containers. The warehouse is a solid 95-100 degrees most of the time while the grow pods are 70. It’s a labor intensive job where I’m walking a lot and continuously moving around. I’ve been feeling so exhausted by the time I get off that I am brain dead and my throat usually starts hurting around 4. These symptoms make it almost impossible to do anything but lay down in my bed. It doesn’t help that I get stressed out at work because we have 5 people doing the work of 10, and I also work with my ex which is a whole other stress factor. It sucks because I desperately need the money and have no other job options. I’m afraid that I did too much damage already and fucked up my healing process.. 
Granted I’ve been eating healthy, drinking tons of water/tea, doing breathing exercises/meditation 1-2 times daily, and I quit smoking weed. I feel so anxious that I can’t relax and I know that’s making it worse, anybody that’s going through this can you tell me when you got over it/what else I need to be doing other than chilling out and working less?</t>
        </is>
      </c>
      <c r="D3456" t="n">
        <v>1</v>
      </c>
      <c r="E3456" t="n">
        <v>4</v>
      </c>
      <c r="F3456">
        <f>HYPERLINK("https://www.reddit.com/r/COVID19positive/comments/husuaa/i_over_worked_myself/")</f>
        <v/>
      </c>
      <c r="G3456" t="inlineStr">
        <is>
          <t>2020-07-20 13:17:24</t>
        </is>
      </c>
      <c r="H3456" t="inlineStr">
        <is>
          <t>Tested Positive</t>
        </is>
      </c>
    </row>
    <row r="3457">
      <c r="A3457" t="inlineStr">
        <is>
          <t>huu7p9</t>
        </is>
      </c>
      <c r="B3457" t="inlineStr">
        <is>
          <t>My experience with being COVID19 positive</t>
        </is>
      </c>
      <c r="C3457" t="inlineStr">
        <is>
          <t>Hi guys, I just got my results today from when I tested July 10th, and my results came back positive.
I'm 25M and I thought I would be immune to it or at least asymptomatic but that wasn't the case. I might have contracted it back in June when we were reopening everything and since I work as a server for a restaurant, I might have gotten it then.
I'm mostly recovered, but I'd like to give my experience.
July 4th - July 5th: Started experiencing body aches, headaches, fatigues and chills. No fevers or coughs.
July 6th: Lost my sense of taste and smell. But the earlier symptoms have gone away.
July 10th - July 11th: Started developing a light cough here and there. When I'd inhale deeply, my chest would feel itchy.
July 12th: Cough went away.
July 14th: Taste and smell came back.
The nurse I got off the phone with said that I needed to quarantine for 10 days from taking the test, which I have. She also said I can leave the house once I no longer show symptoms, which I don't have any more.
Now I'm wondering since I'm mostly recovered, does that mean I still have the virus in me? Am I still "infectious?"</t>
        </is>
      </c>
      <c r="D3457" t="n">
        <v>5</v>
      </c>
      <c r="E3457" t="n">
        <v>12</v>
      </c>
      <c r="F3457">
        <f>HYPERLINK("https://www.reddit.com/r/COVID19positive/comments/huu7p9/my_experience_with_being_covid19_positive/")</f>
        <v/>
      </c>
      <c r="G3457" t="inlineStr">
        <is>
          <t>2020-07-20 14:29:17</t>
        </is>
      </c>
      <c r="H3457" t="inlineStr">
        <is>
          <t>Tested Positive - Me</t>
        </is>
      </c>
    </row>
    <row r="3458">
      <c r="A3458" t="inlineStr">
        <is>
          <t>huvmxr</t>
        </is>
      </c>
      <c r="B3458" t="inlineStr">
        <is>
          <t>Just tested positive freaking out</t>
        </is>
      </c>
      <c r="C3458" t="inlineStr">
        <is>
          <t>Hello. I have been getting tested once a week for a month. Has been negative. I went this Saturday and got tested. Got the call today that I am positive. I don’t have any symptoms. I had a cough here and there at most twice a day but I do get allergies. The last time I got tested was July 10 and that test was negative. So I must have picked it up some time between the 10th and I think the 16th (if I’m assuming I need at least two days for it to show up in a test).  
I am 32 and live with my mom. She has fibromyalgia but we don’t have other issues besides being overweight. Since lockdown we have lost about 20 pounds and have developed a healthier lifestyle. 
How long until symptoms show? I’m terrified. We don’t have symptoms now but idk how far into this we are. Any tips?  
Thanks so much.</t>
        </is>
      </c>
      <c r="D3458" t="n">
        <v>11</v>
      </c>
      <c r="E3458" t="n">
        <v>47</v>
      </c>
      <c r="F3458">
        <f>HYPERLINK("https://www.reddit.com/r/COVID19positive/comments/huvmxr/just_tested_positive_freaking_out/")</f>
        <v/>
      </c>
      <c r="G3458" t="inlineStr">
        <is>
          <t>2020-07-20 15:47:01</t>
        </is>
      </c>
      <c r="H3458" t="inlineStr">
        <is>
          <t>Tested Positive - Me</t>
        </is>
      </c>
    </row>
    <row r="3459">
      <c r="A3459" t="inlineStr">
        <is>
          <t>huvrxa</t>
        </is>
      </c>
      <c r="B3459" t="inlineStr">
        <is>
          <t>Very scared. Don't know why it's happening to me.</t>
        </is>
      </c>
      <c r="C3459" t="inlineStr">
        <is>
          <t>[17F] Hi! It's been 3 weeks since the onset of my symptoms and me and my whole family we got ill together. Ever since the beginning of last week I've noticed I have myopia and increased double vision in my left eye, right eye as well but it's very very slight. I usually have a headache too but my left eye hurts more than the right one. I've been waking up with puffy eyelids these days too. I'm seeing an optometrist tomorrow but these days I've been scared out of my mind and constantly have anxiety and want to cry my heart out. I don't want anything to happen to my eyes. Has anyone had a similar symptom or am i the only unlucky one here going thru this?</t>
        </is>
      </c>
      <c r="D3459" t="n">
        <v>16</v>
      </c>
      <c r="E3459" t="n">
        <v>14</v>
      </c>
      <c r="F3459">
        <f>HYPERLINK("https://www.reddit.com/r/COVID19positive/comments/huvrxa/very_scared_dont_know_why_its_happening_to_me/")</f>
        <v/>
      </c>
      <c r="G3459" t="inlineStr">
        <is>
          <t>2020-07-20 15:54:49</t>
        </is>
      </c>
      <c r="H3459" t="inlineStr">
        <is>
          <t>Tested Positive - Family</t>
        </is>
      </c>
    </row>
    <row r="3460">
      <c r="A3460" t="inlineStr">
        <is>
          <t>huvxbq</t>
        </is>
      </c>
      <c r="B3460" t="inlineStr">
        <is>
          <t>Loss of appetite long-term after covid? Rollercoaster recovery!</t>
        </is>
      </c>
      <c r="C3460" t="inlineStr">
        <is>
          <t>I had COVID the first two weeks of May. Fever, body aches, couldn’t leave my bed. I’d say it was a moderate case. Nothing severe. When I was sick I had a complete loss of taste and smell, and I never felt satisfied, so I couldn’t stop eating! Once recovered, I felt fine. But now I keep getting these waves of sudden diarrhea, scent hallucinations, and total loss of appetite. Food is so repulsive I have to force myself to eat. But what’s strange is I did not have these symptoms when I was sick!
It’s been months and these *seem to be* my only symptoms, but I’m confused why they come and go. I’ve had a positive antibody test and two negative swab tests since recovering. Waiting on results of a third swab test. 
Anyone have any advice or experience something similar? This recovery feels like a roller coaster, but I’m really worried about shedding the virus and putting others at risk!</t>
        </is>
      </c>
      <c r="D3460" t="n">
        <v>1</v>
      </c>
      <c r="E3460" t="n">
        <v>25</v>
      </c>
      <c r="F3460">
        <f>HYPERLINK("https://www.reddit.com/r/COVID19positive/comments/huvxbq/loss_of_appetite_longterm_after_covid/")</f>
        <v/>
      </c>
      <c r="G3460" t="inlineStr">
        <is>
          <t>2020-07-20 16:03:11</t>
        </is>
      </c>
      <c r="H3460" t="inlineStr">
        <is>
          <t>Tested Positive</t>
        </is>
      </c>
    </row>
    <row r="3461">
      <c r="A3461" t="inlineStr">
        <is>
          <t>huw6qa</t>
        </is>
      </c>
      <c r="B3461" t="inlineStr">
        <is>
          <t>After 30 Days I’m Negative!!</t>
        </is>
      </c>
      <c r="C3461" t="inlineStr">
        <is>
          <t>Y’all I am so grateful to be negative. I was fortunate to have low-mild symptoms. However, the mental toll and fear of the unknown was a lot. I want to thank this forum for all of the super helpful information and support. I didn’t post too often because I realized that many of my struggles were minor but again thank y’all.</t>
        </is>
      </c>
      <c r="D3461" t="n">
        <v>100</v>
      </c>
      <c r="E3461" t="n">
        <v>47</v>
      </c>
      <c r="F3461">
        <f>HYPERLINK("https://www.reddit.com/r/COVID19positive/comments/huw6qa/after_30_days_im_negative/")</f>
        <v/>
      </c>
      <c r="G3461" t="inlineStr">
        <is>
          <t>2020-07-20 16:18:39</t>
        </is>
      </c>
      <c r="H3461" t="inlineStr">
        <is>
          <t>Tested Positive - Me</t>
        </is>
      </c>
    </row>
    <row r="3462">
      <c r="A3462" t="inlineStr">
        <is>
          <t>huwb0j</t>
        </is>
      </c>
      <c r="B3462" t="inlineStr">
        <is>
          <t>Results from DOH</t>
        </is>
      </c>
      <c r="C3462" t="inlineStr">
        <is>
          <t>Tested 7/16, received the call today that it came back positive. 
My question is, who has access to these results? I recently moved and do not have a PCP yet.</t>
        </is>
      </c>
      <c r="D3462" t="n">
        <v>2</v>
      </c>
      <c r="E3462" t="n">
        <v>2</v>
      </c>
      <c r="F3462">
        <f>HYPERLINK("https://www.reddit.com/r/COVID19positive/comments/huwb0j/results_from_doh/")</f>
        <v/>
      </c>
      <c r="G3462" t="inlineStr">
        <is>
          <t>2020-07-20 16:25:40</t>
        </is>
      </c>
      <c r="H3462" t="inlineStr">
        <is>
          <t>Tested Positive - Me</t>
        </is>
      </c>
    </row>
    <row r="3463">
      <c r="A3463" t="inlineStr">
        <is>
          <t>huwdqu</t>
        </is>
      </c>
      <c r="B3463" t="inlineStr">
        <is>
          <t>Finally feeling better</t>
        </is>
      </c>
      <c r="C3463" t="inlineStr">
        <is>
          <t>Since my first symptoms in March I have been suffering with wave after wave of covid symptoms. After 4 months I have finally strung together a solid week where I feel normal. I’m back in work, getting a full nights sleep without needing a nap during the day, I even shot a basketball around two days this week. I tested positive for antibodies back in late May but still didn’t feel normal. From week 2 all the way to week 12 there was almost no improvement. For all of those who are suffering don’t lose hope. There is an end to this virus, it just takes a long time for some of us.</t>
        </is>
      </c>
      <c r="D3463" t="n">
        <v>32</v>
      </c>
      <c r="E3463" t="n">
        <v>16</v>
      </c>
      <c r="F3463">
        <f>HYPERLINK("https://www.reddit.com/r/COVID19positive/comments/huwdqu/finally_feeling_better/")</f>
        <v/>
      </c>
      <c r="G3463" t="inlineStr">
        <is>
          <t>2020-07-20 16:30:19</t>
        </is>
      </c>
      <c r="H3463" t="inlineStr">
        <is>
          <t>Tested Positive - Me</t>
        </is>
      </c>
    </row>
    <row r="3464">
      <c r="A3464" t="inlineStr">
        <is>
          <t>huwjcv</t>
        </is>
      </c>
      <c r="B3464" t="inlineStr">
        <is>
          <t>Tested Positive today</t>
        </is>
      </c>
      <c r="C3464" t="inlineStr">
        <is>
          <t>Woke up Friday morning 7/17 with -
Weakness, Chills, some mild confusion, (I would be thinking one thing then doing another, getting spun around my kitchen) a mild sore throat, headache, and a random cough.  I smoke so the cough wasn't too out of the ordinary.
Now today the 20th, I got my results back positive.  Each day since the 17th it has gotten better.  I still have a headache, which has lasted since Friday, but its manageable.  I can still look at screens, lights etc.  
Today I had lunch and noticed it tasted kind of bland, I even tested this by slicing up some fresh radishes and had the same bland reaction.  So my sense of taste is fading.
So far the cough is totally gone, no fever, no lung issues, no pain, weakness, chills.
Felt like updating in case some people are still super worried about catching it, and I will update as I go through my quarantine.</t>
        </is>
      </c>
      <c r="D3464" t="n">
        <v>2</v>
      </c>
      <c r="E3464" t="n">
        <v>7</v>
      </c>
      <c r="F3464">
        <f>HYPERLINK("https://www.reddit.com/r/COVID19positive/comments/huwjcv/tested_positive_today/")</f>
        <v/>
      </c>
      <c r="G3464" t="inlineStr">
        <is>
          <t>2020-07-20 16:39:15</t>
        </is>
      </c>
      <c r="H3464" t="inlineStr">
        <is>
          <t>Tested Positive - Me</t>
        </is>
      </c>
    </row>
    <row r="3465">
      <c r="A3465" t="inlineStr">
        <is>
          <t>huwtk8</t>
        </is>
      </c>
      <c r="B3465" t="inlineStr">
        <is>
          <t>Sense of Taste Return Questions?</t>
        </is>
      </c>
      <c r="C3465" t="inlineStr">
        <is>
          <t>Hi guys- I'm on day 3 of no smell or taste- I was wondering when people started to notice their taste coming back and what they started to taste first as it did return?</t>
        </is>
      </c>
      <c r="D3465" t="n">
        <v>2</v>
      </c>
      <c r="E3465" t="n">
        <v>6</v>
      </c>
      <c r="F3465">
        <f>HYPERLINK("https://www.reddit.com/r/COVID19positive/comments/huwtk8/sense_of_taste_return_questions/")</f>
        <v/>
      </c>
      <c r="G3465" t="inlineStr">
        <is>
          <t>2020-07-20 16:56:34</t>
        </is>
      </c>
      <c r="H3465" t="inlineStr">
        <is>
          <t>Tested Positive - Me</t>
        </is>
      </c>
    </row>
    <row r="3466">
      <c r="A3466" t="inlineStr">
        <is>
          <t>huxakx</t>
        </is>
      </c>
      <c r="B3466" t="inlineStr">
        <is>
          <t>I'm getting concerned that I may have COVID</t>
        </is>
      </c>
      <c r="C3466" t="inlineStr">
        <is>
          <t>Beginning on Saturday morning, I felt extremely fatigued (after a full night's rest), nauseous, had body aches, chills, and a headache. Those symptoms have not let up and now, I've got a sore throat as well. To add to the mix, last Wednesday, my psychiatrist doubled my dose of Lamictal; when a dose is decreased or increased, Lamictal can often produce flu-like symptoms in patients. My psychiatrist told me this last Wednesday, but is now telling me he did \*not\* say this and that I need to be tested for COVID immediately. His reaction kind of freaked me out, to be honest.
I've got a video visit set up for tomorrow morning with a doctor, and I'm assuming I'll be allowed to be tested after that.
Does anyone here think I have cause for being concerned? Also, does anyone have advice on socially distancing when you live in a home with other people? I'm trying my best not to touch things when I don't have to, because I don't want my dad to get sick.</t>
        </is>
      </c>
      <c r="D3466" t="n">
        <v>2</v>
      </c>
      <c r="E3466" t="n">
        <v>8</v>
      </c>
      <c r="F3466">
        <f>HYPERLINK("https://www.reddit.com/r/COVID19positive/comments/huxakx/im_getting_concerned_that_i_may_have_covid/")</f>
        <v/>
      </c>
      <c r="G3466" t="inlineStr">
        <is>
          <t>2020-07-20 17:25:58</t>
        </is>
      </c>
      <c r="H3466" t="inlineStr">
        <is>
          <t>Presumed Positive - From Doctor</t>
        </is>
      </c>
    </row>
    <row r="3467">
      <c r="A3467" t="inlineStr">
        <is>
          <t>huy0ad</t>
        </is>
      </c>
      <c r="B3467" t="inlineStr">
        <is>
          <t>Mild abnormal symptoms — still tested positive</t>
        </is>
      </c>
      <c r="C3467" t="inlineStr">
        <is>
          <t>Hi, just figured I would share for people that experience something similar and aren’t sure if they should get tested. I’m 27F in good shape but I do have POTS and mild ME so I was terrified of covid.
I developed some GI issues (brief diarrhea followed by major stomach aches), a few days later I got a horrible migraine that lead to me being extremely tired. I chalked it up as hormones because it’s that time of the month. However, Later that night my left leg and left arm started hurting like I had done a hard workout. I was more dizzy than usual but assumed it was just my POTS acting up. No fever. No cough. No loss of smell or taste. No shortness of breath. 
I got laughed out of one clinic, but couldn’t shake that the muscle pain was abnormal so I went to another where they gave me a test. By the next day I was already feeling more myself — walked 2 miles (masked and on an empty trail) and did some yoga at home. Still tired but nothing extreme at all. 
Today I got my results — It came back positive. 
So just wanted to share that even though I didn’t have a single classic symptom, I was still positive and I’m glad I went to get a test so now I can isolate without any temptation to see a friend or risk putting my roommates at risk.</t>
        </is>
      </c>
      <c r="D3467" t="n">
        <v>75</v>
      </c>
      <c r="E3467" t="n">
        <v>43</v>
      </c>
      <c r="F3467">
        <f>HYPERLINK("https://www.reddit.com/r/COVID19positive/comments/huy0ad/mild_abnormal_symptoms_still_tested_positive/")</f>
        <v/>
      </c>
      <c r="G3467" t="inlineStr">
        <is>
          <t>2020-07-20 18:12:47</t>
        </is>
      </c>
      <c r="H3467" t="inlineStr">
        <is>
          <t>Tested Positive</t>
        </is>
      </c>
    </row>
    <row r="3468">
      <c r="A3468" t="inlineStr">
        <is>
          <t>huy6mb</t>
        </is>
      </c>
      <c r="B3468" t="inlineStr">
        <is>
          <t>Should I isolate myself from the rest of my family?</t>
        </is>
      </c>
      <c r="C3468" t="inlineStr">
        <is>
          <t>Back story: myself, my husband, my two kids (ages 8 &amp;amp; 13), and roommate were exposed last Sunday/Monday by the room mates girlfriend. Her sister was positive first but now both of her parents and herself have it as well.  All 4 have symptoms but doing well. 
Friday and Saturday evening/night I had a lot of body aches. I had no other symptoms so I really didn’t think it could be Covid. Last night, Sunday, I had a really bad ear ache that kept me up for a few hours and today I’m achy with a mild headache and sore throat. Honestly, nothing crazy. Just feel unwell. But obviously I called to get tested. We have Kaiser Insurance, they put in the request and I have to call tomorrow morning to get an appt for the test. She said it’s really busy so it can take a couple days to even get in to be tested. (Were in Southern California. Numbers are going up here) 
So to my question, if I do have it, it’s obviously very mild. And it’s probably too late for the rest of my family. If it were you, would you still self isolate from the rest of your family until you got the results? My husband feels like it’s too late to isolate now, everyone in the house has most likely already been exposed. I’m torn. I don’t want to overreact and isolate and put 100% of the child care on my husband just to have a negative test in a week. 🤷🏼‍♀️🤦🏼‍♀️</t>
        </is>
      </c>
      <c r="D3468" t="n">
        <v>2</v>
      </c>
      <c r="E3468" t="n">
        <v>19</v>
      </c>
      <c r="F3468">
        <f>HYPERLINK("https://www.reddit.com/r/COVID19positive/comments/huy6mb/should_i_isolate_myself_from_the_rest_of_my_family/")</f>
        <v/>
      </c>
      <c r="G3468" t="inlineStr">
        <is>
          <t>2020-07-20 18:23:54</t>
        </is>
      </c>
      <c r="H3468" t="inlineStr">
        <is>
          <t>Tested Positive - Friends</t>
        </is>
      </c>
    </row>
    <row r="3469">
      <c r="A3469" t="inlineStr">
        <is>
          <t>huyez7</t>
        </is>
      </c>
      <c r="B3469" t="inlineStr">
        <is>
          <t>Posting my covid journey as well</t>
        </is>
      </c>
      <c r="C3469" t="inlineStr">
        <is>
          <t>Hey All,
So after reading a bunch of these, I figured I would write up my covid journey as well, if it helps anyone.
Summary:  
I'm 37 / Male / 6' 1" / 198 lbs / average to athletic build (I workout at the gym a lot. probably how I caught it.)
I would say my covid case was considered intermediate, if compared to other at-home cases. If compared to hospital cases, it was definitely mild.  
My symptoms were the following:  
running nose, sore throat, fever, coughing, muscle aches (weird crawling pain all over), chills, loss of smell and taste, dizziness, weird feeling in the head, extreme fatigue, shortness of breath, at times diarrhea, and loss of appetite
Detection:  
I was infected with covid19 right around June 16. I had developed a sore throat that day, and have been generally sleep deprived for a couple of days before. So I figured it was just my body saying hey, rest up.
I woke up Wednesday, June 17, feeling like crap. Head dizzy, somewhat fatigued, and runny nose. I was still thinking it's just the common cold or flu, but I remembered a conversation I had with a friend about where we lived we could get a rapid response test, where they gave you the result in 15 min.  
Thinking it was a quick affair, made an appointment online and drove to the rapid testing site. Only to find the line of cars was wrapped ridiculously long and wrapped around the building 3 times. So, I ended up waiting for 3 hours in order to get tested. But as promised the results came within 15 min, and they said I was covid19 positive.
Treatment:
I was delivered the following to my house's doorsteps:  
all foods, drugs, immune boosting supplements, oximeter, and digital thermometer
I took the following:  
Nyquil - helps me sleep at night, and helps with fever, coughing, and runny nose  
Dayquil - helps me with fever, coughing, and runny nose  
Tylenol - helps with fever  
Advil - helps with fever  
Cough and congestion DM medicine - helps with cough and congestion  
Theraflu - I noticed that drinking hot water for me helped with the coughing, so Theraflu night-time was very helpful in helping me sleep and fever reduction, cough, and runny nose
Sambucus Elderberry - This isn't a drug but just a supplement. Supposedly people that take it get better quicker from the flu. So I thought why not take it. Honestly dunno if it helped at all for me.  
Airborne - Another supplement, that is packed full of vitamins and other substances your body needs to boost its immune system.  
Melatonin - supplement to help me sleep  
Benadryl - used for night time sleep aid  
cough drops - used to stop coughing, especially at night, so I can sleep.
Basically, after I realized I had covid19, I needed to ensure I was sleeping at least 8 hours a night, and sleeping extra throughout the day, because that is when my body does its best to fight off covid.  
I wanted to give my body the best chances in combating this thing. So a lot of the drugs I took, suppressed the coughing, and runny nose, to prevent the coughing, so I could sleep. And also including all the sleep aids to assist in falling asleep quick. I noticed if I didn't take Nyquil, melatonin, and benadryl. This covid thing would just keep me up, and I'd be in pain all night.  
Covid Story:
So as for me, I got sick and it felt like the flu for the first 3 days, but extremely mild for me. By day 4, I thought I dodged a bullet, and was in the clear. Then day 5 came, nope, I was hit with extreme fatigue, and noticed a general fever hovering around 99.9. Then the muscle aches came, and fever chills. In my house middle of summer, turned off all AC. Temperature was hovering around 78-81. And I felt cold and got the chills. At night, I would use a blanket, and still felt chilly, like it was winter. That's when it hit me, this covid thing is no joke.  
By day 7, it started getting worse. I would at first just have sporadic coughing. On day 7, the coughing was consistent and throughout the day, and especially if I laid down. I almost couldn't stop coughing. It would take 2-3 cough drops that were 20mg of Menthol to slow the coughing down. (thank you Vicks for selling the strong stuff. Lol, Halls were 2.7mg. Probably would have needed to eat the entire bag to slow the coughing.)  
Right around day 7 I would say, I lost my sense of smell and taste. I remember feeling like I was going to die, and being super sad. That was the day that I found this subreddit. I started reading through it, and it made me even more sad because I read so many people were dying from this thing. And it generally just made me upset, because I realized, this was one of those times in life, I have no control. I can only do my best and try to survive, but who knows my time may come and I just may die.
Day 9, I talked to my sister and her boyfriend. They called to check on my condition to see if I was getting better. I said, I don't feel any better. I feel the same. They asked for my oximeter reading, and it said 89. (I dunno how accurate these things are.) I did tell them about my general shortness of breath, and walking a flight of stairs. I'm winded for 15 minutes and I see stars. And I told them some of the stuff that was delivered, I'm just too tired and fatigued to get it. I left it downstairs. (I live in a townhome. Townhome living is not conducive to covid at all, lol). And I told them about my low grade fever that's just been going on for about 3-4 days by now. And on top of all this, I kept coughing, I generally had to cough constantly, and couldn't really stop. Like if I breathed too much, boom immediately have to cough. I couldn't even hold my breath. The urge to cough was too great.  
That's when they freaked out, they said, you sound horrible over the phone, and with everything you said, you need to go to the ER asap.
I live 5 min away from a hospital. But it probably took me an hour to get there, because of my extreme fatigue. I get there, and get checked in. I told them I had covid19. They run their blood pressure, oximeter, check my temperature, etc... Literally, 2.5 hours later, doctor finally shows up. Asks me some questions, and I tell him I have shortness of breath, and etc... all my symptoms. He listens thoughtfully, and sends me to go get chest x-rayed. As I'm getting x-rayed, the lady was like can you hold your breath. I try soo hard, nope, kept coughing uncontrollably. So she did the best she could.
Later, I go back to my room, and the doctor shows up and basically says, wellp, I know you feel horrible, but believe it or not, you are not in bad enough condition for us to accept you. You do have covid19 pneumonia in your lungs, based on the chest x-rays. When he said that, I started freaking out.  And he basically said pneumonia takes a lot longer to heal, and that because covid19 is a virus, we can't even help you. You'll just have to let your body fight this thing. My heart sank so much at the ER, when I realized there was nothing these people could do for me.
Then he checks my oxygen levels and I noticed it somehow went up to 97 on the machine. So he's like oh, I'm good now, and I protested with well I was just 89 at home. He ignores me and checks my temperature, and this was the 2nd temperature check. My first one was 99.6 or something. The 2nd one showed up 103. And he was like all good, ok you can go home. I'm like WTF!!! in front of him. My temperature rose dramatically. People come to the hospital when they get to 103. I'm not leaving. Then he was like calm down, let me give you some Motrin, and send you on your way. For the first time in my life, I wished there was a vaccine...
That night when I got home, I was super sad. I would say that was the saddest night of this entire experience. (Covid is so bad, that you start rethinking your life. It messes with your head, it gets psychological.) I t was probably the top 5 saddest moments in my life so far. I basically cried on my pillow in bed that night before going to sleep. Which as a guy I have a hard time admitting.
I would say day 9 was probably the deciding factor, turning point, climax, or whatever you call it for this disease. It was the point whether, either you get better in the days to come or it turns for the worse, and you will need to be hospitalized and doctors need to take chances to keep you alive type of thing.  
Thankfully, for me it was a turn for the better, I noticed small but general improvements of each of my symptoms, for about another 3 days after the hospital visit. I could tell I was still sick, but things were somewhat improving. For example, maybe less fatigue walking up and down the stairs. No more seeing stars.  
And the biggest breakthrough came, I almost cried with joy. I can't remember exactly what day, but I believe it was right on day 14. I would say I was measuring my temperature religiously throughout this experience, whenever I first received the digital thermometer. So day 14 was no different, I just remember seeing 97.8. And thinking woah, that's gotta be wrong, recheck. And that number kept coming up. That's when I realized, my body finally defeated this thing. From that day forward, there was no more fever. I would constantly check my temperature after that just to be sure, lol. But, yeah it always showed 98.6 or lower after that day.
About 5 days from that point, all symptoms went away except for the coughing. Well, because covid19 gave me the gift of covid19 pneumonia. So that in itself was another battle on it's own.
I did notice week 4, my coughing did subside some, and near the end of week 4, I could hold my breath again, and breathe much more deeper than I used to. But when I let the air out, I would still immediately have to cough. So I know I'm not fully healed yet on the covid19 pneumonia.  
I went ahead this week and went to a testing site that provides results within 7-10 days, and got tested again for covid19, in hopes of getting a negative result back.  
This week would be week 5. I would say I feel 90% healed, and I plan to get another covid19 test. I was told I need 2 negatives, before I really should be going back into public again. So I'm just gonna be waiting around haha. Thankfully, I can work from home, and my work has been pretty laid back for me, once I told them I tested covid19 positive.
So yeah, that is my covid19 journey so far. Hopefully, I continue to heal and this cough that I get every now and then now, will fully go away.
One really interesting symptom of covid19 for me was the loss of appetite. The loss of appetite was so crazy that near the beginning of this disease, I didn't eat for days at a time. I think I had 2 or 3 consecutive days of no food. I couldn't remember now, but that is unheard of for me. So it kinda shocked and scared me how little I felt like eating. And I remember thinking to myself. Eat something, or you could die. I would force myself to eat a grapefruit, or an orange, and it would be a huge chore and I would feel full the whole day after that. And eventually I would eat a soup and a fruit of some sort and it would make me feel super full the entire day.
Anyways, the interesting side affect of this disease, was that I was 198lbs going into this thing, and came out 184lbs. Once I regained my appetite I am back to 189lbs almost 190lbs. But I suspect a lot of the loss was muscle instead of fat... which makes me sad. But yeah, it's insane how quickly I lost weight, by just not eating for days, lol. I just slept all day all night a lot of those days. Only to wake up drink some liquids, use the restroom and go right back to sleep.
Wellp, that's it for my story, hopefully I wasn't too long winded. I just wanted to provide all the details of my experience. In hopes of helping someone else, if they are going through this, and feel they are in a similar boat.</t>
        </is>
      </c>
      <c r="D3469" t="n">
        <v>95</v>
      </c>
      <c r="E3469" t="n">
        <v>55</v>
      </c>
      <c r="F3469">
        <f>HYPERLINK("https://www.reddit.com/r/COVID19positive/comments/huyez7/posting_my_covid_journey_as_well/")</f>
        <v/>
      </c>
      <c r="G3469" t="inlineStr">
        <is>
          <t>2020-07-20 18:39:07</t>
        </is>
      </c>
      <c r="H3469" t="inlineStr">
        <is>
          <t>Tested Positive - Me</t>
        </is>
      </c>
    </row>
    <row r="3470">
      <c r="A3470" t="inlineStr">
        <is>
          <t>huzmug</t>
        </is>
      </c>
      <c r="B3470" t="inlineStr">
        <is>
          <t>I honestly thought it was an allergy attack</t>
        </is>
      </c>
      <c r="C3470" t="inlineStr">
        <is>
          <t>Hi everyone, just wanted to share my timeline hoping that it helps someone else out there searching for answers. I genuinely thought I had an allergy attack, but it turns out it was COVID 19. 
I guess I would have been convinced to isolate myself completely sooner if I had read more cases of people experiencing what I experienced but I read enough allergy pages online to convince myself it was allergies. I was wrong! 
Saturday
7/11 - Feeling a little stuffy after drinking a few beers at night. Also having a heat wave this day in Southern California and my apartment was really hot so I was sweating a lot and I turned the a/c on for the first time this summer.
Sunday
7/12 - Wake up with dry eyes, went to work, normal temperature, started to experience bad allergy attack symptoms throughout the day and felt the need to sneeze as though I were breathing something irritating in the air. (Normally don’t have regular/seasonal allergies). By night time, eyes and nose were itching/watery and burning. Feels like I snorted pepper and my nasal passages were irritated. Bought Benadryl and took it at around midnight because I thought I was having an allergic reaction to pollen in the air.
Monday
7/13 - Woke up with bad itching and burning eyes, feeling exhausted from Benadryl. Feels like I have pepper in my nose and constant feeling of needing to sneeze. Took Claritin. Continued to have bad allergy symptoms and could barely move from feeling so fatigued from Benadryl hangover. Called out of work. Took more Benadryl and zonked out on the couch all day, barely felt any relief. Started to notice lack of taste. Couldn’t taste Indian food or pickle flavored popcorn or smell anything. It was also super hot this day so I could have been having a fever since I was sweating a lot but I attributed it to the weather. Took more Benadryl and went to sleep.
Tuesday
7/14 - Still feeling itching/burning eyes as though pepper was up my nose or that sensation when pool water gets up there and was stinging. Breathing fine, no coughing or wheezing. Took Claritin to help symptoms which helped a little. Sinus pressure was pretty bad. Went to work feeling lethargic/fatigued and zonked out from Benadryl hangover. Took more Benadryl when off work because it still felt like I was having an allergic reaction to something in the air. Couldn’t taste or smell anything still. 
Wednesday
7/15 - Allergy symptoms not as bad but still feeling itchy inside nose. Ears popping and head feels clogged/in a fish bowl from sinus irritation. Didn’t take anything so I could let my system clear out since Benadryl makes me feel like drowsy crap. Can’t taste or smell anything still. 
Thursday
7/16 - Feeling a little better, some allergy-like feeling of itchiness in nose but able to make it through the day. Ears still popping and feel clogged. Can’t smell or taste anything. 
Friday
7/17 - Still can’t taste or smell anything. Took Alavert instead of Claritin which significantly helped allergy feeling. 
Saturday
7/18 - Still can’t taste or smell anything. Went to get tested for COVID at Kaiser. Nasal swab for 10 seconds in right nostril and throat swab. They say 2-3 days for results. Took Alavert to help with allergy symptoms. Self quarantined now. 
Sunday
7/19 - Still can’t taste or smell anything. Some nasal itchiness. Took Alavert. Self quarantined. Around 11 PM decide to smell things to see if I can smell again and can barely citrus and lavender candles and mens deodorant when I take a huge whiff but it’s faint. 
Monday
7/20 - Wake up with right nostril sort of stuffy. Try to smell candles and deodorant but scent is back to 0. Made coffee and can  taste it. Banana peanut butter and date smoothie tasted like caramel syrup. No allergy meds taken today.
GOT RESULTS from Kaiser around 6pm stating I’m positive. 
I feel very lucky that I don’t have the wild terrible symptoms but please get tested even if you think it’s just allergies!</t>
        </is>
      </c>
      <c r="D3470" t="n">
        <v>242</v>
      </c>
      <c r="E3470" t="n">
        <v>230</v>
      </c>
      <c r="F3470">
        <f>HYPERLINK("https://www.reddit.com/r/COVID19positive/comments/huzmug/i_honestly_thought_it_was_an_allergy_attack/")</f>
        <v/>
      </c>
      <c r="G3470" t="inlineStr">
        <is>
          <t>2020-07-20 20:01:09</t>
        </is>
      </c>
      <c r="H3470" t="inlineStr">
        <is>
          <t>Tested Positive - Me</t>
        </is>
      </c>
    </row>
    <row r="3471">
      <c r="A3471" t="inlineStr">
        <is>
          <t>huzn77</t>
        </is>
      </c>
      <c r="B3471" t="inlineStr">
        <is>
          <t>Symptoms coming back?</t>
        </is>
      </c>
      <c r="C3471" t="inlineStr">
        <is>
          <t>I tested positive the 6th and symptoms went away. Can they return? I have an AWFUL HEADACHE and shortness of breath again. This is the worst headache I’ve ever had</t>
        </is>
      </c>
      <c r="D3471" t="n">
        <v>3</v>
      </c>
      <c r="E3471" t="n">
        <v>2</v>
      </c>
      <c r="F3471">
        <f>HYPERLINK("https://www.reddit.com/r/COVID19positive/comments/huzn77/symptoms_coming_back/")</f>
        <v/>
      </c>
      <c r="G3471" t="inlineStr">
        <is>
          <t>2020-07-20 20:01:49</t>
        </is>
      </c>
      <c r="H3471" t="inlineStr">
        <is>
          <t>Tested Positive - Me</t>
        </is>
      </c>
    </row>
    <row r="3472">
      <c r="A3472" t="inlineStr">
        <is>
          <t>hv06t9</t>
        </is>
      </c>
      <c r="B3472" t="inlineStr">
        <is>
          <t>Aunt tested positive in spite of taking precautions, not sure yet if I have it</t>
        </is>
      </c>
      <c r="C3472" t="inlineStr">
        <is>
          <t>My aunt was scheduled for some minor surgery this week and had to be tested for coronavirus last week just as part of standard pre-surgery procedure. Her results came back positive four days later, meaning she's been infected for at least a week at this point and if she hadn't been tested, she'd still be walking around like normal and possibly infecting people.
I live with my aunt and as a person in close contact with a confirmed positive case, I have to quarantine for the remainder of her isolation and then two weeks of my own quarantine on top of it. My aunt has no symptoms at all - at least none that seemed out of the ordinary. No telling if I have it yet, which might be hard unless I have severe symptoms because a lot of symptoms I've had for years could easily be mistaken for coronsvirus symptoms, such as headache, runny nose, cough and sore throat from chronic sinus problems and shortness of breath from airway reflux. On top of that, because my temperature runs cold, 98.6 may actually be a fever for me, but not by health department standards.
According to the health department, since I have seemingly no symptoms, I don't need to be tested and neither does anyone I've been around recently. I just have to stay home and report my symptoms every day.
The worst part is my aunt did everything she was supposed to do - maintained social distance, wore a mask at all times in public, and wiped down everything with Clorox wipes after going to the store or the gas station or wherever. Seems none of it mattered and she got sick anyway and she has no idea when or where.</t>
        </is>
      </c>
      <c r="D3472" t="n">
        <v>1</v>
      </c>
      <c r="E3472" t="n">
        <v>4</v>
      </c>
      <c r="F3472">
        <f>HYPERLINK("https://www.reddit.com/r/COVID19positive/comments/hv06t9/aunt_tested_positive_in_spite_of_taking/")</f>
        <v/>
      </c>
      <c r="G3472" t="inlineStr">
        <is>
          <t>2020-07-20 20:39:41</t>
        </is>
      </c>
      <c r="H3472" t="inlineStr">
        <is>
          <t>Tested Positive - Family</t>
        </is>
      </c>
    </row>
    <row r="3473">
      <c r="A3473" t="inlineStr">
        <is>
          <t>hv0fmi</t>
        </is>
      </c>
      <c r="B3473" t="inlineStr">
        <is>
          <t>Should I (27F) go back to work tomorrow? Negative rapid testing results and waiting on traditional testing results</t>
        </is>
      </c>
      <c r="C3473" t="inlineStr">
        <is>
          <t>My nephew (4M) tested 7/13 and received positive results. My family members and I went and tested on Saturday which takes 3-6 days for results to come back. We don't live together but visit each other multiple times a week.
I'm almost certain my dad (59M) is positive, he's been experiencing high fevers, chills, and a slight cough. 
I've only been experiencing mild symptoms. I've had a killer headache starting from 7/14 which I've had daily since. Over the weekend I was having slight chills and a low grade fever (100.3F). 
My boss was able to get me in for a rapid result test from a family friend of theirs. The GP walked in and let me know they normally don't test patients for COVID and was doing this as a favor for my boss. The nurse didn't swab around my nose as they did in the traditional test, only did a quick swab and pulled out a booger and said that was all she needed. The results came back in 15 minutes and were negative. 
I'm just unsure how accurate this test was. I've heard many are getting back false negatives from rapid testing. However I was cleared to go back to work. Just not sure how safe this is, or if I should wait until my other test results come back. I could potentially expose the 50+ others that work with me. 
I'm not feeling sick but I'm definitely not feeling 100% either. If anyone has any advice I would surely appreciate it!</t>
        </is>
      </c>
      <c r="D3473" t="n">
        <v>11</v>
      </c>
      <c r="E3473" t="n">
        <v>14</v>
      </c>
      <c r="F3473">
        <f>HYPERLINK("https://www.reddit.com/r/COVID19positive/comments/hv0fmi/should_i_27f_go_back_to_work_tomorrow_negative/")</f>
        <v/>
      </c>
      <c r="G3473" t="inlineStr">
        <is>
          <t>2020-07-20 20:57:25</t>
        </is>
      </c>
      <c r="H3473" t="inlineStr">
        <is>
          <t>Tested Positive - Family</t>
        </is>
      </c>
    </row>
    <row r="3474">
      <c r="A3474" t="inlineStr">
        <is>
          <t>hv1enp</t>
        </is>
      </c>
      <c r="B3474" t="inlineStr">
        <is>
          <t>Grandfather (70) tested positive today - Salty foods</t>
        </is>
      </c>
      <c r="C3474" t="inlineStr">
        <is>
          <t>My Grandfather received a call stating he has tested positive. The test was last Thursday (7/16). He experienced no symptoms, however he did mention to me on Saturday (7/18) that all the food he's eaten as of recent has been salty including plain porridge.
Has anybody experienced a saltier pallet?</t>
        </is>
      </c>
      <c r="D3474" t="n">
        <v>7</v>
      </c>
      <c r="E3474" t="n">
        <v>10</v>
      </c>
      <c r="F3474">
        <f>HYPERLINK("https://www.reddit.com/r/COVID19positive/comments/hv1enp/grandfather_70_tested_positive_today_salty_foods/")</f>
        <v/>
      </c>
      <c r="G3474" t="inlineStr">
        <is>
          <t>2020-07-20 22:11:01</t>
        </is>
      </c>
      <c r="H3474" t="inlineStr">
        <is>
          <t>Tested Positive - Family</t>
        </is>
      </c>
    </row>
    <row r="3475">
      <c r="A3475" t="inlineStr">
        <is>
          <t>hv1mfg</t>
        </is>
      </c>
      <c r="B3475" t="inlineStr">
        <is>
          <t>I'm positive</t>
        </is>
      </c>
      <c r="C3475" t="inlineStr">
        <is>
          <t>My age is 27
I'm relatively healthy
Don't workout but I'm not overweight or have any underlying conditions
So a little back story to my situation.
I work in a lot of nursing homes dispersed through out South Florida. I work for a company that provides services for many of the homes in this area. Due to this I must be tested every 2 weeks to be able to work.
On July 6, that being a Sunday, I woke up and decided to head out with my girlfriend to a testing site so we can both be tested. We get there and the procedure is done, we leave to head back home. 
As soon as we get back I start to progressively feel lethargic and start getting a headache. I immediately inform my boss and decide to stay home Monday to gauge the situation
July 7 I wake up with an elevated temp of 98.8. it fluctuates throughout the day and at one point I was 100.1. I feel like crap the whole day. Very bad headache, no energy, my chest feels off somehow and I have a very dry sore throat with no cough. By the end of the night the fever lowers and hovers around 98-99. 
July 8 I'm hovering around 98. I feel much better but still very lethargic.  At this point I'm thinking I have covid. At 5pm that night I received my results and come to find im negative. Relief washes over me. 
July 9 I decide to go to the doc to see what he thinks. He takes one look at my throat and says it's strep throat. I seemed to have a lot of red sores and bumps at the back of my throat. He prescribed augmentin and over the course of the next 10 days I start to feel better. I don't go back to work for almost 2 weeks. 
July 16, Friday.  I head back to work but don't interact with any patients that day. I stay glued to a computer all day working by myself. 
I feel fine through the whole weekend and decided to get tested Sunday July 19. 
July 20. I get results the next day and I'm positive. No symptoms, I feel completely fine. 
Of course I'm shocked and honestly freaking out a bit. I am definitely relieved I have no symptoms though.  
Do you think perhaps my "Strep" was actually Covid this whole time? 
The timing of my test and the supposed incubation period doesn't make sense to me. 
I'm hoping that is the case and I'm over it. I really don't want to get sick again lol.
What do you guys think?</t>
        </is>
      </c>
      <c r="D3475" t="n">
        <v>6</v>
      </c>
      <c r="E3475" t="n">
        <v>22</v>
      </c>
      <c r="F3475">
        <f>HYPERLINK("https://www.reddit.com/r/COVID19positive/comments/hv1mfg/im_positive/")</f>
        <v/>
      </c>
      <c r="G3475" t="inlineStr">
        <is>
          <t>2020-07-20 22:26:56</t>
        </is>
      </c>
      <c r="H3475" t="inlineStr">
        <is>
          <t>Tested Positive</t>
        </is>
      </c>
    </row>
    <row r="3476">
      <c r="A3476" t="inlineStr">
        <is>
          <t>hv1mg2</t>
        </is>
      </c>
      <c r="B3476" t="inlineStr">
        <is>
          <t>I took all precautions. The doctor ordered bloodwork.</t>
        </is>
      </c>
      <c r="C3476" t="inlineStr">
        <is>
          <t>Two Fridays ago my doctor ordered bloodwork so I went to the lab. I stayed outside the waiting room in the hallway, as people were testing for COVID-19 in the waiting room and I felt really not great being inside. Unfortunately it took over an hour for my appointment and I had to spend it all in the hallway near the waiting room. I was in the waiting room for 10mins. I wear a mask everywhere. I distance everywhere. At the lab, I washed my hands twice once I was seen. I used sanitizer every 15mins.
7 days later, I developed symptoms.
It started with uncontrollable shaking and chills on Friday. Then the fever hit the next day. I am on day 4, and it is only getting worse. Usually with the flu, I’m start feeling better around now.
My symptoms: relentless high fever between 103-104. Tylenol brings it down to 102 but it rises again hours later. Shaking and chills. Nausea/puking. Extreme headache. Muscle pains.
And tonight I am starting to feel pressure in my chest. I’m getting scared. No shortness of breath or cough though.
I am being tested Wednesday but every day I feel worse. I’m worried I won’t feel well enough to even make it to the testing center. I also don’t have a pulse oximeter.
I’m so glad this community exists as I really needed to talk about this and read other accounts because I’m pretty scared.
I’m 34 and I did run marathons for 3 years but I also smoked for 10 and had an eating disorder for 13 so I’m worried about my chances. I hear day 7 is when you know, things either get worse or better.
I’m only on day 4 and another 3 days of this seems miserable. Been doing a lot of reflecting on my life. I feel weaker by the day. Doctors I call don’t seem worried though.
Thanks for reading. If anyone’s journey took a similar turn as mine, please share. I have been endlessly searching for accounts to understand what is going to happen but literally every single account I read is completely different.</t>
        </is>
      </c>
      <c r="D3476" t="n">
        <v>9</v>
      </c>
      <c r="E3476" t="n">
        <v>10</v>
      </c>
      <c r="F3476">
        <f>HYPERLINK("https://www.reddit.com/r/COVID19positive/comments/hv1mg2/i_took_all_precautions_the_doctor_ordered/")</f>
        <v/>
      </c>
      <c r="G3476" t="inlineStr">
        <is>
          <t>2020-07-20 22:26:59</t>
        </is>
      </c>
      <c r="H3476" t="inlineStr">
        <is>
          <t>Presumed Positive - From Doctor</t>
        </is>
      </c>
    </row>
    <row r="3477">
      <c r="A3477" t="inlineStr">
        <is>
          <t>hv27sc</t>
        </is>
      </c>
      <c r="B3477" t="inlineStr">
        <is>
          <t>Symptoms tracker, possible second infection</t>
        </is>
      </c>
      <c r="C3477" t="inlineStr">
        <is>
          <t>Hi y’all, 
I have a history of getting moderate to severe sinus infections as well as general bad allergies. Although my symptoms were similar, I got tested today after starting to get a fever. 
I am 22F, not really too active, average BMI (like 20ish), and generally health anxious. I rarely go out except for grocery shopping, and am working from home. 
Since I work as a programmer, I thought my sore neck was as a result of me sitting at my desk all day. I got my boyfriend to massage it and he noticed my neck lymph nodes were super swollen and hard. This is usual for my sinus infection, so I wasn’t too worried. However, the symptoms increased since then. 
My initial presumed Covid-19 infection was in February before anyone really knew about it. I was in complete brain fog, unable to move from my bed, and ran a fever of ~101 for a week straight. My neck and back were achy as well, and I remember being extremely congested and living next to the humidifier. I had lost my sense of smell and taste completely, no appetite, and generally comatose. One or two nights with shortness of breath. I was about fully healed after 8 days of symptoms. I had no idea what covid was so I assumed it was the flu. 
This time my symptoms are as follows:
Day 1-3: (7/15-7/18) I had a mild sore throat that I passed off as allergies. Took some Zyrtec and called it a day. Had some back pain, but thought it was my job. Neck and back pain got worse significantly over the past few days. Strange sternum soreness, although not sure if that’s actually from COVID or sex. 
Day 4: (7/19) Had severe neck and back pain, felt extremely disoriented, mild rib cage soreness. Sternum still sore. At the end of the day I got chills but no fever. Extremely bad sinus/back of the head headache. Felt awful moving my head or neck even slightly. Constant earache. Got an oximeter, dug out a thermometer (95-96%, 98.4 F). 
Day 5: (7/20) Same as the day before but fever rose to 100.1 for an hour or two. Was not out of breath running to the hospital (no car right now, and I live 15 min away and I’m always late). Got tested at the hospital with a turnaround time of 1-2 days. Took Tylenol and Sudafed after reaching 100.1 to ease the pain, felt normal after meds but knew that my body was still out of wack. Used the heating pad a lot. Upper thighs and hips are now sore. (95-97%, 98.4 - 100.1 F)
Day 6: (7/21) Woke up feeling much better, no chest or rib cage pain. Continues ear ache, sinus headache not as severe. However, sore throat got worse, some phlegm. Mild fever. Continued butt and thigh pain. Ear ache has migrated to only my right side now, chills getting worse but sinus headache is returning. (96%, 99.2 F)
As of now I still have my sense of smell and taste.</t>
        </is>
      </c>
      <c r="D3477" t="n">
        <v>3</v>
      </c>
      <c r="E3477" t="n">
        <v>8</v>
      </c>
      <c r="F3477">
        <f>HYPERLINK("https://www.reddit.com/r/COVID19positive/comments/hv27sc/symptoms_tracker_possible_second_infection/")</f>
        <v/>
      </c>
      <c r="G3477" t="inlineStr">
        <is>
          <t>2020-07-20 23:13:43</t>
        </is>
      </c>
      <c r="H3477" t="inlineStr">
        <is>
          <t>Presumed Positive - From Test</t>
        </is>
      </c>
    </row>
    <row r="3478">
      <c r="A3478" t="inlineStr">
        <is>
          <t>hv2mjx</t>
        </is>
      </c>
      <c r="B3478" t="inlineStr">
        <is>
          <t>My covid19 symptom progression.</t>
        </is>
      </c>
      <c r="C3478" t="inlineStr">
        <is>
          <t>I’m 33 and healthy, got covid while working with covid + patients.
Fever: Only on day 1, up to 38.8. 
Night sweats: Nights 1-3.
Chills: Terrible on days 1-3.
Muscle aches: Awful on day 1, better on day 2, gone by day 3.
Cough: Very mild on days 2-4, 7.
Chest Pain: Day 5-6. 
Diarrhea: Persistent days 1-4, cramping and diarrhea days 8-9.
Nausea: Days 1-8, 10. Loss of appetite due to nausea.
Loss of taste and smell: Day 5. Taste returned by day 11 but sense of smell is still gone.
 Runny nose/congestion: Days 1-12
Shortness of breath: With activity days 2-12 (worst on days 5-7, SOB when talking too much). Started salbutamol and fluticasone inhalers day 11.
Dizziness: Days 2-12. Worse with activity, when taking deep breaths, and when short of breath.
Headache: Awful and persistent on day 1, and intermittent on days 2-12. Worse when short of breath and dizzy.
Fatigue: Days 1-12. Day 10 I slept most of the day. 
I’m on day 12. O2 sats have been 92-98. Pulse jumps up to the 130’s when I get out of bed to walk around. 
Edit: updated for day 12.
Day 12 remaining symptoms: mild SOB, dizziness, headache, fatigue, nasal congestion. Still quarantined.</t>
        </is>
      </c>
      <c r="D3478" t="n">
        <v>27</v>
      </c>
      <c r="E3478" t="n">
        <v>31</v>
      </c>
      <c r="F3478">
        <f>HYPERLINK("https://www.reddit.com/r/COVID19positive/comments/hv2mjx/my_covid19_symptom_progression/")</f>
        <v/>
      </c>
      <c r="G3478" t="inlineStr">
        <is>
          <t>2020-07-20 23:48:05</t>
        </is>
      </c>
      <c r="H3478" t="inlineStr">
        <is>
          <t>Tested Positive</t>
        </is>
      </c>
    </row>
    <row r="3479">
      <c r="A3479" t="inlineStr">
        <is>
          <t>hv2wjd</t>
        </is>
      </c>
      <c r="B3479" t="inlineStr">
        <is>
          <t>Anxiety</t>
        </is>
      </c>
      <c r="C3479" t="inlineStr">
        <is>
          <t>The hardest part for me has been living with the anxiety inside of me it’s not the weakness of fever that’s hurting me it’s my own thoughts my breathing is normal but my anxiety manifests itself in so many symptoms that I freak myself out so much today I went to the hospital because I felt I was choking and my chest hurt but it ends up being anxiety because the second I got to the hospital it went away and when I got discharged guess what? It came back. I’m blessed to say I personally have not suffered like many of you but it’s so hard living with anxiety at this time it’s worse than before</t>
        </is>
      </c>
      <c r="D3479" t="n">
        <v>15</v>
      </c>
      <c r="E3479" t="n">
        <v>10</v>
      </c>
      <c r="F3479">
        <f>HYPERLINK("https://www.reddit.com/r/COVID19positive/comments/hv2wjd/anxiety/")</f>
        <v/>
      </c>
      <c r="G3479" t="inlineStr">
        <is>
          <t>2020-07-21 00:13:06</t>
        </is>
      </c>
      <c r="H3479" t="inlineStr">
        <is>
          <t>Tested Positive - Me</t>
        </is>
      </c>
    </row>
    <row r="3480">
      <c r="A3480" t="inlineStr">
        <is>
          <t>hv3bau</t>
        </is>
      </c>
      <c r="B3480" t="inlineStr">
        <is>
          <t>Dizziness?</t>
        </is>
      </c>
      <c r="C3480" t="inlineStr">
        <is>
          <t>Is anyone else experiencing dizziness? Full on, room spinning, dizziness? It reminds me of when I was little, ran around in circles for 5 mins straight, and couldn’t stand afterwards. It seems to sometimes happen if I stand up, and if I am laying down and quickly turn my head to the left (I know, oddly specific..) Maybe this is vertigo? 
I’ve had other symptoms (loss of smell, fatigue, cough, stuffy nose, sore throat, muscle soreness, loss of appetite, &amp;amp; felt hot constantly but no fever). I’m on day 15 and most of my symptoms have gone away. But, I still have fatigue, a cough, and this weird dizziness. Some days it will only happen once but other days I can’t stand without getting dizzy. 
It started happening when I first showed symptoms, so I thought it was COVID. But now I’m not so sure... I’m eating normally and drinking lots of water, so it really came out of nowhere. Is anyone else experiencing this?</t>
        </is>
      </c>
      <c r="D3480" t="n">
        <v>1</v>
      </c>
      <c r="E3480" t="n">
        <v>6</v>
      </c>
      <c r="F3480">
        <f>HYPERLINK("https://www.reddit.com/r/COVID19positive/comments/hv3bau/dizziness/")</f>
        <v/>
      </c>
      <c r="G3480" t="inlineStr">
        <is>
          <t>2020-07-21 00:50:16</t>
        </is>
      </c>
      <c r="H3480" t="inlineStr">
        <is>
          <t>Tested Positive - Me</t>
        </is>
      </c>
    </row>
    <row r="3481">
      <c r="A3481" t="inlineStr">
        <is>
          <t>hv4lxw</t>
        </is>
      </c>
      <c r="B3481" t="inlineStr">
        <is>
          <t>Being told it's time to go back into society but I'm still nervous</t>
        </is>
      </c>
      <c r="C3481" t="inlineStr">
        <is>
          <t>I tested positive 11 days ago. Most symptoms, notably a fever, disappeared after 2-3 days after testing positive. But there's been a lingering symptom, an occasional burning sensation in my nose with an associated smell/taste.
My wife, who is a nurse, tells me that people can have symptoms for months after and it doesn't mean they are contagious. She wants me stop isolation and help around the house and with our not even 1 year old daughter. I know it's been hard on her. I get the impression she thinks I'm pushing the isolation out of laziness, but really I just want to do the right thing. Also my doctor's note is expired and I'm scheduled to go back to work Wednesday (tomorrow for some of you). It feels strange interacting with people when I still have any symptoms.
I don't know what to do or what I'm looking for. I mean I feel like I don't really have a choice but to go back to life as normal at this point... Has anybody else returned to normal life with a single lingering symptom? Do you know if you were still positive/contagious?</t>
        </is>
      </c>
      <c r="D3481" t="n">
        <v>3</v>
      </c>
      <c r="E3481" t="n">
        <v>6</v>
      </c>
      <c r="F3481">
        <f>HYPERLINK("https://www.reddit.com/r/COVID19positive/comments/hv4lxw/being_told_its_time_to_go_back_into_society_but/")</f>
        <v/>
      </c>
      <c r="G3481" t="inlineStr">
        <is>
          <t>2020-07-21 02:50:53</t>
        </is>
      </c>
      <c r="H3481" t="inlineStr">
        <is>
          <t>Tested Positive - Me</t>
        </is>
      </c>
    </row>
    <row r="3482">
      <c r="A3482" t="inlineStr">
        <is>
          <t>hv4vox</t>
        </is>
      </c>
      <c r="B3482" t="inlineStr">
        <is>
          <t>Unsure if I should go to the hospital, oxygen keeps going down than up</t>
        </is>
      </c>
      <c r="C3482" t="inlineStr">
        <is>
          <t>Hello, I using a oximeter to watch my o2. For about the last 30 minutes ago I couldn't stop coughing, pain in my chest, and I was having trouble breathing. During that time my o2 kept dropping to 90 for about 1 minute max then going back to 97-98.  I'm no longer coughing but I'm still having trouble breathing and the pain isn't that bad anymore but is still there. My oxygen keeps randomly dropping though to 94 now. I'm unsure if I should go to the hospital/call 911
 I don't know if this matters but I do have environment induced asthma and I have had open heart surgery twice.</t>
        </is>
      </c>
      <c r="D3482" t="n">
        <v>3</v>
      </c>
      <c r="E3482" t="n">
        <v>12</v>
      </c>
      <c r="F3482">
        <f>HYPERLINK("https://www.reddit.com/r/COVID19positive/comments/hv4vox/unsure_if_i_should_go_to_the_hospital_oxygen/")</f>
        <v/>
      </c>
      <c r="G3482" t="inlineStr">
        <is>
          <t>2020-07-21 03:15:14</t>
        </is>
      </c>
      <c r="H3482" t="inlineStr">
        <is>
          <t>Tested Positive - Me</t>
        </is>
      </c>
    </row>
    <row r="3483">
      <c r="A3483" t="inlineStr">
        <is>
          <t>hv5kp7</t>
        </is>
      </c>
      <c r="B3483" t="inlineStr">
        <is>
          <t>4th months in</t>
        </is>
      </c>
      <c r="C3483" t="inlineStr">
        <is>
          <t>I thought rather then disappear because I lost interest, I'd post another update for people who still got this whole ordeal ahead of them.
So in month 4, where am I at?
I'd say I have recovered about 50%? At this point, after 4 months it's actually quite hard to remember what this felt like at the start as it was so long ago. But sometimes I come here and read reports and it reminds me and it's really only then that I realize I have made any progress at all.
Most of my time lately has been spent fighting with my insurrance, which insists Covid19 is an issue that was determined to last 2 weeks. I have spent time with about a dozen doctors now. In the best case, they would admit they didn't know what's going on. In most cases though, they would say that everything looks completely fine and that I probably just have a case of anxiety. Or they would prescribe heavy and dangerous antibiotics for no substantial reason. Overall in the first three months I think I can say with confidence I was completely on my own.
Well here's a big tip for everyone heading into this: Forget the cardiologist, forget the pulmologist. The doctor you need to see is the neurologist. That was the first time I had a proper conversation, a doctor that would understand, recognize and most importantly diagnose my issues and the first time I have come close to anything that even resembles medical help, after three months.
I can't post links here, but I would advise you to check out recent research. In a long list of 30 symptoms associated with Covid19 the cough, which is the sole way to determine an infection in my country, is actually shown to decrease the propability of Covid19. The media and medicine alike made the grave mistake of only looking at the 5% who get hospitalized, which is in my opinion the reason I've had to waste so much energy fighting this system. My doctor, who is also a recognized researcher, told me that antibody tests were released way too early and are completely unreliable. In my point of view this was extremly unethical and from the posts here you can see how much chaos it causes for everyone involved.
I am now using what little energy I have regained to do all sorts of examinations to rule out all other potential causes. The truth is, as my doctor says, the only thing that will heal this is time and patience anyway, so it's not like I'm missing out on any treatment.
I think it's safe to say that some symptoms have waned. I still have regular flares. Usually it still starts with strong diarrhea, but overall my stomach doesn't mess up so bad anymore that it literally hurts. My kidney pain is gone. My heartrate has gone down to normal. I don't experience breathing problems. I think the most important improvement: I sleep like a baby. When I have a flare I just feel incredibly tired and sick, usually around the evening. 
A month ago when I would go out for a bloodtest it would be so exhausting I would pretty much feel like passing out, the only hope of even getting back home being a cab. Now, I notice that I can just walk home normally without feeling like collapsing, although I still pay the price in the evening.
So all in all, it's getting better, but still no sign of a full recovery. My advice at this stage: See a neurologist.</t>
        </is>
      </c>
      <c r="D3483" t="n">
        <v>17</v>
      </c>
      <c r="E3483" t="n">
        <v>38</v>
      </c>
      <c r="F3483">
        <f>HYPERLINK("https://www.reddit.com/r/COVID19positive/comments/hv5kp7/4th_months_in/")</f>
        <v/>
      </c>
      <c r="G3483" t="inlineStr">
        <is>
          <t>2020-07-21 04:16:50</t>
        </is>
      </c>
      <c r="H3483" t="inlineStr">
        <is>
          <t>Presumed Positive - From Doctor</t>
        </is>
      </c>
    </row>
    <row r="3484">
      <c r="A3484" t="inlineStr">
        <is>
          <t>hv5lml</t>
        </is>
      </c>
      <c r="B3484" t="inlineStr">
        <is>
          <t>Angry? Regret that one time you let guard down?</t>
        </is>
      </c>
      <c r="C3484" t="inlineStr">
        <is>
          <t>[28/M]
Most of you are angry like me. We thought it'd never catch us. We feel cheated. This is unfair, right?
I thought long and hard. There was no way a pandemic was going to totally skip us in a world economy so globalised and borders so open. 
I'm 100% exposed and symptomatic. May get a test done tomorrow but the doctor reckons it's Covid. Will be jumping on meds soon. My 62 year old father is unwell too. That's my worry. My wife? We only married a year ago. She's not symptomatic. I'm not sure what's in store but I'm trying to stay optimistic. 
Most of us did well. Something's are simply beyond our control &amp;amp; this is one of it. Let us not be harsh on ourselves. Let us keep our guard up always. The world is a changed place. It's our generation's plague. 
The symptoms that remain months later? Let's hope they bring a medicine to fix it for good. It's possible, innit?
We shall overcome!</t>
        </is>
      </c>
      <c r="D3484" t="n">
        <v>82</v>
      </c>
      <c r="E3484" t="n">
        <v>35</v>
      </c>
      <c r="F3484">
        <f>HYPERLINK("https://www.reddit.com/r/COVID19positive/comments/hv5lml/angry_regret_that_one_time_you_let_guard_down/")</f>
        <v/>
      </c>
      <c r="G3484" t="inlineStr">
        <is>
          <t>2020-07-21 04:19:09</t>
        </is>
      </c>
      <c r="H3484" t="inlineStr">
        <is>
          <t>Presumed Positive - From Doctor</t>
        </is>
      </c>
    </row>
    <row r="3485">
      <c r="A3485" t="inlineStr">
        <is>
          <t>hv5uba</t>
        </is>
      </c>
      <c r="B3485" t="inlineStr">
        <is>
          <t>Has anyone else experienced an ear infection?</t>
        </is>
      </c>
      <c r="C3485" t="inlineStr">
        <is>
          <t>Over the course of the last two or three weeks, I’ve (36M) slowly developed an ear infection in both ears. It started off very mildly, but about two days ago it has really become almost unbearable. My doctor thinks it’s viral, but isn’t sure if it’s Covid related because he hasn’t had anyone else report a middle ear infection yet. There are a few studies I found on google that suggest that Covid has triggered a middle ear infection in a handful of patients. I’m curious if I somehow hit the jackpot on obscure Covid symptoms or if this is unrelated and just bad timing?
Just so you know my backstory, I’m on day 43 and I just tested positive again over the weekend. My symptoms have been all over the map. I was hospitalized for 3 days in the beginning due to difficulty breathing and low O2 saturation. I was diagnosed with pneumonia in addition to Covid and received a convalescent plasma transfusion and sent home on oxygen. I have been relatively symptom free with the occasional flare ups with minor aching pain in my lungs and shallow breathing. The ears were slowly becoming a nuisance, but I figured they would heal on their own. But then two days ago they started getting significant inflammation accompanied with a sharp throbbing pain. The area in front of my ears are visibly swollen and it’s made my jaw unable to completely close. For the last 12 hours my ears have started draining. My doctor basically implied that there’s nothing that can be done and I need to tough it out. Thoughts?</t>
        </is>
      </c>
      <c r="D3485" t="n">
        <v>3</v>
      </c>
      <c r="E3485" t="n">
        <v>30</v>
      </c>
      <c r="F3485">
        <f>HYPERLINK("https://www.reddit.com/r/COVID19positive/comments/hv5uba/has_anyone_else_experienced_an_ear_infection/")</f>
        <v/>
      </c>
      <c r="G3485" t="inlineStr">
        <is>
          <t>2020-07-21 04:38:36</t>
        </is>
      </c>
      <c r="H3485" t="inlineStr">
        <is>
          <t>Tested Positive - Me</t>
        </is>
      </c>
    </row>
    <row r="3486">
      <c r="A3486" t="inlineStr">
        <is>
          <t>hv63oy</t>
        </is>
      </c>
      <c r="B3486" t="inlineStr">
        <is>
          <t>Just venting rn</t>
        </is>
      </c>
      <c r="C3486" t="inlineStr">
        <is>
          <t>I hate my anxiety ! Dad tested positive on Friday and I got a test done on Friday which said that it’ll come in 3-5 days. I(18M) first started feeling symptoms on July 15 which were just feeling slight feverish and nauseous. And from then it was just low symptoms such as hot flashes every now and then, a little fatigue, and a fast heart race every once in a while. Anyways up until this point I was fine sleeping but today I probably made the worst mistake I could’ve done rn. I googled my symptoms and that made my anxiety skyrocketed. And now because of it I can’t sleep and it’s currently 5:00am and I’m still awake. I guess rn I just wanted to vent out my anxiety since I have nowhere else to vent too at this time. Sorry if I sound whiny but I just really wanted to vent. I hope and pray a speedy recovery for anyone who has covid.</t>
        </is>
      </c>
      <c r="D3486" t="n">
        <v>5</v>
      </c>
      <c r="E3486" t="n">
        <v>6</v>
      </c>
      <c r="F3486">
        <f>HYPERLINK("https://www.reddit.com/r/COVID19positive/comments/hv63oy/just_venting_rn/")</f>
        <v/>
      </c>
      <c r="G3486" t="inlineStr">
        <is>
          <t>2020-07-21 04:59:54</t>
        </is>
      </c>
      <c r="H3486" t="inlineStr">
        <is>
          <t>Tested Positive - Family</t>
        </is>
      </c>
    </row>
    <row r="3487">
      <c r="A3487" t="inlineStr">
        <is>
          <t>hv761h</t>
        </is>
      </c>
      <c r="B3487" t="inlineStr">
        <is>
          <t>How to know if I have recovered from covid??</t>
        </is>
      </c>
      <c r="C3487" t="inlineStr">
        <is>
          <t>On July 14th, I started to have symptoms of Corona positive like fever and cough.
July 17th, I went to get test and after 2 days on July 19th I was found covid positive.
I had fever for only 3 days and July 17th onwards I don't have fever or any other symptom, just cough.
I am only taking vitamin c and zinc sulphate tablets for last 5 days. I am feeling absolutely fine except mild cough. Am I still infectious or not as CDC data claims  that if u don't have fever for last 72 hours without taking any fever medicine, u will not spread virus..</t>
        </is>
      </c>
      <c r="D3487" t="n">
        <v>7</v>
      </c>
      <c r="E3487" t="n">
        <v>18</v>
      </c>
      <c r="F3487">
        <f>HYPERLINK("https://www.reddit.com/r/COVID19positive/comments/hv761h/how_to_know_if_i_have_recovered_from_covid/")</f>
        <v/>
      </c>
      <c r="G3487" t="inlineStr">
        <is>
          <t>2020-07-21 06:17:28</t>
        </is>
      </c>
      <c r="H3487" t="inlineStr">
        <is>
          <t>Tested Positive - Me</t>
        </is>
      </c>
    </row>
    <row r="3488">
      <c r="A3488" t="inlineStr">
        <is>
          <t>hv7hjw</t>
        </is>
      </c>
      <c r="B3488" t="inlineStr">
        <is>
          <t>Got tested. So scared of getting microclots and dying.</t>
        </is>
      </c>
      <c r="C3488" t="inlineStr">
        <is>
          <t>25F, no adulthood medical problems aside from mold sensativity and allergies.
Shortness of breath was my first symptom from about July 1 or so. It started waxing and waning when my sinusitis-like symptoms started at night in the 13th. I had just gone back to the office then and had to go back to working from home.
My nose was only slightly stuffy, but clear. Recently got mild chest pain around the 19th. Had a fast heart rate and low grade to no fever from the 14th to now, o2 levels ranged from 97 to 99. The chest pain was what got me to test after a week of sinus drainage and ear infection.
After hearing of microclots and people my age being killed by clots, I'm frightened. I know there's a chance of recovery, but I don't want to die. Just when I was starting to live on my own and cone to terms with my bisexuality too.
I need reassurance and advice here. Will I be ok? Is chest pain a mild symptom?
EDIT: I should add that I have mild nausea and that started the same time as my sinus symptoms. Threw up twice. No loss of smell or taste, but my mouth tastes like metal. No blood in it afaik.</t>
        </is>
      </c>
      <c r="D3488" t="n">
        <v>13</v>
      </c>
      <c r="E3488" t="n">
        <v>56</v>
      </c>
      <c r="F3488">
        <f>HYPERLINK("https://www.reddit.com/r/COVID19positive/comments/hv7hjw/got_tested_so_scared_of_getting_microclots_and/")</f>
        <v/>
      </c>
      <c r="G3488" t="inlineStr">
        <is>
          <t>2020-07-21 06:39:08</t>
        </is>
      </c>
      <c r="H3488" t="inlineStr">
        <is>
          <t>Presumed Positive - From Test</t>
        </is>
      </c>
    </row>
    <row r="3489">
      <c r="A3489" t="inlineStr">
        <is>
          <t>hv8gh0</t>
        </is>
      </c>
      <c r="B3489" t="inlineStr">
        <is>
          <t>Heart went crazy</t>
        </is>
      </c>
      <c r="C3489" t="inlineStr">
        <is>
          <t>So scared I’m going to have heart attack or die. I had my head so right mentally finally. Wasn’t having anxiety. Going into week 11. Started Gatorade and coconut water and it really helped my heart racing which is my main remaining symptom. Last night I had bad heart racing to 145 which is the highest it’s ever been. It always has fine blood pressure and oxygen. No chest pain. But It was all over the place last night. It wasn’t just racing it was up and down. Then fast and slow it was going nuts. My ekg machine said possible st elevation which then made me panic cause that’s a heart attack. Might not be reliable but still so scared. Then woke up At 345 am and it was racing so bad again like worst then when I had covid. I’m scared I’m going to die or have a heart attack it literally keeps me up. I had d dimer test came back negative. Clear chest x Ray. I made an appointment at Urgent care for today. So nervous</t>
        </is>
      </c>
      <c r="D3489" t="n">
        <v>11</v>
      </c>
      <c r="E3489" t="n">
        <v>58</v>
      </c>
      <c r="F3489">
        <f>HYPERLINK("https://www.reddit.com/r/COVID19positive/comments/hv8gh0/heart_went_crazy/")</f>
        <v/>
      </c>
      <c r="G3489" t="inlineStr">
        <is>
          <t>2020-07-21 07:38:54</t>
        </is>
      </c>
      <c r="H3489" t="inlineStr">
        <is>
          <t>Tested Positive - Me</t>
        </is>
      </c>
    </row>
    <row r="3490">
      <c r="A3490" t="inlineStr">
        <is>
          <t>hv9w09</t>
        </is>
      </c>
      <c r="B3490" t="inlineStr">
        <is>
          <t>Am I still infectious.</t>
        </is>
      </c>
      <c r="C3490" t="inlineStr">
        <is>
          <t>I was exposed to COVID-19 on June 23 and my boyfriend was also exposed his results came in positive on June 30th and my results came in positive on July 6th. I am completely asymptomatic! am I still infectious it’s been 15 days since my positive test.</t>
        </is>
      </c>
      <c r="D3490" t="n">
        <v>22</v>
      </c>
      <c r="E3490" t="n">
        <v>67</v>
      </c>
      <c r="F3490">
        <f>HYPERLINK("https://www.reddit.com/r/COVID19positive/comments/hv9w09/am_i_still_infectious/")</f>
        <v/>
      </c>
      <c r="G3490" t="inlineStr">
        <is>
          <t>2020-07-21 08:56:38</t>
        </is>
      </c>
      <c r="H3490" t="inlineStr">
        <is>
          <t>Tested Positive - Me</t>
        </is>
      </c>
    </row>
    <row r="3491">
      <c r="A3491" t="inlineStr">
        <is>
          <t>hvakqf</t>
        </is>
      </c>
      <c r="B3491" t="inlineStr">
        <is>
          <t>My covid-19 progression with two periods of illness over a total of 5 weeks</t>
        </is>
      </c>
      <c r="C3491" t="inlineStr">
        <is>
          <t>So my story is pretty old by now, but I just found this sub so I thought I'd share it.
&amp;amp;#x200B;
I'm a 34 year old male in Stockholm, Sweden who rarely get sick. I work in a lab in one of our main hospitals, so I'm an essential worker. I travel to work by subway and commuter train. I also have a pretty active social life. Anyway, early on in the pandemic, the focus in Sweden was on returning travelers from Italy, China and Iran. Most people continued on with their lives relatively unchanged for several weeks in late February/early March. People were still crowding public transportation and going out socializing. This included me. 
&amp;amp;#x200B;
On Thursday, March 12, I felt fine in the morning and went to work as usual. Around lunch time, I started feeling feverish and developed a headache. There was no cough or runny nose or anything like that. I finished up my work, while I was definitely feeling sicker and sicker. I told my boss that I wasn't feeling well and prepared her that I was probably not going in the next day, as there were strict recommendations to not go to work if feeling even a little sick. At this point, I was thinking that it was probably nothing serious and would blow over in a day or so.    
&amp;amp;#x200B;
I get home and take my temperature. It's 38,9C (102F), which for me is very high. By this point I feel very sick. Over the next 6 days, my temperatur stays around 39C, and I generally feel like I have the worst flu of my life (admittedly, I haven't had the flu since the 90's). I get fever chills, extremely bad headaches and I have no energy. I cough, but only intermittently and not from the lower airways. My sense of taste and smell is normal throughout. I don't have any problems breathing, though I have a slightly congested feeling in my chest. 
&amp;amp;#x200B;
I self isolate, have friends buy me groceries and only take paracetamol as treatment. After 6 days, the fever subsides to a more moderate 37,5-38C (99,5-100,4 F) which lasts for another week. Two weeks after getting sick (Friday, March 27) I pretty much feel fine. The congested feeling in my chest remains though, which I'm open with to my boss. Since I don't have a fever and doesn't cough, it's decided that I can return to work. I go back to work on the following Monday (March 30). At this point Sweden only test serious cases (basically people who need to go to the hospital) and people who live in care homes, so I never take a covid-19 test. 
&amp;amp;#x200B;
I feel pretty much fine for two weeks, except for the congested feeling in the chest which doesn't go away. Then on Long Friday (April 10) the fever returns. I go back to self isolation and stay home from work for a week, until the 17th. This time my fever is generally not as elevated, but my lungs feel a lot more congested and I cough a lot. I also loose my sense of smell. Generally I don't feel as sick as I did during the first period of illness though. Despite coughing more and feeling more affected in the lower airways, I never felt like I needed to contact the health care system. After 5 days I pretty much feel fine.
&amp;amp;#x200B;
I never had a positivt covid-19 test, since I didn't get that sick, comparatively. But since I work at at the Karolinska University hospital, I've had two antibody tests and one virus test afterwards as part of different studies. The antibody tests were taken on April 20th and May 25th. Both were positive. On May 25th, we also took a throat swab for an active infection, which was negative.
&amp;amp;#x200B;
As far as I know, I didn't infect anyone at work during the two weeks I was working between the bouts of feeling sick. I have no idea where or when I was infected, but I use public transportation to get to work, and I had met up with friends the weekend before getting sick. None of my friends ever showed any symptoms.</t>
        </is>
      </c>
      <c r="D3491" t="n">
        <v>4</v>
      </c>
      <c r="E3491" t="n">
        <v>2</v>
      </c>
      <c r="F3491">
        <f>HYPERLINK("https://www.reddit.com/r/COVID19positive/comments/hvakqf/my_covid19_progression_with_two_periods_of/")</f>
        <v/>
      </c>
      <c r="G3491" t="inlineStr">
        <is>
          <t>2020-07-21 09:31:23</t>
        </is>
      </c>
      <c r="H3491" t="inlineStr">
        <is>
          <t>Tested Positive - Me</t>
        </is>
      </c>
    </row>
    <row r="3492">
      <c r="A3492" t="inlineStr">
        <is>
          <t>hvbnbn</t>
        </is>
      </c>
      <c r="B3492" t="inlineStr">
        <is>
          <t>Skin rashes?</t>
        </is>
      </c>
      <c r="C3492" t="inlineStr">
        <is>
          <t>I'm in week 3 and have been slowly feeling better, probably at 90% by this point. But yesterday I noticed the corner of my jaw became red, and today it's a full blown rash extending down my face and neck.
There's not much information about covid and skin rashes out there, just tidbits in articles from unknown sources. Anyone else positive experiencing rashes? It itches bad and I'm not sure how to treat this situation. This nightmare disease just never ends...</t>
        </is>
      </c>
      <c r="D3492" t="n">
        <v>1</v>
      </c>
      <c r="E3492" t="n">
        <v>10</v>
      </c>
      <c r="F3492">
        <f>HYPERLINK("https://www.reddit.com/r/COVID19positive/comments/hvbnbn/skin_rashes/")</f>
        <v/>
      </c>
      <c r="G3492" t="inlineStr">
        <is>
          <t>2020-07-21 10:26:10</t>
        </is>
      </c>
      <c r="H3492" t="inlineStr">
        <is>
          <t>Tested Positive</t>
        </is>
      </c>
    </row>
    <row r="3493">
      <c r="A3493" t="inlineStr">
        <is>
          <t>hvboj7</t>
        </is>
      </c>
      <c r="B3493" t="inlineStr">
        <is>
          <t>80 Year Old Mother in FL</t>
        </is>
      </c>
      <c r="C3493" t="inlineStr">
        <is>
          <t>My mother is 80 years old and lives by herself in FL. She became symptomatic July 5 and tested positive a week later. She has had the same symptoms from July 5 to today (July 21), which are a fever of about 101 (on and off through the day), loss of appetite, and fatigue. She is eating very little but is hydrating. She has no SOB or coughing, which is surprising to me as she is a smoker. She is mentally lucid and is able to walk around in her house, but getting depressed as there has been no improvement since symptoms started 16 days ago.
My brother and I both live in Canada, and we aren't able to cross the border to visit her. 
Does it sound normal that someone of 80 years old goes 16 days with steady symptoms of a fever without any other changes for better or for worse?
Any advice here?</t>
        </is>
      </c>
      <c r="D3493" t="n">
        <v>10</v>
      </c>
      <c r="E3493" t="n">
        <v>23</v>
      </c>
      <c r="F3493">
        <f>HYPERLINK("https://www.reddit.com/r/COVID19positive/comments/hvboj7/80_year_old_mother_in_fl/")</f>
        <v/>
      </c>
      <c r="G3493" t="inlineStr">
        <is>
          <t>2020-07-21 10:28:03</t>
        </is>
      </c>
      <c r="H3493" t="inlineStr">
        <is>
          <t>Tested Positive - Family</t>
        </is>
      </c>
    </row>
    <row r="3494">
      <c r="A3494" t="inlineStr">
        <is>
          <t>hvcbv2</t>
        </is>
      </c>
      <c r="B3494" t="inlineStr">
        <is>
          <t>Unsure of the longevity of the illness. Currently asymptomatic</t>
        </is>
      </c>
      <c r="C3494" t="inlineStr">
        <is>
          <t>I had fever and body aches on 14th July. I got tested with my family of 6 and all of us got tested positive. All of us had mild fever along with body aches for 2-3 days last week and apart from that we've been spared. We're taking paracetamol and multivitamin medication along with regular steam. We're all ranging 96-99 on oximeter. However, some of us get sudden bouts of mild fever which goes away after a paracetamol.
Personally, I'm not showing any symptoms apart from not being able to smell anything. My nose feels like I've submerged underwater (for the lack of better way to describe it) 
Do you guys (in your experience) think we could have worse symptoms (all of us relatively healthy) in the coming days? I'm currently unsure if the worst is over or if the worst is yet to come. Since all 6 of us have got it and the healthcare system in the place I stay is choked, I have to be completely sure.</t>
        </is>
      </c>
      <c r="D3494" t="n">
        <v>3</v>
      </c>
      <c r="E3494" t="n">
        <v>6</v>
      </c>
      <c r="F3494">
        <f>HYPERLINK("https://www.reddit.com/r/COVID19positive/comments/hvcbv2/unsure_of_the_longevity_of_the_illness_currently/")</f>
        <v/>
      </c>
      <c r="G3494" t="inlineStr">
        <is>
          <t>2020-07-21 11:01:34</t>
        </is>
      </c>
      <c r="H3494" t="inlineStr">
        <is>
          <t>Tested Positive - Me</t>
        </is>
      </c>
    </row>
    <row r="3495">
      <c r="A3495" t="inlineStr">
        <is>
          <t>hvck9d</t>
        </is>
      </c>
      <c r="B3495" t="inlineStr">
        <is>
          <t>my covid experience</t>
        </is>
      </c>
      <c r="C3495" t="inlineStr">
        <is>
          <t>helpful medicines/supplements: dayquil, tylenol, zinc, throat coat tea
day 0 (before test): throat feels off, slightly sick to my stomach, fatigue
day 1 (test taken): sudden onset of mild fever, nausea worsens, fatigue, mucus in nose and throat
day 2: horrible nausea, tickly throat, head fog, fatigue, coughing, stuffy nose
day 3: worsening congestion, wet cough, fatigue, sinus pressure
day 4: morning:: temp of 103, head feels unbelievably heavy, fatigue still, wet cough. once temp went down i feel okay, not as much mucus but i keep having to clear my throat
day 5: overall good, fever stayed down, less coughing, less congested
day 6: chest tightness, fatigue is strong, fever in the afternoon, overall okay
day 7: slight nausea, little appetite, chest tightness still
day 8: relatively normal, chest tightness lessened, cannot taste flavor of savory foods, cluster headache in the afternoon
day 9: constipated, body slightly sore, headache returned, overall sense of bleh still hasn’t gone away
day 10: the most normal i’ve felt so far, still slightly nauseas 
day 11: pretty much normal, just slightly weak
i’m planning on getting tested again next week to make sure i’m negative so I can travel back to school (out of state) in August</t>
        </is>
      </c>
      <c r="D3495" t="n">
        <v>5</v>
      </c>
      <c r="E3495" t="n">
        <v>2</v>
      </c>
      <c r="F3495">
        <f>HYPERLINK("https://www.reddit.com/r/COVID19positive/comments/hvck9d/my_covid_experience/")</f>
        <v/>
      </c>
      <c r="G3495" t="inlineStr">
        <is>
          <t>2020-07-21 11:13:22</t>
        </is>
      </c>
      <c r="H3495" t="inlineStr">
        <is>
          <t>Tested Positive - Me</t>
        </is>
      </c>
    </row>
    <row r="3496">
      <c r="A3496" t="inlineStr">
        <is>
          <t>hvckh0</t>
        </is>
      </c>
      <c r="B3496" t="inlineStr">
        <is>
          <t>Terribly sick then just better after that?</t>
        </is>
      </c>
      <c r="C3496" t="inlineStr">
        <is>
          <t>I had been posting starting last Tuesday when I got real sick. It seemed to be that every other day was a bad day. Thursday was worse than Wednesday, Friday was okay. Then Saturday hit, I was sure in the afternoon I was going to need to go to the hospital. Then that evening I noticed I didn't have a headache finally. Sunday I felt amazing. Had energy to where I wanted to do yard work and clean but took it easy expecting Monday to hit hard. Yesterday again went great, and then today as well. I'm still having mild symptoms with a headache, hot and cold flashes, chest burning, brain fog and general queeziness. But overall I feel "better." I did get my results that I was negative on Sunday but when I talked to my doc yesterday they still thought I might wanna get tested again this week if symptoms continued. Wondering if Saturday for some reason being so bad was the end of "it" whatever "it" was.</t>
        </is>
      </c>
      <c r="D3496" t="n">
        <v>4</v>
      </c>
      <c r="E3496" t="n">
        <v>8</v>
      </c>
      <c r="F3496">
        <f>HYPERLINK("https://www.reddit.com/r/COVID19positive/comments/hvckh0/terribly_sick_then_just_better_after_that/")</f>
        <v/>
      </c>
      <c r="G3496" t="inlineStr">
        <is>
          <t>2020-07-21 11:13:38</t>
        </is>
      </c>
      <c r="H3496" t="inlineStr">
        <is>
          <t>Presumed Positive - From Doctor</t>
        </is>
      </c>
    </row>
    <row r="3497">
      <c r="A3497" t="inlineStr">
        <is>
          <t>hvd8ru</t>
        </is>
      </c>
      <c r="B3497" t="inlineStr">
        <is>
          <t>A week straight of exhaustion and brain fog. No other symptoms except occasional mild throat discomfort and headache.</t>
        </is>
      </c>
      <c r="C3497" t="inlineStr">
        <is>
          <t>I haven't tested positive yet but I took the test 3 days ago and fully expect for it to come back positive. There's no other explanation for how I've felt.
It started a week ago just feeling really extra tired and starting to feel "off," but I thought it was just mental health issues + psyching myself out. As it got worse, I decided to get tested. I am quite confident that I have it, as does my roommate who started feeling off the same day I did, probably got it from the same source as we've spent a lot of our time together, and got tested too when I did.
I've been super tired, out of it, low energy. Extra napping. Haven't done much besides sit in bed watching Netflix and looking at my phone.
But the brain fog is my most noticeable and intense symptom. It's such a bizarre feeling. I searched around on here and found accounts of people who've felt the same way, which validated my suspicions that I likely have the virus. My head just feels super weird - I feel really out of it and kind of "woozy," everything is hazy and out of focus, I feel a weird pressure from my face, head and even my teeth and behind my eyes. Like there's a balloon inside my head pushing against my face from the inside. Eyes burning slightly sometimes, extra sensitive to light. Headache on occasion, but usually my head doesn't hurt, it just feels very strange.
No fever (although my skin has been sensitive like it feels while I have a fever), no cough, no stomach issues, only very slight throat discomfort (a lump, occasional minor soreness), no loss of taste or smell.
It's almost worse having symptoms that really only affect my head, because it's pretty scary feeling this strange. I feel like I'm on a drug, but not in a fun way. It feels like cold medicine but way more intense. And when I try to explain it to people they think I'm psyching myself out, which is understandable.
My roommate has the same brain fog but also coughing, sore throat, chest pain from going up stairs, more intense headache, etc. We have both had the weird metallic taste in our mouths.
Hoping this goes away quickly and doesn't get worse!</t>
        </is>
      </c>
      <c r="D3497" t="n">
        <v>10</v>
      </c>
      <c r="E3497" t="n">
        <v>56</v>
      </c>
      <c r="F3497">
        <f>HYPERLINK("https://www.reddit.com/r/COVID19positive/comments/hvd8ru/a_week_straight_of_exhaustion_and_brain_fog_no/")</f>
        <v/>
      </c>
      <c r="G3497" t="inlineStr">
        <is>
          <t>2020-07-21 11:48:51</t>
        </is>
      </c>
      <c r="H3497" t="inlineStr">
        <is>
          <t>Presumed Positive - From Test</t>
        </is>
      </c>
    </row>
    <row r="3498">
      <c r="A3498" t="inlineStr">
        <is>
          <t>hve0kv</t>
        </is>
      </c>
      <c r="B3498" t="inlineStr">
        <is>
          <t>Update on my dad in AZ</t>
        </is>
      </c>
      <c r="C3498" t="inlineStr">
        <is>
          <t>Original post: https://www.reddit.com/r/COVID19positive/comments/hu9ply/my_dad_did_everything_right_and_still_got_it/
Things have turned so quickly, I can't even process it. Yesterday morning he sounded great. We tried to call him last night and he said he couldn't breath and was trying to get ahold of the nurses station.  They put him on a bipap last night and a vent this morning. It's not looking good. 
I want to go for a walk and clear my head, but it's 106 degrees. 
I hate this whole thing.</t>
        </is>
      </c>
      <c r="D3498" t="n">
        <v>17</v>
      </c>
      <c r="E3498" t="n">
        <v>35</v>
      </c>
      <c r="F3498">
        <f>HYPERLINK("https://www.reddit.com/r/COVID19positive/comments/hve0kv/update_on_my_dad_in_az/")</f>
        <v/>
      </c>
      <c r="G3498" t="inlineStr">
        <is>
          <t>2020-07-21 12:28:58</t>
        </is>
      </c>
      <c r="H3498" t="inlineStr">
        <is>
          <t>Tested Positive - Family</t>
        </is>
      </c>
    </row>
    <row r="3499">
      <c r="A3499" t="inlineStr">
        <is>
          <t>hvesuh</t>
        </is>
      </c>
      <c r="B3499" t="inlineStr">
        <is>
          <t>Week 5- inflammation flare up?</t>
        </is>
      </c>
      <c r="C3499" t="inlineStr">
        <is>
          <t>So I am week 5 and recovered, or so I thought. All of a sudden my nodes are swollen, my lungs ache, and my cough has returned. I was okayed end of june to return to work and have been working. 
I am hoping this is just a flare up I have read about. 
Any thoughts or advice are welcomed! TYIA</t>
        </is>
      </c>
      <c r="D3499" t="n">
        <v>4</v>
      </c>
      <c r="E3499" t="n">
        <v>6</v>
      </c>
      <c r="F3499">
        <f>HYPERLINK("https://www.reddit.com/r/COVID19positive/comments/hvesuh/week_5_inflammation_flare_up/")</f>
        <v/>
      </c>
      <c r="G3499" t="inlineStr">
        <is>
          <t>2020-07-21 13:10:03</t>
        </is>
      </c>
      <c r="H3499" t="inlineStr">
        <is>
          <t>Tested Positive - Me</t>
        </is>
      </c>
    </row>
    <row r="3500">
      <c r="A3500" t="inlineStr">
        <is>
          <t>hvez4t</t>
        </is>
      </c>
      <c r="B3500" t="inlineStr">
        <is>
          <t>How late can you get your symptoms?</t>
        </is>
      </c>
      <c r="C3500" t="inlineStr">
        <is>
          <t>I have been tested positive on Friday, and i still feel quite good, but that makes it kind of worse for my anxiety, i know thats weird. 
My question was are there actually people who got there symptoms at the End of these two Weeks? 
Online everyone writes about how symptoms show around the 5-6 Day. Do i really have to be anxious for the next 2 weeks or am i maybe actually already over the hill? I have a really mild cough and feel a bit tired, thats it.</t>
        </is>
      </c>
      <c r="D3500" t="n">
        <v>8</v>
      </c>
      <c r="E3500" t="n">
        <v>22</v>
      </c>
      <c r="F3500">
        <f>HYPERLINK("https://www.reddit.com/r/COVID19positive/comments/hvez4t/how_late_can_you_get_your_symptoms/")</f>
        <v/>
      </c>
      <c r="G3500" t="inlineStr">
        <is>
          <t>2020-07-21 13:19:12</t>
        </is>
      </c>
      <c r="H3500" t="inlineStr">
        <is>
          <t>Tested Positive - Me</t>
        </is>
      </c>
    </row>
    <row r="3501">
      <c r="A3501" t="inlineStr">
        <is>
          <t>hvf8jr</t>
        </is>
      </c>
      <c r="B3501" t="inlineStr">
        <is>
          <t>Tested Positive but feel fine?</t>
        </is>
      </c>
      <c r="C3501" t="inlineStr">
        <is>
          <t>So for some background, I am a 20F and I just tested positive for COVID. I initially decided to get tested because I woke up Saturday morning with a fever, and a sore throat after not being able to sleep all night.  Sunday/Monday I had a fever all day that i was able to control with Tylenol. My head felt groggy and I felt tired whenever I stood up. However, this morning I woke up and felt almost normal? The only thing that's bugging me today seems to be my throat.
But today was also the day i got my COVID positive test result back. The doctor told me that COVID seems to be a virus that can seem to get better, but suddenly gets worse. I was just wondering what everyone else's experiences with it were like? Should I really be expecting my symptoms to worsen</t>
        </is>
      </c>
      <c r="D3501" t="n">
        <v>5</v>
      </c>
      <c r="E3501" t="n">
        <v>14</v>
      </c>
      <c r="F3501">
        <f>HYPERLINK("https://www.reddit.com/r/COVID19positive/comments/hvf8jr/tested_positive_but_feel_fine/")</f>
        <v/>
      </c>
      <c r="G3501" t="inlineStr">
        <is>
          <t>2020-07-21 13:32:37</t>
        </is>
      </c>
      <c r="H3501" t="inlineStr">
        <is>
          <t>Tested Positive - Me</t>
        </is>
      </c>
    </row>
    <row r="3502">
      <c r="A3502" t="inlineStr">
        <is>
          <t>hvfxp3</t>
        </is>
      </c>
      <c r="B3502" t="inlineStr">
        <is>
          <t>A COVID-19 Infection Story for One, but Surprisingly not for a Few Others</t>
        </is>
      </c>
      <c r="C3502" t="inlineStr">
        <is>
          <t>Hi all,
I've been reading stories here for weeks now, and want to share a timeline story I find surprising, frustrating, and honestly hard to believe.
&amp;amp;#x200B;
* July 4th: My roommates brother (I'll call him "Vig") was exposed to COVID-19 (We wouldn't learn this until later, but it's chronologically correct).
* July 12: Vig hung out with me my roommate at our apartment. Vig, a server at a local restaurant, mentioned while he was at our apt that he was getting tested soon because he's been coughing a bit, and has slight loss of smell--which he attributed to smoking. (After hearing this I thought "wtf" why are you even over here then, but the three of us just hung out the rest of the night with no apprehensions).
* July 12: It needs to be mentioned that Vig was in closer vicinity to my roommate and I than 6ft. I gave his some chips, which he took some and gave right back to me, he used my bathroom, and **we sat right next to one another on the couch for a two hour or so movie**.
* July 13: My mother comes over to visit me, and spent the entire afternoon over my apartment.
* July 15: I go out on a date at a restaurant with a woman I'm dating.
* July 16: I get a text from my roommate, while at work, telling me that Vig tested positive for COVID-19.
* July 16: I get a call from an official contact tracer, telling me, my roommate, and my roommate's mother (Vig lives with his mom) that all three of us needed to be quarantined for 14 days due to being "exposed" by Vig. I even got an official quarantine PDF letter from my county to send to my work (I'm a professor/administrator at a local university). I have to notify everyone I've been in contact with.
* July 16-20: I make no exaggeration, these have been the worth metal health days of my entire life. Every cough, headache, loose stool, etc., had me attributing it that I was positive. I believe it was all caused from intense physiological stress, because they were indeed symptoms of *something*.
* July 19: My roommate's mother test negative for COVID-19.
* July 20: I have a screening call and was approved to get tested that same day. My roommate also gets tested this day.
* July 21: My roommate test test negative for COVID-19.
* July 21: I test negative for COVID-19.
* July 21: Vig mentions he is feeling a bit better each day.
I'd like to also mention the test turnaround time. I was tested at 4:45pm July 20, and got my results back 2:03pm July 21. I live in Grand Rapids, Michigan.
I share this story because this subreddit has been instrumental in the period I was in the unknown with my status, and I have learned that I must be more responsible, and assertive with COVID-19 prevention measures. I'm also still baffled at how I was in such CLOSE proximity to a person confirmed to have COVID-19 but not catch it. This, I am not sure about, but am thankful nonetheless. This virus has hit close to home with my roommate's brother a confirmed positive case. I hope everyone not only recovers physically, but that you have mental peace of mind in all stages of COVID-19, rather directly or indirectly dealing with it.
&amp;amp;#x200B;
**TL;DR: I was exposed by my roommate's brother who was positive for COVID-19 at the time, close to him on a couch for hours, sharing snacks and drinks, him using my restroom, talking within 1-2 feet of both of us, and somehow neither my roommate or I contracted the virus.**</t>
        </is>
      </c>
      <c r="D3502" t="n">
        <v>7</v>
      </c>
      <c r="E3502" t="n">
        <v>13</v>
      </c>
      <c r="F3502">
        <f>HYPERLINK("https://www.reddit.com/r/COVID19positive/comments/hvfxp3/a_covid19_infection_story_for_one_but/")</f>
        <v/>
      </c>
      <c r="G3502" t="inlineStr">
        <is>
          <t>2020-07-21 14:08:53</t>
        </is>
      </c>
      <c r="H3502" t="inlineStr">
        <is>
          <t>Tested Positive - Friends</t>
        </is>
      </c>
    </row>
    <row r="3503">
      <c r="A3503" t="inlineStr">
        <is>
          <t>hvg0yh</t>
        </is>
      </c>
      <c r="B3503" t="inlineStr">
        <is>
          <t>POSITIVE WITH SARS-COV-2 FOR 30+ DAYS NOW!!</t>
        </is>
      </c>
      <c r="C3503" t="inlineStr">
        <is>
          <t>I first tested positive with covid back since June 26th 
And have been under quarantine since. I work at a daycare with quite a few older teachers so it is pretty strict that I have a negative test before coming back of course , so about 14 maybe 15 days after my first positive i retested although I was still feeling symptoms pretty bad , worse the latter weeks then the first week and a half , extreme chest pain, bowel issues , fatigue and bruising all over my body, of course my second test came back positive for covid as I expected and I am near the end of the second set of 14 days and retesting today as I type. I am not feeling any better if anything some symptoms have gotten worse and I fear I may test positive again, has anyone else here been sick and testing positive for long periods of time and if so how long and what symptoms did you have?</t>
        </is>
      </c>
      <c r="D3503" t="n">
        <v>10</v>
      </c>
      <c r="E3503" t="n">
        <v>8</v>
      </c>
      <c r="F3503">
        <f>HYPERLINK("https://www.reddit.com/r/COVID19positive/comments/hvg0yh/positive_with_sarscov2_for_30_days_now/")</f>
        <v/>
      </c>
      <c r="G3503" t="inlineStr">
        <is>
          <t>2020-07-21 14:13:51</t>
        </is>
      </c>
      <c r="H3503" t="inlineStr">
        <is>
          <t>Tested Positive - Me</t>
        </is>
      </c>
    </row>
    <row r="3504">
      <c r="A3504" t="inlineStr">
        <is>
          <t>hvg4s7</t>
        </is>
      </c>
      <c r="B3504" t="inlineStr">
        <is>
          <t>Tested positive on July 8th, both girlfriend and her daughter both negative</t>
        </is>
      </c>
      <c r="C3504" t="inlineStr">
        <is>
          <t>Wondering if I am a false positive while my partner and her daughter both tested negative (July 8th) while I tested positive. 
We all separated while home and wore masks, used separate baths etc. Partner and daughter tested negative a second time on July 18th. 
I declined to take a second test and would prefer to have the anti body test. 
Anyone else in the same boat? I thought for sure they would both get the virus after being in the same house for more than 10 days. 
How long should I wait for an antibody tests? 
Also no one showed any symptoms.</t>
        </is>
      </c>
      <c r="D3504" t="n">
        <v>2</v>
      </c>
      <c r="E3504" t="n">
        <v>2</v>
      </c>
      <c r="F3504">
        <f>HYPERLINK("https://www.reddit.com/r/COVID19positive/comments/hvg4s7/tested_positive_on_july_8th_both_girlfriend_and/")</f>
        <v/>
      </c>
      <c r="G3504" t="inlineStr">
        <is>
          <t>2020-07-21 14:19:53</t>
        </is>
      </c>
      <c r="H3504" t="inlineStr">
        <is>
          <t>Presumed Positive - From Test</t>
        </is>
      </c>
    </row>
    <row r="3505">
      <c r="A3505" t="inlineStr">
        <is>
          <t>hvgegi</t>
        </is>
      </c>
      <c r="B3505" t="inlineStr">
        <is>
          <t>What's the first thing you're going to eat when you get your sense of taste and smell back?</t>
        </is>
      </c>
      <c r="C3505" t="inlineStr">
        <is>
          <t>I lost both sense and taste around day 3 of symptoms. I took a test July 9th and still have not heard any results. I took it through CVS drive through minute clinic and I'm beginning to think they lost my test. Is anyone else still waiting for their results from them?  I am currently on day 16 of symptoms. I had some mild heart palpitations show up today, as well as slightly worse short of breath for a short time. However, I did start to get my senses of taste and smell back. I'm so excited to order some 4 star, pineapple fried from my favorite Thai restaurant.  What are you looking forward to eating?</t>
        </is>
      </c>
      <c r="D3505" t="n">
        <v>1</v>
      </c>
      <c r="E3505" t="n">
        <v>24</v>
      </c>
      <c r="F3505">
        <f>HYPERLINK("https://www.reddit.com/r/COVID19positive/comments/hvgegi/whats_the_first_thing_youre_going_to_eat_when_you/")</f>
        <v/>
      </c>
      <c r="G3505" t="inlineStr">
        <is>
          <t>2020-07-21 14:34:04</t>
        </is>
      </c>
      <c r="H3505" t="inlineStr">
        <is>
          <t>Presumed Positive - From Test</t>
        </is>
      </c>
    </row>
    <row r="3506">
      <c r="A3506" t="inlineStr">
        <is>
          <t>hvhdxa</t>
        </is>
      </c>
      <c r="B3506" t="inlineStr">
        <is>
          <t>Anyone gotten tested at CVS?</t>
        </is>
      </c>
      <c r="C3506" t="inlineStr">
        <is>
          <t>I got tested last week on Tuesday and they said it would take up to a week. Checked today and still no results. Did anyone else wait a super long time? A minor in my household got testing done at a pharmacy and had results back within 5 days.</t>
        </is>
      </c>
      <c r="D3506" t="n">
        <v>5</v>
      </c>
      <c r="E3506" t="n">
        <v>36</v>
      </c>
      <c r="F3506">
        <f>HYPERLINK("https://www.reddit.com/r/COVID19positive/comments/hvhdxa/anyone_gotten_tested_at_cvs/")</f>
        <v/>
      </c>
      <c r="G3506" t="inlineStr">
        <is>
          <t>2020-07-21 15:26:50</t>
        </is>
      </c>
      <c r="H3506" t="inlineStr">
        <is>
          <t>Presumed Positive - From Test</t>
        </is>
      </c>
    </row>
    <row r="3507">
      <c r="A3507" t="inlineStr">
        <is>
          <t>hvijw2</t>
        </is>
      </c>
      <c r="B3507" t="inlineStr">
        <is>
          <t>Confused about self administered Walgreens testing.</t>
        </is>
      </c>
      <c r="C3507" t="inlineStr">
        <is>
          <t>My mom and brother both got tested and my mom's results came back positive. My brother's results haven't come in yet. My entire family (besides me) had a terrible flu around February that they now think was covid19. My mom, after she got her positive result, is convinced it's from her past infection. 
Do the self administered nasal swabs detect past infection or only current? 
Thank you! Just very confused on all of this.</t>
        </is>
      </c>
      <c r="D3507" t="n">
        <v>3</v>
      </c>
      <c r="E3507" t="n">
        <v>10</v>
      </c>
      <c r="F3507">
        <f>HYPERLINK("https://www.reddit.com/r/COVID19positive/comments/hvijw2/confused_about_self_administered_walgreens_testing/")</f>
        <v/>
      </c>
      <c r="G3507" t="inlineStr">
        <is>
          <t>2020-07-21 16:34:01</t>
        </is>
      </c>
      <c r="H3507" t="inlineStr">
        <is>
          <t>Tested Positive - Family</t>
        </is>
      </c>
    </row>
    <row r="3508">
      <c r="A3508" t="inlineStr">
        <is>
          <t>hvimvb</t>
        </is>
      </c>
      <c r="B3508" t="inlineStr">
        <is>
          <t>Tested last tuesday 7/14</t>
        </is>
      </c>
      <c r="C3508" t="inlineStr">
        <is>
          <t>Haven’t been to work since then, still no results on my test. Does anybody have any experience with getting paid while being home? I’m worried I’m about to lose 2 weeks of pay</t>
        </is>
      </c>
      <c r="D3508" t="n">
        <v>5</v>
      </c>
      <c r="E3508" t="n">
        <v>18</v>
      </c>
      <c r="F3508">
        <f>HYPERLINK("https://www.reddit.com/r/COVID19positive/comments/hvimvb/tested_last_tuesday_714/")</f>
        <v/>
      </c>
      <c r="G3508" t="inlineStr">
        <is>
          <t>2020-07-21 16:38:25</t>
        </is>
      </c>
      <c r="H3508" t="inlineStr">
        <is>
          <t>Presumed Positive - From Doctor</t>
        </is>
      </c>
    </row>
    <row r="3509">
      <c r="A3509" t="inlineStr">
        <is>
          <t>hvjlpg</t>
        </is>
      </c>
      <c r="B3509" t="inlineStr">
        <is>
          <t>Extremely fatigued with brain fog, i’m in need of some advice/support</t>
        </is>
      </c>
      <c r="C3509" t="inlineStr">
        <is>
          <t xml:space="preserve">
I’ve had a very mild cough for a few days now, then yesterday I began feeling very fatigued, tired from just walking around my apartment. This morning I woke up multiple times feeling short of breath, and now I feel extremely fatigued/tired to the point where I feel like I can barely think straight and I’m not even able to play video games or read. 
I had an online appointment and they just told me to isolate and get tested (I got the earliest testing appointment which was for Friday). 
I guess I’m just wondering if this is likely just the start of my symptoms and it’s going to get worse and I’m also wondering if any of this is abnormal?
Sorry if this post reads incoherently or doesn’t make much sense, like I said my brain feels very very foggy right now and it’s hard to get out my thoughts.</t>
        </is>
      </c>
      <c r="D3509" t="n">
        <v>12</v>
      </c>
      <c r="E3509" t="n">
        <v>15</v>
      </c>
      <c r="F3509">
        <f>HYPERLINK("https://www.reddit.com/r/COVID19positive/comments/hvjlpg/extremely_fatigued_with_brain_fog_im_in_need_of/")</f>
        <v/>
      </c>
      <c r="G3509" t="inlineStr">
        <is>
          <t>2020-07-21 17:37:02</t>
        </is>
      </c>
      <c r="H3509" t="inlineStr">
        <is>
          <t>Presumed Positive - From Doctor</t>
        </is>
      </c>
    </row>
    <row r="3510">
      <c r="A3510" t="inlineStr">
        <is>
          <t>hvkpex</t>
        </is>
      </c>
      <c r="B3510" t="inlineStr">
        <is>
          <t>Was tested yesterday—just wanted those w/ health anxiety like me to know the test is painless!</t>
        </is>
      </c>
      <c r="C3510" t="inlineStr">
        <is>
          <t>I was hesitant because of videos I saw online of how testing was being done. But I went to a drive thru clinic and it wasn’t bad at all. It is a bit uncomfortable as they do go somewhat far but not the back of your throat. 
I’ll have my result in a couple of days. I am a phlebotomist and coworkers tested positive. 
Get tested. Conquer your fear and put your health and the safety of others in the forefront!</t>
        </is>
      </c>
      <c r="D3510" t="n">
        <v>1</v>
      </c>
      <c r="E3510" t="n">
        <v>4</v>
      </c>
      <c r="F3510">
        <f>HYPERLINK("https://www.reddit.com/r/COVID19positive/comments/hvkpex/was_tested_yesterdayjust_wanted_those_w_health/")</f>
        <v/>
      </c>
      <c r="G3510" t="inlineStr">
        <is>
          <t>2020-07-21 18:46:28</t>
        </is>
      </c>
      <c r="H3510" t="inlineStr">
        <is>
          <t>Tested Positive - Friends</t>
        </is>
      </c>
    </row>
    <row r="3511">
      <c r="A3511" t="inlineStr">
        <is>
          <t>hvljvl</t>
        </is>
      </c>
      <c r="B3511" t="inlineStr">
        <is>
          <t>I (20F) tested positive today. How I think I got it + my symptom progression.</t>
        </is>
      </c>
      <c r="C3511" t="inlineStr">
        <is>
          <t>20F with no pre-existing conditions. I vape nicotine (every day) and THC (almost every day) regularly if that has anything to do with COVID (?).
I thought I had been careful. Now, looking back, I can remember so many slip-ups I've had that led me here. I live with 3 other immediate family members, with my dad being in his early 60's and a chronic smoker's cough from smoking for four decades. For some reason, I was naive in thinking that I wouldn't ever test positive for COVID19, but I did. My anxiety is through the roof.
For months now, I've stopped going to work and I've only been out to hang out with my boyfriend (22M). Even though I was personally being careful, he wasn't. He'd always wear his mask over only his mouth and not cover up his nose, pick up his spoon off of the fucking street and reuse it, and I'm pretty sure he was still meeting up with a bunch of his other friends, etc. It was dumb of me to keep trusting him and meeting up with him when I saw those warning signs, but it's much too late for me to say anything now I guess.
I'm reading that although incubation period is 3-14 days, symptoms usually start showing up around days 4-5. On July 11th, my boyfriend and I went to the park to exercise and play some sports. Little did we know, his friends were throwing a huge party at the same park. We ran into two of his friends the moment we stepped out of our car, and one of them stuck his hand out to shake hands with me. I don't know why, but in that moment, it completely skipped my mind the risks that would come with shaking his hand. Out of fear of being rude, we shook hands. Then, a minute later, his other friend spots us walking and comes from the party and hugs both of us. My boyfriend and I then parted ways with them and did our own thing, exercising in the park. I come home a few hours later and see that my parents have invited like 15 family members over to our house to socialize. I stayed in my room and barely talked to any of my family members. Later that night, I have a severe headache, but I'm pretty sure that was from me exercising in the 90 degree California heat while being dehydrated. I took a Tylenol extra strength and was better the next day.
Here is a timeline of the progression of my symptoms.
July 14th: I started getting a mild headache and cough right before bed. I had trouble sleeping that night. I kept on flipping between being too hot and then too cold, and I had the A/C blasting as I slept. I chalked the mild headache up to vaping too much of my THC cart right before sleeping.
July 15th: I woke up at 6am with a 101.6 F fever and severe headache. Ran to the toilet to throw up twice. Took tylenol and then woke up again at 12pm with my fever down to about 100.
July 16th: I woke up at 10am with no fever and no symptoms other than a mild headache. My father and brother went to get tested this day and both came back negative. I had random bouts of nausea throughout the day, but mostly just slept.
July 17th: I woke up at 8am to go to a testing center and got tested with my mother. I remember most of my symptoms were already gone at this point, with only fatigue and slight nausea that comes and goes.
July 20th: The past few days, I've been feeling completely fine. I convinced myself that I didn't get infected if my case was so mild. However, later on in the night, I found out that I lost my sense of smell and taste. I had trouble sleeping at night due to a stuffy nose, so I had to breathe through my mouth as I tried to sleep.
July 21st: Today, the testing center called me back and told me my results came back positive and to quarantine from family and the outside world for 14 days after my positive test results. It's difficult to take deep breaths as my nose is still stuffy.
My boyfriend has not shown any symptoms at all despite us spending most of our time together, so now I'm wondering if he's just asymptomatic or if I could have possibly gotten infected from a family member when my parents invited them over. But if that were the case, other members of my immediate family would have tested positive as well-- which none of them have. Right now I'm super confused and anxious. Hoping for the best.
&amp;amp;#x200B;
Edit: Just now realizing that I forgot to mention that from the 18th to today, I've been having diarrhea. Not sure if it's COVID or from the glycerin in my nic sticks.</t>
        </is>
      </c>
      <c r="D3511" t="n">
        <v>2</v>
      </c>
      <c r="E3511" t="n">
        <v>12</v>
      </c>
      <c r="F3511">
        <f>HYPERLINK("https://www.reddit.com/r/COVID19positive/comments/hvljvl/i_20f_tested_positive_today_how_i_think_i_got_it/")</f>
        <v/>
      </c>
      <c r="G3511" t="inlineStr">
        <is>
          <t>2020-07-21 19:40:53</t>
        </is>
      </c>
      <c r="H3511" t="inlineStr">
        <is>
          <t>Tested Positive - Me</t>
        </is>
      </c>
    </row>
    <row r="3512">
      <c r="A3512" t="inlineStr">
        <is>
          <t>hvlrxw</t>
        </is>
      </c>
      <c r="B3512" t="inlineStr">
        <is>
          <t>How much "normal life" are you comfortable resuming?</t>
        </is>
      </c>
      <c r="C3512" t="inlineStr">
        <is>
          <t>Recovered folks, businesses are opening up where I am and we are allowed to return to getting hair cuts and going to the gym and other things that can be done with distance, but still no large gatherings or indoor dining.
Are you comfortable doing these things? Maybe we have antibodies that make us immune. Maybe our antibodies have worn off and our weak lungs and heart put us in the "high risk" category if we get it again. Science doesn't seem to know which of these is the real situation. Our house is split 50/50 on this one (one tested positive, one presumed positive at the same time) and I'm wondering where everyone else falls.</t>
        </is>
      </c>
      <c r="D3512" t="n">
        <v>5</v>
      </c>
      <c r="E3512" t="n">
        <v>14</v>
      </c>
      <c r="F3512">
        <f>HYPERLINK("https://www.reddit.com/r/COVID19positive/comments/hvlrxw/how_much_normal_life_are_you_comfortable_resuming/")</f>
        <v/>
      </c>
      <c r="G3512" t="inlineStr">
        <is>
          <t>2020-07-21 19:55:09</t>
        </is>
      </c>
      <c r="H3512" t="inlineStr">
        <is>
          <t>Presumed Positive - From Doctor</t>
        </is>
      </c>
    </row>
    <row r="3513">
      <c r="A3513" t="inlineStr">
        <is>
          <t>hvlz31</t>
        </is>
      </c>
      <c r="B3513" t="inlineStr">
        <is>
          <t>Confused with Timelines</t>
        </is>
      </c>
      <c r="C3513" t="inlineStr">
        <is>
          <t>I originally started to feel very slight symptoms the first week in July. My symptoms included very slight chest pressure. I was tested on Monday, July 12th and received a positive result on Wednesday, July 14th. My symptoms have not worsened and the majority of the time I can't even feel the pressure. I was told that if symptoms don't get worse, I should plan on isolating for 10 days, which I have been.
To confirm, I received another COVID test on Friday, July 17th, which came back negative. Due to the symptoms that I first felt July 3rd and the negative test, I decided to try and get an anti-body test to see if my body had built up antibodies.
That test came back negative today. I'm trying to figure out where I am in this process, but I guess the best way to handle this is to just finish isolating for those 10 days. Would love to hear thoughts from others in the same situation.</t>
        </is>
      </c>
      <c r="D3513" t="n">
        <v>1</v>
      </c>
      <c r="E3513" t="n">
        <v>6</v>
      </c>
      <c r="F3513">
        <f>HYPERLINK("https://www.reddit.com/r/COVID19positive/comments/hvlz31/confused_with_timelines/")</f>
        <v/>
      </c>
      <c r="G3513" t="inlineStr">
        <is>
          <t>2020-07-21 20:08:11</t>
        </is>
      </c>
      <c r="H3513" t="inlineStr">
        <is>
          <t>Tested Positive - Me</t>
        </is>
      </c>
    </row>
    <row r="3514">
      <c r="A3514" t="inlineStr">
        <is>
          <t>hvm4bn</t>
        </is>
      </c>
      <c r="B3514" t="inlineStr">
        <is>
          <t>Is it strange to feel embarrassed that I caught covid 19?</t>
        </is>
      </c>
      <c r="C3514" t="inlineStr">
        <is>
          <t>I almost feel like I caught a venereal disease and everyone is judging me. I'm almost clear to go out and I know that some people are going to treat me like I still have it :/</t>
        </is>
      </c>
      <c r="D3514" t="n">
        <v>81</v>
      </c>
      <c r="E3514" t="n">
        <v>69</v>
      </c>
      <c r="F3514">
        <f>HYPERLINK("https://www.reddit.com/r/COVID19positive/comments/hvm4bn/is_it_strange_to_feel_embarrassed_that_i_caught/")</f>
        <v/>
      </c>
      <c r="G3514" t="inlineStr">
        <is>
          <t>2020-07-21 20:17:50</t>
        </is>
      </c>
      <c r="H3514" t="inlineStr">
        <is>
          <t>Tested Positive - Me</t>
        </is>
      </c>
    </row>
    <row r="3515">
      <c r="A3515" t="inlineStr">
        <is>
          <t>hvm5p4</t>
        </is>
      </c>
      <c r="B3515" t="inlineStr">
        <is>
          <t>Employer does not remove attendance points despite having doctors note</t>
        </is>
      </c>
      <c r="C3515" t="inlineStr">
        <is>
          <t>On July 9th i went to get tested bc i had symptoms and i had a virtual doctor video visit and they recommended i get tested. So i did and they gave me a doctors note for a week. When i got tested at the urgent care they also provided a doctors note. I informed HR right away when i got tested and sent them the doctors notes and they also told me to not come back until i have my results.I also was informed it would take possibly seven days or more for my results and i let HR know also. I’m still waiting on results. So we have an attendance point system and i checked online and i see the days i’ve been off they all say unexcused absence despite having the doctors note. I emailed hr this past thursday asking about it and no response and today they called and first thing she said was “Someone before you got tested and got their results fast” she also asked if i had called Quest diagnostics and i said i check literally everyday on their online portal and no update. She advised for me to call them bc they don’t always “update “online or something. I asked about my points and that i have the doctors note and she said”yeah it’s affecting your attendance “ and once we get the results “we will go from there” i have documented everything. Is this normal? I live in texas and work at a call center also. Can they not excuse a doctors note ? i feel so upset especially after them making it seem like i’m lying or as if i’m not checking enough</t>
        </is>
      </c>
      <c r="D3515" t="n">
        <v>5</v>
      </c>
      <c r="E3515" t="n">
        <v>29</v>
      </c>
      <c r="F3515">
        <f>HYPERLINK("https://www.reddit.com/r/COVID19positive/comments/hvm5p4/employer_does_not_remove_attendance_points/")</f>
        <v/>
      </c>
      <c r="G3515" t="inlineStr">
        <is>
          <t>2020-07-21 20:20:30</t>
        </is>
      </c>
      <c r="H3515" t="inlineStr">
        <is>
          <t>Presumed Positive - From Doctor</t>
        </is>
      </c>
    </row>
    <row r="3516">
      <c r="A3516" t="inlineStr">
        <is>
          <t>hvmek7</t>
        </is>
      </c>
      <c r="B3516" t="inlineStr">
        <is>
          <t>25F Flight Attendant, called my doctor and waiting to get my test having a panic attack</t>
        </is>
      </c>
      <c r="C3516" t="inlineStr">
        <is>
          <t>Hey guys, hoping you can shed some light: I’ve been having to work during this (so flying all over the US. This week alone I was in Seattle, New York, Orlando, and Miami to name a few but all hot spots) and I’d say two to three days ago I started getting a scratchy throat. Then yesterday, I started getting a dry cough which has only gotten more consistent throughout today. The muscles around my throat feel a little sore/tight and I’ve been having a headache for a few days. 
I called my doctor who said I’m at high risk for catching it since I have almost certainly been exposed to it. He said to quarantine for 14 days/monitor. I was hoping to get tested at an urgent care to confirm or else I get in trouble for calling out from my work. 
Anyways, guys, I’m freaking myself out. I know I don’t have any preexisting conditions or live with any high risk people but I’m so scared. I’m scared I could die or I could give it to someone (like my boyfriend at our house) and kill them or I could’ve already passed it on to someone. I’m just feeling guilty and scared and I’m just looking for some insight on what to expect/when to be worried.</t>
        </is>
      </c>
      <c r="D3516" t="n">
        <v>15</v>
      </c>
      <c r="E3516" t="n">
        <v>34</v>
      </c>
      <c r="F3516">
        <f>HYPERLINK("https://www.reddit.com/r/COVID19positive/comments/hvmek7/25f_flight_attendant_called_my_doctor_and_waiting/")</f>
        <v/>
      </c>
      <c r="G3516" t="inlineStr">
        <is>
          <t>2020-07-21 20:36:46</t>
        </is>
      </c>
      <c r="H3516" t="inlineStr">
        <is>
          <t>Presumed Positive - From Doctor</t>
        </is>
      </c>
    </row>
    <row r="3517">
      <c r="A3517" t="inlineStr">
        <is>
          <t>hvn699</t>
        </is>
      </c>
      <c r="B3517" t="inlineStr">
        <is>
          <t>Covid19 positive zookeeper</t>
        </is>
      </c>
      <c r="C3517" t="inlineStr">
        <is>
          <t>Hello, first time poster but long time listener on this /r
I'm a zookeeper who was coronavirus positive in late  April. I'm back at work since early June and have had consistent heart pains and though not as bad, minor breathing issues. I use a Ventolin inhaler to help open my lungs but the doctors have said that has negative effects on my heart. I'm generally active 10 hours a day in work and I'm just hoping I can get some advice from long term recovery people. Are you on any medications for your heart? and/or any inhalers that are easier on the heart? I find my muscles getting exhausted very quickly and the other day went numb in my lips &amp;amp; fingers but I think I was just pressing myself too hard.. Afraid to go back to the GP as it always ends up back in hospital which hasn't helped at all as of now. 
Thanks in advance!</t>
        </is>
      </c>
      <c r="D3517" t="n">
        <v>10</v>
      </c>
      <c r="E3517" t="n">
        <v>4</v>
      </c>
      <c r="F3517">
        <f>HYPERLINK("https://www.reddit.com/r/COVID19positive/comments/hvn699/covid19_positive_zookeeper/")</f>
        <v/>
      </c>
      <c r="G3517" t="inlineStr">
        <is>
          <t>2020-07-21 21:30:35</t>
        </is>
      </c>
      <c r="H3517" t="inlineStr">
        <is>
          <t>Tested Positive - Me</t>
        </is>
      </c>
    </row>
    <row r="3518">
      <c r="A3518" t="inlineStr">
        <is>
          <t>hvnsos</t>
        </is>
      </c>
      <c r="B3518" t="inlineStr">
        <is>
          <t>26M - Recovered from COVID, wrote down my timeline</t>
        </is>
      </c>
      <c r="C3518" t="inlineStr">
        <is>
          <t>I just recovered from COVID, confirmed infection though a positive antibody test. Since the first day  I strongly suspected it was COVID because of the symptoms where familiar with 2009 H1N1 (Guess I already survived 2 pandemics). Since I have spent a lot of time researching about the disease,  I was curious about what I was going to experience, so I logged everything from day one. I hope this information can be of help to others, and while each body is different, maybe can serve as a guideline.
# Background
Im a 26 Male, aside being Celiac (My inmune system decides to attack my own cells if I eat anything containing gluten)  and having no gallbladder (most likely took unnecessarily thanks to medical malpractice)  no other medical conditions. My sense of smell is terrible since I remember, can only smell very strong odors.
I exercise regularly and eat a Paleo diet, basically tons of fruits, vegs and meat, no sugar, gluten or anything processed.
# Timeline
**Day 0 - 1**
I feel weird, strange pain in feet remembers me H1N1, I sadly strongly suspect its covid.
* Stomach ache
* Feet pain (Very weird, feels like muscular)
* Sore throat
**Day 2**
Yeah, this is likely not my imagination.
* Lost appetite
* Nausea
* General body aches
* Things smell weird
* Sore throat
**Day 3**
Getting worse, 100% sure its covid.
* Fever during sleep
* Nausea, no appetite
* Body aches, joint pain
* Fatigue
* Headache
* Sore and inflamed throat
**Day 4**
Feel a bit better, going to get a PCR Test
* Fatigue
* Sore throat
* Body aches
**Day 5**
Feeling better, maybe not COVID or very mild case?
* Fatigue,
* Body aches
**Day 6**
Test is back, seems im negative for COVID. I have my doubts. Felt better during day, but got way worse at night
* Fatigue
* Diarrhea
* Fever
* Body aches, joint pain
**Day 7-10**
Feel terrible, I had never had diarrhea that lasted so long and was so intense, even a Salmonella infection was mild compared to this. I can't hold anything, trying to keep myself as hydrated as possible. Monitoring oxygenation. It is hard to sleep at night, either diarrhea keeps me up or my brain goes into a ruminating/anxious state. I feel weird, like very sad/anxious. Pretty sure this is COVID, it can't be anything else.
* Fatigue
* Headache
* Body aches, joint pain
* Worst diarrhea of my life
* Depression / Anxiety
**Day 11**
Finally the diarrhea stopped. I feel very weak, but better.
* Fatigue
* Headache
**Day 12-15**
Finally im regaining my appetite and feel better each day.
* Fatigue
* Mild headache
**Day 16**
Went for antibody test, positive for COVID IgG. I feel mostly ok, lost about 4 kg in total, mostly muscle. 
# What I did during the infection
* Sleep as much as possible, in my case was hard because the diarrhea, but after that got sorted out I gave my body as much rest as possible.
* Took Vitamin C, Zinc and Vitamin D (Sunshine for 20 min)
* Monitored my oxygenation and heart rate. During infection heart rate was raised about 20-30 bpm from my baseline (60)
# Testing
I learned the following about testing:
* False negatives exist, I don't want to make anyone anxious, just aware that testing is not perfect and even if you have COVID, you can obtain a negative result.
* PCR test is the most common one, but seems very unreliable. Google it up, but it seems it  has at least a 20% chance of resulting in a false negative if took during the optimal timeframe. It gets worse if you take it right when the symptoms start or if you take too long, having up to a \~60% chance of returning a false negative. Not very reliable but it can detect the virus before it shows up in an antibody test.
* Antibodies: There is IgG which can tell you if you had the infection and IgM which can tell you if you have an active infection. It seems these tests are way more reliable, but required to be taken days after you contracted the infection.
# Lingering issues
Pretty much everything is back to normal, normal mood is back, sleep is great, but some small issues persist:
* **Skin rashes:** I have noticed I developed a couple of rashes in my feet and chest which are slowly disappearing. I also have multiple dermatitis flares in my scalp and face, skin is overall very dry. Weird.
* **Background headaches, fatigue:** Annoying at the beginning, but fading as time goes by, I was able to do light exercise (calisthenics) on Monday after recovering on Friday, did not lose my breath. I started supplementing with Omega 3 &amp;amp; CBD and I have felt it has  really helped me.</t>
        </is>
      </c>
      <c r="D3518" t="n">
        <v>299</v>
      </c>
      <c r="E3518" t="n">
        <v>138</v>
      </c>
      <c r="F3518">
        <f>HYPERLINK("https://www.reddit.com/r/COVID19positive/comments/hvnsos/26m_recovered_from_covid_wrote_down_my_timeline/")</f>
        <v/>
      </c>
      <c r="G3518" t="inlineStr">
        <is>
          <t>2020-07-21 22:17:26</t>
        </is>
      </c>
      <c r="H3518" t="inlineStr">
        <is>
          <t>Tested Positive</t>
        </is>
      </c>
    </row>
    <row r="3519">
      <c r="A3519" t="inlineStr">
        <is>
          <t>hvoczb</t>
        </is>
      </c>
      <c r="B3519" t="inlineStr">
        <is>
          <t>tested POSITIVE AGAIN</t>
        </is>
      </c>
      <c r="C3519" t="inlineStr">
        <is>
          <t>So I began having symptoms June 25, got tested June 30th, was positive. Tested again July 12, positive again. So 17 days after symptoms began I am still positive. Family won't let me out of the room until I am negative. Feels like I am never getting out. Also, I have to go back to work (at a hospital) which I am very scared about. I am going to retest again. I am so disappointed. I really thought maybe I had a shot at being negative this time. Please share how many days it took you from day of symptom onset to test negative :/</t>
        </is>
      </c>
      <c r="D3519" t="n">
        <v>8</v>
      </c>
      <c r="E3519" t="n">
        <v>35</v>
      </c>
      <c r="F3519">
        <f>HYPERLINK("https://www.reddit.com/r/COVID19positive/comments/hvoczb/tested_positive_again/")</f>
        <v/>
      </c>
      <c r="G3519" t="inlineStr">
        <is>
          <t>2020-07-21 23:03:44</t>
        </is>
      </c>
      <c r="H3519" t="inlineStr">
        <is>
          <t>Tested Positive</t>
        </is>
      </c>
    </row>
    <row r="3520">
      <c r="A3520" t="inlineStr">
        <is>
          <t>hvokhl</t>
        </is>
      </c>
      <c r="B3520" t="inlineStr">
        <is>
          <t>anyone else notice their body odor changed (for the worse) after becoming covid positive? (4 months since positive result)</t>
        </is>
      </c>
      <c r="C3520" t="inlineStr">
        <is>
          <t>I have noticed my body odor is significantly worse since I contracted covid in March, and it hasn't gotten any better. My SO, who had tested negative, has also noticed, so I know it's not just a side effect from losing my sense of smell/taste.
Anyone else experience this?
I'm in my 30s and before covid I never had any body odor, like an odd amount of zero body odor, I could run 6 miles and not smell at all, my SO would actually comment that it was weird how I still smelled good. Well, no more.
Edit: I'm a male and the body odor I'm referring to is in the groin area</t>
        </is>
      </c>
      <c r="D3520" t="n">
        <v>2</v>
      </c>
      <c r="E3520" t="n">
        <v>26</v>
      </c>
      <c r="F3520">
        <f>HYPERLINK("https://www.reddit.com/r/COVID19positive/comments/hvokhl/anyone_else_notice_their_body_odor_changed_for/")</f>
        <v/>
      </c>
      <c r="G3520" t="inlineStr">
        <is>
          <t>2020-07-21 23:21:18</t>
        </is>
      </c>
      <c r="H3520" t="inlineStr">
        <is>
          <t>Tested Positive - Me</t>
        </is>
      </c>
    </row>
    <row r="3521">
      <c r="A3521" t="inlineStr">
        <is>
          <t>hvp1w5</t>
        </is>
      </c>
      <c r="B3521" t="inlineStr">
        <is>
          <t>SOB Relapse—how long did they last for you?</t>
        </is>
      </c>
      <c r="C3521" t="inlineStr">
        <is>
          <t>Just over 2 months in from my initial symptoms and, after doing a bit of exercise and going for a hike, I got hit with SOB somewhat roughly. Feels like my diaphragm is sore and like air is “too thick” to breathe in. I don’t feel oxygen deprived, just like I have to constantly remember to breathe and like I’ve lost a bit of lung capacity.
I’ve heard of many people getting relapses, but how long did an SOB relapse last for you? I just want to be able to go back to my normal life :(</t>
        </is>
      </c>
      <c r="D3521" t="n">
        <v>2</v>
      </c>
      <c r="E3521" t="n">
        <v>7</v>
      </c>
      <c r="F3521">
        <f>HYPERLINK("https://www.reddit.com/r/COVID19positive/comments/hvp1w5/sob_relapsehow_long_did_they_last_for_you/")</f>
        <v/>
      </c>
      <c r="G3521" t="inlineStr">
        <is>
          <t>2020-07-22 00:03:25</t>
        </is>
      </c>
      <c r="H3521" t="inlineStr">
        <is>
          <t>Presumed Positive - From Doctor</t>
        </is>
      </c>
    </row>
    <row r="3522">
      <c r="A3522" t="inlineStr">
        <is>
          <t>hvqi3a</t>
        </is>
      </c>
      <c r="B3522" t="inlineStr">
        <is>
          <t>Infected early Feb. Recovered mid July. [M49]</t>
        </is>
      </c>
      <c r="C3522" t="inlineStr">
        <is>
          <t>Infected around February 7-10. Untested as I did not have fever, full-on raspy cough etc required for testing around that very early phase. Last clinic visit had staff agree with my assumptions.
Notes of just over 5 months of recovery:
* Depleted energy (Days 1-12 @20% of my normal, 13-28 @50%, 29-120 50-80% \[frustratingly varied wildly\], 121-160 @80-100% \[particularly the last 7 days I feel recovered at last\])
* Sense of overall heaviness \[attitude towards the world, my body, my breath\] (3-18)
* Depleted ability to focus (3-120)
* Runny nose (4-22)
* Slight cough (4-20)
* Debilitating headaches (3-12)
* Ringing in ears (6-10)
* Diarrheoa (4-9)
* Loss of taste &amp;amp; smell (5-20)
* Loss of appetite (3-18)
* Muscle aches (3-40)
* Joint pain (3-25)
* Kidney ache (6-17)
* Disrupted sleep patterns (2-42)
* Raised bumps across back (25-50)
* Bleeding gums (15-80)
* Facial spots breakout (21-60)
* Cracked lips (75-90)
* Staph infection \[underarms (20-100), ear (10-30), angular cheilitis (80-110)\]
* Sinus infection (60-95)
* Significant bump/line to both thumbnails (now around 2/3 growth along nail length)
Recently I switched over to a predominately keto diet and my longer term depleted energy and angular cheilitis have both disappeared. Perhaps the post-viral long tail had finally run its natural course or the keto diet helped.. can't be certain. 
Feels great to have myself back at last! Stay strong long-haulers.</t>
        </is>
      </c>
      <c r="D3522" t="n">
        <v>15</v>
      </c>
      <c r="E3522" t="n">
        <v>29</v>
      </c>
      <c r="F3522">
        <f>HYPERLINK("https://www.reddit.com/r/COVID19positive/comments/hvqi3a/infected_early_feb_recovered_mid_july_m49/")</f>
        <v/>
      </c>
      <c r="G3522" t="inlineStr">
        <is>
          <t>2020-07-22 02:09:13</t>
        </is>
      </c>
      <c r="H3522" t="inlineStr">
        <is>
          <t>Presumed Positive - From Doctor</t>
        </is>
      </c>
    </row>
    <row r="3523">
      <c r="A3523" t="inlineStr">
        <is>
          <t>hvr1ph</t>
        </is>
      </c>
      <c r="B3523" t="inlineStr">
        <is>
          <t>Anyone tested positive months later?</t>
        </is>
      </c>
      <c r="C3523" t="inlineStr">
        <is>
          <t>So I was tested positive back in March. I had very mild symptoms and I was released from quarantine after testing negative twice. I don’t have any symptoms at the moment. Now I have a flight in 3 weeks and in my country you can’t even approach the airport without a negative result. I am worried since I have heard people testing positive for months after. Anyone had an experience of testing positive after recovery?</t>
        </is>
      </c>
      <c r="D3523" t="n">
        <v>8</v>
      </c>
      <c r="E3523" t="n">
        <v>6</v>
      </c>
      <c r="F3523">
        <f>HYPERLINK("https://www.reddit.com/r/COVID19positive/comments/hvr1ph/anyone_tested_positive_months_later/")</f>
        <v/>
      </c>
      <c r="G3523" t="inlineStr">
        <is>
          <t>2020-07-22 02:58:29</t>
        </is>
      </c>
      <c r="H3523" t="inlineStr">
        <is>
          <t>Tested Positive</t>
        </is>
      </c>
    </row>
    <row r="3524">
      <c r="A3524" t="inlineStr">
        <is>
          <t>hvssoh</t>
        </is>
      </c>
      <c r="B3524" t="inlineStr">
        <is>
          <t>What to take to alleviate this?</t>
        </is>
      </c>
      <c r="C3524" t="inlineStr">
        <is>
          <t>Hello. 22 M here. Been feeling symptoms for 48 days now. Felt the symptoms around June 8 - 10 I think. Tested positive June 15. Weeks later, Got a negative test result on July 8.
Felt a lot of symptoms all throughout the days. SOB, chest tightness, palpitations.
Thought I was feeling better around day 30 or so. But on day 46, starting to feel mild fever (that keeps coming and going). Some headaches, especially at the back of my head. I think the fever is gone now. The weird thing is there's this sensation in my stomach that I can't quite describe. Maybe bloating? It feels ticklish and annoying. It's kinda keeping me from having a good night's sleep.
Took some vitamin C first few weeks, but stopped after 2 days, because felt like the symptoms are worsening 1 day after I take some.
Just started taking Vitamin C (again), and some Zinc too (since people say it stops covid from replicating). Always tried to get some Vitamin D through sunlight exposure
Please. I need to know what you guys are taking that helped you and might help me too.</t>
        </is>
      </c>
      <c r="D3524" t="n">
        <v>1</v>
      </c>
      <c r="E3524" t="n">
        <v>16</v>
      </c>
      <c r="F3524">
        <f>HYPERLINK("https://www.reddit.com/r/COVID19positive/comments/hvssoh/what_to_take_to_alleviate_this/")</f>
        <v/>
      </c>
      <c r="G3524" t="inlineStr">
        <is>
          <t>2020-07-22 05:21:55</t>
        </is>
      </c>
      <c r="H3524" t="inlineStr">
        <is>
          <t>Tested Positive - Me</t>
        </is>
      </c>
    </row>
    <row r="3525">
      <c r="A3525" t="inlineStr">
        <is>
          <t>hvtg3p</t>
        </is>
      </c>
      <c r="B3525" t="inlineStr">
        <is>
          <t>How long does the cough last?</t>
        </is>
      </c>
      <c r="C3525" t="inlineStr">
        <is>
          <t>I've had covid for about 3 weeks now. Most of my symptoms have gone away other than this damn cough.  I'm mostly fine but then occasionally going into these coughing fits. Kind of hurts to breathe sometimes</t>
        </is>
      </c>
      <c r="D3525" t="n">
        <v>1</v>
      </c>
      <c r="E3525" t="n">
        <v>11</v>
      </c>
      <c r="F3525">
        <f>HYPERLINK("https://www.reddit.com/r/COVID19positive/comments/hvtg3p/how_long_does_the_cough_last/")</f>
        <v/>
      </c>
      <c r="G3525" t="inlineStr">
        <is>
          <t>2020-07-22 06:06:36</t>
        </is>
      </c>
      <c r="H3525" t="inlineStr">
        <is>
          <t>Tested Positive</t>
        </is>
      </c>
    </row>
    <row r="3526">
      <c r="A3526" t="inlineStr">
        <is>
          <t>hvtihk</t>
        </is>
      </c>
      <c r="B3526" t="inlineStr">
        <is>
          <t>How long did you guys have loss of smell/taste?</t>
        </is>
      </c>
      <c r="C3526" t="inlineStr">
        <is>
          <t>So I took the test for Covid-19 last Friday because I felt like I was running a fever at work (and I work at a Covid-19 testing center, right place, right time lmao). 
My fever lasted for only one day (that Friday) and then on Saturday I developped a loss of smell/taste that got progressively worse. By Saturday night I was unable to taste or smell anything.
I'm self-isolating in my room (I live with my parents and sister and I really don't want to pass it on to them) and I'm going a bit stir crazy. Not being able taste anything has kind of been a major bummer and I was just wondering how long did you guys experience that symptom?</t>
        </is>
      </c>
      <c r="D3526" t="n">
        <v>5</v>
      </c>
      <c r="E3526" t="n">
        <v>51</v>
      </c>
      <c r="F3526">
        <f>HYPERLINK("https://www.reddit.com/r/COVID19positive/comments/hvtihk/how_long_did_you_guys_have_loss_of_smelltaste/")</f>
        <v/>
      </c>
      <c r="G3526" t="inlineStr">
        <is>
          <t>2020-07-22 06:10:55</t>
        </is>
      </c>
      <c r="H3526" t="inlineStr">
        <is>
          <t>Tested Positive - Me</t>
        </is>
      </c>
    </row>
    <row r="3527">
      <c r="A3527" t="inlineStr">
        <is>
          <t>hvtm7n</t>
        </is>
      </c>
      <c r="B3527" t="inlineStr">
        <is>
          <t>30y/o Female RRMS Tested Positive 7/8</t>
        </is>
      </c>
      <c r="C3527" t="inlineStr">
        <is>
          <t>COVID-19 Time Line. 30 y/o female with RRMS. \[relapsing-remitting multiple sclerosis\] 
Possibly infected 6/30.
7/3 - Day started normally, around mid day began feeling nauseous. Mild abdominal cramping. Light period style bleeding, enough to make me think my cycle started 10 days early. Only lasted for the morning. 
7/4 - Felt fine in the morning. During the day developed some muscle aches. I am accustomed to being in pain, I am pretty physically active and attributed it to that until later on in the evening when the aches became more pronounced and I just \*felt\* that I had a fever. Did not have a thermometer to check. Casual fevers are unfortunately something that I am familiar with. 
7/5 - First day of my work week. We are doing temp checks at work so I figure I'll find out soon enough if I have a fever. Felt kind of weak/faint when getting ready to leave, again something I am used to so I did not think anything of it. I attributed it to the heat.  No fever when I got to work. Felt generally fine throughout the day. I have some congestion that I think is allergies. The mask appears to help with that during the day.  I burnt a bag of popcorn at work and could definitely smell it. 
I had pizza for dinner and I remember being frustrated that it tasted bland.
7/6 - Felt fine. Get to work, no fever, work the day away. Felt faint during the day, again I think it's the heat. By the evening my lack of taste/smell is very noticeable. My boyfriend got us tacos for dinner and I couldn't discern any flavor. Otherwise I do not feel any worse/better than before.  
7/7 - Ok, this is weird.  I have sinus congestion but can breathe fine from my nose. I can't taste anything. This is more frustrating than the lack of smell. I called in to work to let them know that I can't taste or smell, I am told that the symptom is only relevant if in conjunction with a fever \[BIG WRONG!\] of course, we check the temp when I arrive and go from there. No fever \[such shock!\] Work the day away. I can't smell shit.  I am really down about the lack fo smell/taste at this point. I'm convinced it's allergies cause no one around me is positive and we had been getting tested through work starting the week before. I also do not socialize outside of a small group \[3 ppl\] that I had been cautiously seeing throughout quarantine, and taking all precautions when going to the store. 
7/8 - Still can't taste or smell but think I'm fine causeeeeee well! Yesterday I had let my boss convince me my symptoms weren't relevant to Ms Rona \[wrong, I was definitely just scared of the possibility.\] I had sent out a test that morning before going in. When I get to work, I see a different boss - I let him know that I cannot taste or smell like I had done that day prior, he says that I should not be there with any symptoms.  I go home. 
7/9 - Stay home from work this day. Still can't taste or smell. Feel fatigued. Headaches. Still cannot fathom it's COVID-19. 
7/10 - Test results hit that morning, I'm positive.  Contact tracing begins quickly \[internally\] at work. I am one of what I believe to be 7 that tested positive that week. My work had only reopened the week before, after four months of quarantine. 
For another 4-5 days I felt a range of the same symptoms mentioned above. The nausea, in hindsight, was my first indicator. That lasted the longest outside of my inability to taste/smell. I also began to feel a slight pain in my chest whenever I took a deep breath, like someone was poking me with a knitting needle right in the sternum.
My taste and smell has begun to repair itself, right now performing at around 30%. Salty/sweet/bitter are my main known flavors. Can especially taste the sweetness of fruit, in comparison to ice cream or cookie. 
Cannot casually smell, which is actually pretty convenient NGL.  I know it impacts my inability to taste but I'm OK with my current flavor spectrum lol.
Many folks have mentioned their taste/smell getting stronger during the day, and then starting over in the morning.. Yeah, it's kinda like that for me too. 
My state finally called me yesterday for contact tracing. Over two weeks post my presumed infection and two weeks post my first positive. It was a 45 min call that I do not think we go anywhere. Frustrating. 
Also - fun fact. My boyfriend who I live with and had been sloppy kissing/sharing joints with during my \[probably\] most contagious days, has continued to test negative even when I retested positive! Of course when we found out that I was positive, we took some distancing measures in the home - but I can't imagine we had done enough from the get-go to prevent his infection. He thinks he's either super-human, or has the anti-bodies. 
My state presumed me negative on 7/15 - but I won't be letting myself off the hook until I test negative. There is still so much unknown about this thing!
Edited for spelling/grammar.</t>
        </is>
      </c>
      <c r="D3527" t="n">
        <v>24</v>
      </c>
      <c r="E3527" t="n">
        <v>20</v>
      </c>
      <c r="F3527">
        <f>HYPERLINK("https://www.reddit.com/r/COVID19positive/comments/hvtm7n/30yo_female_rrms_tested_positive_78/")</f>
        <v/>
      </c>
      <c r="G3527" t="inlineStr">
        <is>
          <t>2020-07-22 06:17:57</t>
        </is>
      </c>
      <c r="H3527" t="inlineStr">
        <is>
          <t>Tested Positive - Me</t>
        </is>
      </c>
    </row>
    <row r="3528">
      <c r="A3528" t="inlineStr">
        <is>
          <t>hvvb1s</t>
        </is>
      </c>
      <c r="B3528" t="inlineStr">
        <is>
          <t>Increase in migraines?</t>
        </is>
      </c>
      <c r="C3528" t="inlineStr">
        <is>
          <t>Hey all, I'm about 3 weeks in since testing positive. I have a history of migraines and they were at least 0-1 per month. Now I've had 1-2 per week. Is anyone else experiencing this? It's eating up my time off from work very quickly. I'm feeling hopeless with them being so frequent</t>
        </is>
      </c>
      <c r="D3528" t="n">
        <v>5</v>
      </c>
      <c r="E3528" t="n">
        <v>9</v>
      </c>
      <c r="F3528">
        <f>HYPERLINK("https://www.reddit.com/r/COVID19positive/comments/hvvb1s/increase_in_migraines/")</f>
        <v/>
      </c>
      <c r="G3528" t="inlineStr">
        <is>
          <t>2020-07-22 08:01:23</t>
        </is>
      </c>
      <c r="H3528" t="inlineStr">
        <is>
          <t>Tested Positive</t>
        </is>
      </c>
    </row>
    <row r="3529">
      <c r="A3529" t="inlineStr">
        <is>
          <t>hvvsh0</t>
        </is>
      </c>
      <c r="B3529" t="inlineStr">
        <is>
          <t>Shortness of breath while sitting</t>
        </is>
      </c>
      <c r="C3529" t="inlineStr">
        <is>
          <t>Anyone else have this If I sit up for more then 45 minutes I start getting short of breath followed by slight chest pains and have to lay down to feel better. I'm still awaiting my test results but my doc said I might have covid ( low grade fever, exhaustion, fatigue, body achs racing heart rate while walking across my house)</t>
        </is>
      </c>
      <c r="D3529" t="n">
        <v>6</v>
      </c>
      <c r="E3529" t="n">
        <v>32</v>
      </c>
      <c r="F3529">
        <f>HYPERLINK("https://www.reddit.com/r/COVID19positive/comments/hvvsh0/shortness_of_breath_while_sitting/")</f>
        <v/>
      </c>
      <c r="G3529" t="inlineStr">
        <is>
          <t>2020-07-22 08:28:38</t>
        </is>
      </c>
      <c r="H3529" t="inlineStr">
        <is>
          <t>Presumed Positive - From Doctor</t>
        </is>
      </c>
    </row>
    <row r="3530">
      <c r="A3530" t="inlineStr">
        <is>
          <t>hvvtoz</t>
        </is>
      </c>
      <c r="B3530" t="inlineStr">
        <is>
          <t>Isolate self from pets?</t>
        </is>
      </c>
      <c r="C3530" t="inlineStr">
        <is>
          <t>Tested positive yesterday, my quarantine instructions stated to isolate myself from the animals in my house. This is pretty much impossible for me. Did anyone else get instructed to do the same? Can my dogs get covid and actually get sick? Or is it preventative to not spread to other humans via my doggos?
Thanks!</t>
        </is>
      </c>
      <c r="D3530" t="n">
        <v>2</v>
      </c>
      <c r="E3530" t="n">
        <v>6</v>
      </c>
      <c r="F3530">
        <f>HYPERLINK("https://www.reddit.com/r/COVID19positive/comments/hvvtoz/isolate_self_from_pets/")</f>
        <v/>
      </c>
      <c r="G3530" t="inlineStr">
        <is>
          <t>2020-07-22 08:30:32</t>
        </is>
      </c>
      <c r="H3530" t="inlineStr">
        <is>
          <t>Tested Positive - Me</t>
        </is>
      </c>
    </row>
    <row r="3531">
      <c r="A3531" t="inlineStr">
        <is>
          <t>hvxl4p</t>
        </is>
      </c>
      <c r="B3531" t="inlineStr">
        <is>
          <t>Personal Rant, I won’t give up coffee. Is it a deal breaker?</t>
        </is>
      </c>
      <c r="C3531" t="inlineStr">
        <is>
          <t>It’s not that I’m a coffee addict, I just love how it tastes &amp;amp; im one of those people who get endorphins from the morning cup.
I’m assuming a real coffee addict gets withdrawal with chills and all if they don’t drink for a day, which I never got.
But yea I cut coffee the first 2 weeks of infection to play it safe and then started on and off and I’m a long hauler since mid April. But it’s July, my birthday month &amp;amp; im sorry but I miss coffee so much. Haven’t noticed a difference with symptoms, they’ve really been triggering whenever I had to visit my girlfriends family or when I did any kind of exercise.
I assumed coffee is harmless at this point since I read it’s anti inflammatory and helps the immune system. But I also bought a ton of Indian tea for the evenings to help relax me before sleep. Anything to worry though? Am I doing more harm than good?
I feel good and relaxed right now is all with my coffee lol. Anyone else in the same boat or do I look like a crazy nut? Lol</t>
        </is>
      </c>
      <c r="D3531" t="n">
        <v>2</v>
      </c>
      <c r="E3531" t="n">
        <v>17</v>
      </c>
      <c r="F3531">
        <f>HYPERLINK("https://www.reddit.com/r/COVID19positive/comments/hvxl4p/personal_rant_i_wont_give_up_coffee_is_it_a_deal/")</f>
        <v/>
      </c>
      <c r="G3531" t="inlineStr">
        <is>
          <t>2020-07-22 10:05:25</t>
        </is>
      </c>
      <c r="H3531" t="inlineStr">
        <is>
          <t>Presumed Positive - From Doctor</t>
        </is>
      </c>
    </row>
    <row r="3532">
      <c r="A3532" t="inlineStr">
        <is>
          <t>hvxtin</t>
        </is>
      </c>
      <c r="B3532" t="inlineStr">
        <is>
          <t>Healthy 31 Male COVID19 Positive</t>
        </is>
      </c>
      <c r="C3532" t="inlineStr">
        <is>
          <t>Went to Cancun July 4th to July 11th. July 12th day after returning home was down and out on the couch for the day. First brushed it off as just being in the sun and not getting much sleep for a week. As the days progressed dry cough, sore throat, extreme fatigue to the point where I could barely stay awake and complete loss of appetite. Yet to have run a fever. Got tested on July 16th with throat swab and results just came back positive. Today is day 10 since starting to feel bad. Stay safe everyone!</t>
        </is>
      </c>
      <c r="D3532" t="n">
        <v>6</v>
      </c>
      <c r="E3532" t="n">
        <v>25</v>
      </c>
      <c r="F3532">
        <f>HYPERLINK("https://www.reddit.com/r/COVID19positive/comments/hvxtin/healthy_31_male_covid19_positive/")</f>
        <v/>
      </c>
      <c r="G3532" t="inlineStr">
        <is>
          <t>2020-07-22 10:17:32</t>
        </is>
      </c>
      <c r="H3532" t="inlineStr">
        <is>
          <t>Tested Positive - Me</t>
        </is>
      </c>
    </row>
    <row r="3533">
      <c r="A3533" t="inlineStr">
        <is>
          <t>hvxuy6</t>
        </is>
      </c>
      <c r="B3533" t="inlineStr">
        <is>
          <t>Got sick since FebFebruary, still sick</t>
        </is>
      </c>
      <c r="C3533" t="inlineStr">
        <is>
          <t>Got Covid back in February 26th, struggled with it till now. It has gone away for intervals and has come back. Now I’m starting to have  the entire flare again of the chest pain and fevers. 
When I go out into the Sun I get fatigue and bad symptoms.
Eat any sugar or salted foods, bad symptoms 
Rash appears on my back and arms after in the sunlight and hot showers 
Also I am constantly dizzy and can only eat fish and veggies. 
How the hell do I still have Covid 19 since February and people get it and get better after 2 weeks wtf??</t>
        </is>
      </c>
      <c r="D3533" t="n">
        <v>212</v>
      </c>
      <c r="E3533" t="n">
        <v>210</v>
      </c>
      <c r="F3533">
        <f>HYPERLINK("https://www.reddit.com/r/COVID19positive/comments/hvxuy6/got_sick_since_febfebruary_still_sick/")</f>
        <v/>
      </c>
      <c r="G3533" t="inlineStr">
        <is>
          <t>2020-07-22 10:19:42</t>
        </is>
      </c>
      <c r="H3533" t="inlineStr">
        <is>
          <t>Tested Positive - Me</t>
        </is>
      </c>
    </row>
    <row r="3534">
      <c r="A3534" t="inlineStr">
        <is>
          <t>hw0h5x</t>
        </is>
      </c>
      <c r="B3534" t="inlineStr">
        <is>
          <t>Trouble Digesting Fats</t>
        </is>
      </c>
      <c r="C3534" t="inlineStr">
        <is>
          <t>Hi all, I'm a 29 year old Male presumed positive (no widespread testing in Scotland at the time). Been experiencing slooooowwwly lessening symptoms since February. 
I've had a wide range of symptoms over the past 5 months but one that has stuck with me and doesn't seem to be getting better is the trouble that eating fatty foods gives me. I can eat up to about 20g of fats a day but if I go over that I get a crushing pain in my shoulder blades and a burning, strangely depressing/depersonalising pain in my breast bone. Hard to explain the feeling really. 
I also get extremely loose stools almost to the point of diarrhoea and all the discomfort entailed there. I've been sticking to a very low fat diet since this all occurred which keeps those specific symptoms at bay. Not so for my random stabbing pains and (gradually over the weeks lessening in severity) headaches which still persist.
My bloodwork is normal except for elevated bilirubin which would be consistent with gallbladder issues so I was sent for an ultrasound by my doctor which showed a perfectly healthy liver and gallbladder.
My working theory is that Covid has done some kind of damage to my digestive system but I think I'll have to wait a while to find out exactly what. I'm going to pursue further tests this week.
Anyone else having similar issues?</t>
        </is>
      </c>
      <c r="D3534" t="n">
        <v>3</v>
      </c>
      <c r="E3534" t="n">
        <v>22</v>
      </c>
      <c r="F3534">
        <f>HYPERLINK("https://www.reddit.com/r/COVID19positive/comments/hw0h5x/trouble_digesting_fats/")</f>
        <v/>
      </c>
      <c r="G3534" t="inlineStr">
        <is>
          <t>2020-07-22 12:37:22</t>
        </is>
      </c>
      <c r="H3534" t="inlineStr">
        <is>
          <t>Presumed Positive - From Doctor</t>
        </is>
      </c>
    </row>
    <row r="3535">
      <c r="A3535" t="inlineStr">
        <is>
          <t>hw0ipk</t>
        </is>
      </c>
      <c r="B3535" t="inlineStr">
        <is>
          <t>Thought I just had strep throat</t>
        </is>
      </c>
      <c r="C3535" t="inlineStr">
        <is>
          <t>If you feel like you’re sick, dont just get tested for other illnesses. I am 23 quite healthy, tested for covid and strep because of a sore throat. I also had some slight flu like symptoms and sneezing here and there. Strep came out positive, thought that was all it was, but days later I find out I am positive for covid. I’m curious as to whether covid weakened my immune system enough for me to also catch strep? Or if strep is somehow a side effect? I’m not sure. Started feeling a lot better a few days after strep test, but throat is still a bit sore. Overall sense of sickness has gone away for the most part. Had some loss of appetite.</t>
        </is>
      </c>
      <c r="D3535" t="n">
        <v>39</v>
      </c>
      <c r="E3535" t="n">
        <v>39</v>
      </c>
      <c r="F3535">
        <f>HYPERLINK("https://www.reddit.com/r/COVID19positive/comments/hw0ipk/thought_i_just_had_strep_throat/")</f>
        <v/>
      </c>
      <c r="G3535" t="inlineStr">
        <is>
          <t>2020-07-22 12:39:41</t>
        </is>
      </c>
      <c r="H3535" t="inlineStr">
        <is>
          <t>Tested Positive - Me</t>
        </is>
      </c>
    </row>
    <row r="3536">
      <c r="A3536" t="inlineStr">
        <is>
          <t>hw0xqv</t>
        </is>
      </c>
      <c r="B3536" t="inlineStr">
        <is>
          <t>Has anyone had really severe hyperacusia, fullness in ears, vertigo?</t>
        </is>
      </c>
      <c r="C3536" t="inlineStr">
        <is>
          <t>Long hauler, 27F, sick since beginning of march, positive test in May, negative test in July, no pre-existing conditions, was sick for 2.5 months total, recovered fully for 6 weeks and then got really sick again from nowhere, still unsure if reinfection. 
Suffering in this current relapse (?) from the following: 
Extreme sensitivity to sound, waking up with congestion in ears and sinuses, vertigo, fullness in head, really erratic and strange heart rhythms on oximeter with really low and erratic oxygen levels from 85 to 90, chest tightness, sharp pains in chest when laying down, very low body temps 35.7 and also low grade fever 37.9, and lastly insomnia/waking up during sleep regularly, restless legs. 
Any advice/thoughts of what could still be the problem or what I should be trying to check if I go private? 
I had basically fully recovered for a significant period but now I just feel sick again. Completely unsure who to see, and what to say to the doctors as they're so dismissive, and I just feel like something is really wrong this time.</t>
        </is>
      </c>
      <c r="D3536" t="n">
        <v>8</v>
      </c>
      <c r="E3536" t="n">
        <v>34</v>
      </c>
      <c r="F3536">
        <f>HYPERLINK("https://www.reddit.com/r/COVID19positive/comments/hw0xqv/has_anyone_had_really_severe_hyperacusia_fullness/")</f>
        <v/>
      </c>
      <c r="G3536" t="inlineStr">
        <is>
          <t>2020-07-22 13:01:42</t>
        </is>
      </c>
      <c r="H3536" t="inlineStr">
        <is>
          <t>Tested Positive - Me</t>
        </is>
      </c>
    </row>
    <row r="3537">
      <c r="A3537" t="inlineStr">
        <is>
          <t>hw1066</t>
        </is>
      </c>
      <c r="B3537" t="inlineStr">
        <is>
          <t>Covid timeline, likely way of contraction?</t>
        </is>
      </c>
      <c r="C3537" t="inlineStr">
        <is>
          <t>I have been quite careful with isolating besides seeing my boyfriend. He’s the only person I hang out with. I have several roommates, and I live in the basement with one roommate who I see sometimes. As far as I know, he hasn’t had covid and seems to be home a lot. There were two people I never saw upstairs who were sick for a while but both tested negative (twice). 
My boyfriend hangs out with many different people consistently. For example, he will hang out with 4 guys outside playing some sport, and then the next day go camping with 3 other guys, and the next day hang out with a friend one on one. As far as I know, none of his friends have tested positive, but we are all very young and they could be asymptomatic. 
On July 11th, I went for a day pass at a gym. The gym had a max of 10 members at a time, 6 ft, and u had to wear masks the entire time. I only went there that one time. Started noticing symptoms on July 16th. Tested positive a few days later. Hanging out with bf consistently throughout this time and also going to the grocery store when I need to (before getting tested). Bf has not shown any symptoms (at least not yet).
What do u think likely caused me to contract it?</t>
        </is>
      </c>
      <c r="D3537" t="n">
        <v>1</v>
      </c>
      <c r="E3537" t="n">
        <v>8</v>
      </c>
      <c r="F3537">
        <f>HYPERLINK("https://www.reddit.com/r/COVID19positive/comments/hw1066/covid_timeline_likely_way_of_contraction/")</f>
        <v/>
      </c>
      <c r="G3537" t="inlineStr">
        <is>
          <t>2020-07-22 13:05:12</t>
        </is>
      </c>
      <c r="H3537" t="inlineStr">
        <is>
          <t>Tested Positive</t>
        </is>
      </c>
    </row>
    <row r="3538">
      <c r="A3538" t="inlineStr">
        <is>
          <t>hw2h3b</t>
        </is>
      </c>
      <c r="B3538" t="inlineStr">
        <is>
          <t>Asthmatic just dxed with COVID</t>
        </is>
      </c>
      <c r="C3538" t="inlineStr">
        <is>
          <t>I’ve just been diagnosed with COVID and I have severe asthma. I am about a week into symptoms but only just now developing a cough. I am incredibly worried that I will develop severe symptoms and wanted to see if any other asthmatics who has already had COVID had anything to say/things I should look out for.</t>
        </is>
      </c>
      <c r="D3538" t="n">
        <v>1</v>
      </c>
      <c r="E3538" t="n">
        <v>8</v>
      </c>
      <c r="F3538">
        <f>HYPERLINK("https://www.reddit.com/r/COVID19positive/comments/hw2h3b/asthmatic_just_dxed_with_covid/")</f>
        <v/>
      </c>
      <c r="G3538" t="inlineStr">
        <is>
          <t>2020-07-22 14:22:52</t>
        </is>
      </c>
      <c r="H3538" t="inlineStr">
        <is>
          <t>Tested Positive - Me</t>
        </is>
      </c>
    </row>
    <row r="3539">
      <c r="A3539" t="inlineStr">
        <is>
          <t>hw2nts</t>
        </is>
      </c>
      <c r="B3539" t="inlineStr">
        <is>
          <t>Completely Asymptomatic</t>
        </is>
      </c>
      <c r="C3539" t="inlineStr">
        <is>
          <t>Anyone else out there stay completely asymptomatic? I got tested 13 days ago and have not got a single symptom. The only reason I was tested was due to a blanket test. Would love to see if anyone else is out there like this!</t>
        </is>
      </c>
      <c r="D3539" t="n">
        <v>25</v>
      </c>
      <c r="E3539" t="n">
        <v>45</v>
      </c>
      <c r="F3539">
        <f>HYPERLINK("https://www.reddit.com/r/COVID19positive/comments/hw2nts/completely_asymptomatic/")</f>
        <v/>
      </c>
      <c r="G3539" t="inlineStr">
        <is>
          <t>2020-07-22 14:33:20</t>
        </is>
      </c>
      <c r="H3539" t="inlineStr">
        <is>
          <t>Tested Positive - Me</t>
        </is>
      </c>
    </row>
    <row r="3540">
      <c r="A3540" t="inlineStr">
        <is>
          <t>hw2qi7</t>
        </is>
      </c>
      <c r="B3540" t="inlineStr">
        <is>
          <t>Forcing People with Covid-19 to come to work?</t>
        </is>
      </c>
      <c r="C3540" t="inlineStr">
        <is>
          <t>My mother tested positive for COVID-19, and her employer is trying get her to come back to work. Is that legal given that my mom works in a doctor's office? That seems incredibly irresponsible when she comes into contact with so many elder patients who may not have contracted the virus. I tried to look up current info online, but I can't find anything.</t>
        </is>
      </c>
      <c r="D3540" t="n">
        <v>6</v>
      </c>
      <c r="E3540" t="n">
        <v>21</v>
      </c>
      <c r="F3540">
        <f>HYPERLINK("https://www.reddit.com/r/COVID19positive/comments/hw2qi7/forcing_people_with_covid19_to_come_to_work/")</f>
        <v/>
      </c>
      <c r="G3540" t="inlineStr">
        <is>
          <t>2020-07-22 14:37:30</t>
        </is>
      </c>
      <c r="H3540" t="inlineStr">
        <is>
          <t>Tested Positive - Family</t>
        </is>
      </c>
    </row>
    <row r="3541">
      <c r="A3541" t="inlineStr">
        <is>
          <t>hw3wus</t>
        </is>
      </c>
      <c r="B3541" t="inlineStr">
        <is>
          <t>When is it safe to go home?</t>
        </is>
      </c>
      <c r="C3541" t="inlineStr">
        <is>
          <t>25 y/o (M) living in Los Angeles.  Recently tested positive after 5 friends and I were together at an airbnb over July 4th weekend. We suppose that's where we all got it. 
Symptoms so far:
Last Week: complete loss of smell and taste but that was about it. Mild brain fog and feeling mentally like shit knowing I have it but that was pretty much it.
This Week: smell and taste are MUCH better, slowly coming back to normal, but I have a mild throat (not lung) congestion and a bit of a dry cough. I've almost always had a mild cough but right now I'm often clearing my throat throughout the day. Also a little loss of appetite.
Part of me thinks some of these symptoms are psychosomatic but also maybe related to COVID.
Vitamins: Been loading up on everything they tell us to take (Vitamin C, Zinc, Vitamin D, etc.)
The problem is I'm moving out of my Downtown LA apartment this Friday and back with the folks for my final year in grad school (we're remote) but they told me I'm not allowed back until I test negative. So it looks like I'm getting a hotel for the time being.
I tested on Monday (7/20) and got a call today saying I was still positive but likely not infectious because my smell has started to return. How long until I'm free and clear? Two of my friends who tested positive two weeks ago just tested negative and feel great.
Please any thoughts/advice/similar experiences would be much appreciated! I'm really starting to lose it having been isolated for so long and feel like I'm never going to fully recover from this.</t>
        </is>
      </c>
      <c r="D3541" t="n">
        <v>6</v>
      </c>
      <c r="E3541" t="n">
        <v>4</v>
      </c>
      <c r="F3541">
        <f>HYPERLINK("https://www.reddit.com/r/COVID19positive/comments/hw3wus/when_is_it_safe_to_go_home/")</f>
        <v/>
      </c>
      <c r="G3541" t="inlineStr">
        <is>
          <t>2020-07-22 15:43:26</t>
        </is>
      </c>
      <c r="H3541" t="inlineStr">
        <is>
          <t>Tested Positive</t>
        </is>
      </c>
    </row>
    <row r="3542">
      <c r="A3542" t="inlineStr">
        <is>
          <t>hw4z3i</t>
        </is>
      </c>
      <c r="B3542" t="inlineStr">
        <is>
          <t>My 36 year old Brother-in-Law passed away</t>
        </is>
      </c>
      <c r="C3542" t="inlineStr">
        <is>
          <t>My wife's family who live very far away from us have been struggling with COVID19. Many members of her family got it and recovered. What seemed to be a not-to-bad case with my brother in law turned into a nightmare within 48 hours. He starting hallucinating, then he became unconscious, and eventually his heart stopped.
My mother in law and his young widow are shattered, my wife is risking her life to take care of them. and her family will never be the same. My concordances to everyone here who is living through this.</t>
        </is>
      </c>
      <c r="D3542" t="n">
        <v>607</v>
      </c>
      <c r="E3542" t="n">
        <v>178</v>
      </c>
      <c r="F3542">
        <f>HYPERLINK("https://www.reddit.com/r/COVID19positive/comments/hw4z3i/my_36_year_old_brotherinlaw_passed_away/")</f>
        <v/>
      </c>
      <c r="G3542" t="inlineStr">
        <is>
          <t>2020-07-22 16:43:22</t>
        </is>
      </c>
      <c r="H3542" t="inlineStr">
        <is>
          <t>Tested Positive - Family</t>
        </is>
      </c>
    </row>
    <row r="3543">
      <c r="A3543" t="inlineStr">
        <is>
          <t>hw5v44</t>
        </is>
      </c>
      <c r="B3543" t="inlineStr">
        <is>
          <t>Mild case. 25 M, No Pre-Existing conditions</t>
        </is>
      </c>
      <c r="C3543" t="inlineStr">
        <is>
          <t>&amp;amp;#x200B;
Day 1 (7/4)
PM
Sore throat, post nasal drip, felt like allergies
&amp;amp;#x200B;
Day 2 (7/5)
AM-
Coughing, no sore throat, still feels like allergies
PM
Mild body aches, fatigue, malaise, low grade fever
&amp;amp;#x200B;
Day 3 (7/6)
AM
Fever, chills, shivering
PM
Stopped shivering, stopped chills, coughing, mild pressure on chest
&amp;amp;#x200B;
Day 4 (7/7)
AM
Fever Broke, Coughing, back pain, chest pressure improved
&amp;amp;#x200B;
PM
Chest pressure worsened after work, couldn't fall asleep
&amp;amp;#x200B;
Day 5 (7/8)
AM/PM
Mild Aches, Stuffy nose, congestion, coughing, chest pressure, mild headache
Got tested
&amp;amp;#x200B;
Day 6 (7/9)
AM
Muted sense of taste/smell resolved after chewing bitter pills midday, Congestion, cough stopped
PM
cough returned
&amp;amp;#x200B;
Day 7 (7/10)
Small cough, feel normal otherwise
&amp;amp;#x200B;
Day 8 (7/11)
Mild sore throat/cough
&amp;amp;#x200B;
Day 9 (7/12)
Chest congestion &amp;amp; cough
&amp;amp;#x200B;
Day 10-12 (7/13-7/15)
Cough
&amp;amp;#x200B;
Day 13-16 (7/16-7/19)
No symptoms 
&amp;amp;#x200B;
Day 17 (7/20)
Small cough
&amp;amp;#x200B;
Day 18 (7/21)
No symptoms
&amp;amp;#x200B;
Day 19 (7/22)
Cough and mild chest pressure
&amp;amp;#x200B;
So far, I've only been mildly ill, but the worst part about this virus is that just when you think you are over it. You're not.</t>
        </is>
      </c>
      <c r="D3543" t="n">
        <v>23</v>
      </c>
      <c r="E3543" t="n">
        <v>17</v>
      </c>
      <c r="F3543">
        <f>HYPERLINK("https://www.reddit.com/r/COVID19positive/comments/hw5v44/mild_case_25_m_no_preexisting_conditions/")</f>
        <v/>
      </c>
      <c r="G3543" t="inlineStr">
        <is>
          <t>2020-07-22 17:38:29</t>
        </is>
      </c>
      <c r="H3543" t="inlineStr">
        <is>
          <t>Tested Positive - Me</t>
        </is>
      </c>
    </row>
    <row r="3544">
      <c r="A3544" t="inlineStr">
        <is>
          <t>hw5zwt</t>
        </is>
      </c>
      <c r="B3544" t="inlineStr">
        <is>
          <t>Anyone else have just shortness of breath as a symptom?</t>
        </is>
      </c>
      <c r="C3544" t="inlineStr">
        <is>
          <t>Since Monday of last week, I have had a tight chest and shortness of breath that came on suddenly and randomly. I am a hypochondriac and thought I had lung cancer, but just chalked the shortness of breath up to anxiety ultimately. 
It got worse over the weekend, to the point my gf thought I was mad at her because I was sighing so deeply trying to catch my breath while watching a movie. 
I had a remote visit with my doctor on Monday (two days ago) and he said it sounded like Covid-19, though I’ve had no other symptoms. The only other symptom I’ve had is a slight dry cough here and there, and my side hurt for one day (which often happens when I get sick, it’s a complication from mono).
So, has anyone else had just shortness of breath and actually tested positive? If so, what was your experience like? Did you fully recover your lung capacity? I am currently awaiting test results.</t>
        </is>
      </c>
      <c r="D3544" t="n">
        <v>5</v>
      </c>
      <c r="E3544" t="n">
        <v>18</v>
      </c>
      <c r="F3544">
        <f>HYPERLINK("https://www.reddit.com/r/COVID19positive/comments/hw5zwt/anyone_else_have_just_shortness_of_breath_as_a/")</f>
        <v/>
      </c>
      <c r="G3544" t="inlineStr">
        <is>
          <t>2020-07-22 17:46:55</t>
        </is>
      </c>
      <c r="H3544" t="inlineStr">
        <is>
          <t>Presumed Positive - From Doctor</t>
        </is>
      </c>
    </row>
    <row r="3545">
      <c r="A3545" t="inlineStr">
        <is>
          <t>hw61bz</t>
        </is>
      </c>
      <c r="B3545" t="inlineStr">
        <is>
          <t>Care package to send to someone who tested positive?</t>
        </is>
      </c>
      <c r="C3545" t="inlineStr">
        <is>
          <t>Hi guys, I just found out my roommate tested positive. She’s asymptomatic currently. I’ve never met her in person as I’m an incoming freshman and she live’s 2000 miles away (I’m in PA she’s in AZ.) My heart is broken for her right now as I cannot imagine how scary this is for her right now. I live in an extremely rural community that hasn’t been hit very hard by the virus so she’s the first person I personally know to be affected. 
I was wondering if anyone could provide some ideas for a care package to send her? I want to show her I care for her and I also want to do anything in my power to make her feel more comfortable. Thank you for any advice, and I hope anyone else who is battling this virus makes a full recovery!</t>
        </is>
      </c>
      <c r="D3545" t="n">
        <v>9</v>
      </c>
      <c r="E3545" t="n">
        <v>8</v>
      </c>
      <c r="F3545">
        <f>HYPERLINK("https://www.reddit.com/r/COVID19positive/comments/hw61bz/care_package_to_send_to_someone_who_tested/")</f>
        <v/>
      </c>
      <c r="G3545" t="inlineStr">
        <is>
          <t>2020-07-22 17:49:29</t>
        </is>
      </c>
      <c r="H3545" t="inlineStr">
        <is>
          <t>Tested Positive - Friends</t>
        </is>
      </c>
    </row>
    <row r="3546">
      <c r="A3546" t="inlineStr">
        <is>
          <t>hw6o51</t>
        </is>
      </c>
      <c r="B3546" t="inlineStr">
        <is>
          <t>Longhaulers</t>
        </is>
      </c>
      <c r="C3546" t="inlineStr">
        <is>
          <t>Hey longhaulers,
My friend and I (30 &amp;amp; 65) were each separately infected, she had a six week stint and I had it for nearly three months. We each suspected that we had an Epstein Barr Virus (One of the viruses that causes mono) relapse during our Covid illness.
I asked to be tested for EBV, and sure enough, tested positive for an active infection, and she also tested positive. If you’ve been at it for awhile, i believe it’s worthwhile to see if you’re dealing with a coinfection. While there is obviously no cure for viruses, it can help your doctor guide your treatment more effectively. In our instance we both started anti virals for EBV and additional supportive care. This unburdened our immune systems and allowed us to effectively clear Covid.
Just my two cents.</t>
        </is>
      </c>
      <c r="D3546" t="n">
        <v>13</v>
      </c>
      <c r="E3546" t="n">
        <v>35</v>
      </c>
      <c r="F3546">
        <f>HYPERLINK("https://www.reddit.com/r/COVID19positive/comments/hw6o51/longhaulers/")</f>
        <v/>
      </c>
      <c r="G3546" t="inlineStr">
        <is>
          <t>2020-07-22 18:30:24</t>
        </is>
      </c>
      <c r="H3546" t="inlineStr">
        <is>
          <t>Tested Positive</t>
        </is>
      </c>
    </row>
    <row r="3547">
      <c r="A3547" t="inlineStr">
        <is>
          <t>hw6wkd</t>
        </is>
      </c>
      <c r="B3547" t="inlineStr">
        <is>
          <t>Everyone but me tested positive</t>
        </is>
      </c>
      <c r="C3547" t="inlineStr">
        <is>
          <t>Exactly how the title states, weird right? 
So I am a healthy but a little over weight 29 year old female from the United States. I had my COVID test (July 9th) because I woke up feeling horribly ill. Body pains, body chills, fever, splitting headache, dizzy oh it was awful on July 8th. I felt better by that Sunday, fever was gone I felt okay but tired and upset belly. Just kinda meh. I went to work ( wore a mask every time I went out and went to work ). Got my NEGATIVE test results. I felt good enough to go kayaking with the family two times that week and do some hard physical labor at work later on that week. Nobody in the family mentioned feeling ill until about Saturday night, my sister said she felt like she was coming down with something and I felt off, took my temp 99.8. She had a low grade fever as well. My mother never had a fever but slept a lot that weekend because she too was feeling like she was coming down with a sinus infection. 
I woke up that Sunday the 19th and felt like shit. Thought maybe I slept my fever off, took it at 7:30 it was 98.7. Took it before I went to work at 9:30am and it was 100.5. Obv I called out of work, my sister said she didn't know if she had a fever anymore but she felt like she has a cold. Mom says she feels the same way just tired. I fought my fever for the next 48 hrs. It would go from 99.1-100.9. it SUCKKKKETH. I slept off and on those two days, my sister feels good enough to leave and go visit friends. She says before she leaves she still feels sick but nothing more than like a cold or something and the same goes for my Mom. My sister's boyfriend who lives with us, has no symptoms at all. 
So I'm feeling okay today, no fever. Just dealing with occasional cough, upset belly, not being able to taste or smell very well. My sister calls panicking she can't smell anything and we tell her go take a test. Since the boyfriend lives with us, they both get tested. BOTH POSITIVE. The boyfriend only is starting to feel achy today and my sister feels like she's got a headcold with a little chest pain, cough, congestion. Mom is feeling slightly better but randomly she gets tired. 
So now I'm wondering if I tested too early for them to see any signs in the test?? Like how odd right! So we're going in the a.m. to get tested. 
Thoughts?</t>
        </is>
      </c>
      <c r="D3547" t="n">
        <v>2</v>
      </c>
      <c r="E3547" t="n">
        <v>10</v>
      </c>
      <c r="F3547">
        <f>HYPERLINK("https://www.reddit.com/r/COVID19positive/comments/hw6wkd/everyone_but_me_tested_positive/")</f>
        <v/>
      </c>
      <c r="G3547" t="inlineStr">
        <is>
          <t>2020-07-22 18:45:40</t>
        </is>
      </c>
      <c r="H3547" t="inlineStr">
        <is>
          <t>Tested Positive - Family</t>
        </is>
      </c>
    </row>
    <row r="3548">
      <c r="A3548" t="inlineStr">
        <is>
          <t>hw72pt</t>
        </is>
      </c>
      <c r="B3548" t="inlineStr">
        <is>
          <t>How do you know when you are no longer contagious if you had mild-to no symptoms?</t>
        </is>
      </c>
      <c r="C3548" t="inlineStr">
        <is>
          <t>I (27 F) tested positive for Covid. The only symptoms I experienced was mild shortness of breath. I am very grateful that was it. No fever, dry cough, or other alarms.
The only reason why I got tested was because a friend I was in contact with told me he tested positive.
Timeline:
July 4 - exposed
July 10 - got tested
July 13 - Positive result, been home ever since. 
When I got the phone call for my results, they told me to quarantine for 10 days from when symptoms started. Because my symptoms were so mild, I can’t track the exact day. It’s been 18 days since I was exposed. I’m not sure if I’m good to go or not.
I got tested again today, but learned earlier that the virus can still linger in your body, even if you are no longer contagious. Therefore, my test could still be positive. 
I currently feel back to normal, but I don’t feel comfortable being around people until it I‘m certain.</t>
        </is>
      </c>
      <c r="D3548" t="n">
        <v>3</v>
      </c>
      <c r="E3548" t="n">
        <v>9</v>
      </c>
      <c r="F3548">
        <f>HYPERLINK("https://www.reddit.com/r/COVID19positive/comments/hw72pt/how_do_you_know_when_you_are_no_longer_contagious/")</f>
        <v/>
      </c>
      <c r="G3548" t="inlineStr">
        <is>
          <t>2020-07-22 18:57:05</t>
        </is>
      </c>
      <c r="H3548" t="inlineStr">
        <is>
          <t>Tested Positive - Me</t>
        </is>
      </c>
    </row>
    <row r="3549">
      <c r="A3549" t="inlineStr">
        <is>
          <t>hw76f7</t>
        </is>
      </c>
      <c r="B3549" t="inlineStr">
        <is>
          <t>My mouth=ouch</t>
        </is>
      </c>
      <c r="C3549" t="inlineStr">
        <is>
          <t>So I’m post COVID and back to work. I was home from July 7th-20 and besides the lingering exhaustion, difficulty breathing (not running anymore at the moment) and weird smells I started having sores in my mouth and now a sore throat. 
COVID was the most painful experience of my life. I’m a completely different person. I don’t drink coffee anymore. Like at all. I used to drink 2 pots and as many as 12 shots of espresso a day. I can’t even handle a single cup. My heart rate jumps up and my lungs can’t keep up with the demand. I used to run 15 miles a week. I can’t even walk a mile without feeling exhausted. I know I’m just barely getting over it. I wish I was able to take more time off work. 
Back to my point. I’m looking for a doctor to start going to. I never would get sick so I haven’t had a stable doctor in ages. In the meantime I’m trying to organize my thoughts. Is the sore throat an indication I’m going through another round of COVID? Or perhaps I’m still sick? I’m pretty freaked. I don’t think I could handle the pain again. 
Actually one more thing: did anyone else have the same issue with coffee???</t>
        </is>
      </c>
      <c r="D3549" t="n">
        <v>1</v>
      </c>
      <c r="E3549" t="n">
        <v>9</v>
      </c>
      <c r="F3549">
        <f>HYPERLINK("https://www.reddit.com/r/COVID19positive/comments/hw76f7/my_mouthouch/")</f>
        <v/>
      </c>
      <c r="G3549" t="inlineStr">
        <is>
          <t>2020-07-22 19:03:52</t>
        </is>
      </c>
      <c r="H3549" t="inlineStr">
        <is>
          <t>Tested Positive</t>
        </is>
      </c>
    </row>
    <row r="3550">
      <c r="A3550" t="inlineStr">
        <is>
          <t>hw82f3</t>
        </is>
      </c>
      <c r="B3550" t="inlineStr">
        <is>
          <t>Need to vent. Feel like a leper</t>
        </is>
      </c>
      <c r="C3550" t="inlineStr">
        <is>
          <t>I work in education. Around mid August schools will open and I will be back at work. I think most likely the health department will give me the clear to go back but I am not sure. I have not told coworkers about it. On a work group page on Facebook people are gossiping about people having it at different school buildings and posting frowny faces. I feel like a leper.</t>
        </is>
      </c>
      <c r="D3550" t="n">
        <v>7</v>
      </c>
      <c r="E3550" t="n">
        <v>11</v>
      </c>
      <c r="F3550">
        <f>HYPERLINK("https://www.reddit.com/r/COVID19positive/comments/hw82f3/need_to_vent_feel_like_a_leper/")</f>
        <v/>
      </c>
      <c r="G3550" t="inlineStr">
        <is>
          <t>2020-07-22 20:04:34</t>
        </is>
      </c>
      <c r="H3550" t="inlineStr">
        <is>
          <t>Tested Positive</t>
        </is>
      </c>
    </row>
    <row r="3551">
      <c r="A3551" t="inlineStr">
        <is>
          <t>hw8787</t>
        </is>
      </c>
      <c r="B3551" t="inlineStr">
        <is>
          <t>Recovered or Relapsing?</t>
        </is>
      </c>
      <c r="C3551" t="inlineStr">
        <is>
          <t>In early July I came down with fever, body aches (y’all, my skin HURT!) and cough. I got tested and it took 13 days for my results and they came back positive. By the time I got my results I had been symptom free for 10 days. That same day I began coughing again and it hurt to breathe. That went away overnight. Today I started a low fever (99.3). I’m confused. Am I clear? Am I sick? My doctor called me with the results yesterday and said I was clear if I was 10 days symptom free. But then on day 10 and 11 they came back. I got another call from someone higher up in that medical office and they confirmed my results and also told me that the state health department would be contacting me to clear me. It’s been two days and I haven’t heard from them yet (I assume they’re backlogged). Now the mental effects are kicking in and so are the questions. How did I get it? Did I give it to anyone? What are the long term effects? I have asthma, will it be worse now after COVID?</t>
        </is>
      </c>
      <c r="D3551" t="n">
        <v>5</v>
      </c>
      <c r="E3551" t="n">
        <v>8</v>
      </c>
      <c r="F3551">
        <f>HYPERLINK("https://www.reddit.com/r/COVID19positive/comments/hw8787/recovered_or_relapsing/")</f>
        <v/>
      </c>
      <c r="G3551" t="inlineStr">
        <is>
          <t>2020-07-22 20:13:43</t>
        </is>
      </c>
      <c r="H3551" t="inlineStr">
        <is>
          <t>Tested Positive - Me</t>
        </is>
      </c>
    </row>
    <row r="3552">
      <c r="A3552" t="inlineStr">
        <is>
          <t>hw89r0</t>
        </is>
      </c>
      <c r="B3552" t="inlineStr">
        <is>
          <t>Symptoms come and go?</t>
        </is>
      </c>
      <c r="C3552" t="inlineStr">
        <is>
          <t>I (38F) am assumed positive.  My 1 year old tested positive on Sunday and had very mild symptoms. 
I wanted to ask:
do you notice you feel like your symptoms come and go throughout the day? 
I feel most lightheaded / dizzy after eating.
Here is a list of my symptoms (got the idea from other on the subreddit)
Sunday- headache
Monday 7/20- sneezing, winded at times.
Tues 7/21- body aches, sneezing, sore throat (like nasal drainage), cold but no fever, winded at times.
Wed 7/22 light headed, chills, temperature of 99.5, winded, sore thoat, stuffy nose. Juggling between feeling fine and feeling sick. Headache, body aches. 
I was tested Sunday but still pending results.  Overweight but no underlining conditions.</t>
        </is>
      </c>
      <c r="D3552" t="n">
        <v>3</v>
      </c>
      <c r="E3552" t="n">
        <v>6</v>
      </c>
      <c r="F3552">
        <f>HYPERLINK("https://www.reddit.com/r/COVID19positive/comments/hw89r0/symptoms_come_and_go/")</f>
        <v/>
      </c>
      <c r="G3552" t="inlineStr">
        <is>
          <t>2020-07-22 20:18:24</t>
        </is>
      </c>
      <c r="H3552" t="inlineStr">
        <is>
          <t>Presumed Positive - From Doctor</t>
        </is>
      </c>
    </row>
    <row r="3553">
      <c r="A3553" t="inlineStr">
        <is>
          <t>hw8ezv</t>
        </is>
      </c>
      <c r="B3553" t="inlineStr">
        <is>
          <t>Feel winded when talking</t>
        </is>
      </c>
      <c r="C3553" t="inlineStr">
        <is>
          <t>I had covid. I am eleven weeks in now I tested negative twice in June after being positive. I still have lingering symptoms but one is sometimes and only sometimes when I talk. I feel like I have too much air in my lungs or something. I can breathe but just feels like I can’t for a minute or two. Anyone else? This drives me crazy.</t>
        </is>
      </c>
      <c r="D3553" t="n">
        <v>2</v>
      </c>
      <c r="E3553" t="n">
        <v>10</v>
      </c>
      <c r="F3553">
        <f>HYPERLINK("https://www.reddit.com/r/COVID19positive/comments/hw8ezv/feel_winded_when_talking/")</f>
        <v/>
      </c>
      <c r="G3553" t="inlineStr">
        <is>
          <t>2020-07-22 20:28:18</t>
        </is>
      </c>
      <c r="H3553" t="inlineStr">
        <is>
          <t>Tested Positive - Me</t>
        </is>
      </c>
    </row>
    <row r="3554">
      <c r="A3554" t="inlineStr">
        <is>
          <t>hw8fo5</t>
        </is>
      </c>
      <c r="B3554" t="inlineStr">
        <is>
          <t>Yo-yo Covid Symptoms. When are you no longer contagious.</t>
        </is>
      </c>
      <c r="C3554" t="inlineStr">
        <is>
          <t>So I think I was exposed the weekend on June 20 and first experienced symptoms on the 23. I tested positive on the 27th. I had pretty mild symptoms: loss of scent and taste, headache, fatigue and body aches. Most of my symptoms went away except for the scent and taste by day 14. As of today it’s almost been a month since since I first experienced symptoms and my body aches, headaches and fatigue has returned. 
Is it common for symptoms to return? When will I regain my sense of smell and taste? Am I still contagious. 
I took another test and pending results. If it’s positive do I still quarantine? 
I thought I was fine since I was 3 days without fever and other symptoms so I have been out but now that I’m feeling this way again I feel I should quarantine. 
There isn’t much information and it is very confusing.</t>
        </is>
      </c>
      <c r="D3554" t="n">
        <v>4</v>
      </c>
      <c r="E3554" t="n">
        <v>16</v>
      </c>
      <c r="F3554">
        <f>HYPERLINK("https://www.reddit.com/r/COVID19positive/comments/hw8fo5/yoyo_covid_symptoms_when_are_you_no_longer/")</f>
        <v/>
      </c>
      <c r="G3554" t="inlineStr">
        <is>
          <t>2020-07-22 20:29:39</t>
        </is>
      </c>
      <c r="H3554" t="inlineStr">
        <is>
          <t>Tested Positive - Me</t>
        </is>
      </c>
    </row>
    <row r="3555">
      <c r="A3555" t="inlineStr">
        <is>
          <t>hw8hx7</t>
        </is>
      </c>
      <c r="B3555" t="inlineStr">
        <is>
          <t>Anxiety About Re-entering Society After Quarantine Clearance</t>
        </is>
      </c>
      <c r="C3555" t="inlineStr">
        <is>
          <t>I got clearance to end my isolation/quarantine from our health dept, and I’m also no longer symptomatic. Which is great, yay! But I went out this evening on a drive through town and could see people out at restaurants, with friends, etc... some wearing masks, some not. I almost had a panic attack in the car and found myself starting to cry.
I have a history of depression and some anxiety, and my case of covid was mild, but I think the fact that I was incredibly cautious and still managed to contract it has me on edge. Not just for myself, but everyone. I went from thinking my apartment was a prison to almost being scared to do anything now.
Anyone else experiencing anxiety like this when you recovered? How are you dealing?</t>
        </is>
      </c>
      <c r="D3555" t="n">
        <v>15</v>
      </c>
      <c r="E3555" t="n">
        <v>14</v>
      </c>
      <c r="F3555">
        <f>HYPERLINK("https://www.reddit.com/r/COVID19positive/comments/hw8hx7/anxiety_about_reentering_society_after_quarantine/")</f>
        <v/>
      </c>
      <c r="G3555" t="inlineStr">
        <is>
          <t>2020-07-22 20:34:06</t>
        </is>
      </c>
      <c r="H3555" t="inlineStr">
        <is>
          <t>Tested Positive</t>
        </is>
      </c>
    </row>
    <row r="3556">
      <c r="A3556" t="inlineStr">
        <is>
          <t>hw8j3m</t>
        </is>
      </c>
      <c r="B3556" t="inlineStr">
        <is>
          <t>Re-testing for Covid.</t>
        </is>
      </c>
      <c r="C3556" t="inlineStr">
        <is>
          <t>Hey everyone,  
I am on day 5 of being symptom free and med-free &amp;amp; im cleared to go to work. My work doesn’t require me to retest but i would like to. 
What has been everyone’s experience when testing positive and retesting? Do you show positive or negative. 
It will be 22 days since I experienced my first symptom &amp;amp; 19 since positive testing
Thank you. 
Stay safe.</t>
        </is>
      </c>
      <c r="D3556" t="n">
        <v>3</v>
      </c>
      <c r="E3556" t="n">
        <v>6</v>
      </c>
      <c r="F3556">
        <f>HYPERLINK("https://www.reddit.com/r/COVID19positive/comments/hw8j3m/retesting_for_covid/")</f>
        <v/>
      </c>
      <c r="G3556" t="inlineStr">
        <is>
          <t>2020-07-22 20:36:19</t>
        </is>
      </c>
      <c r="H3556" t="inlineStr">
        <is>
          <t>Tested Positive - Me</t>
        </is>
      </c>
    </row>
    <row r="3557">
      <c r="A3557" t="inlineStr">
        <is>
          <t>hwaelk</t>
        </is>
      </c>
      <c r="B3557" t="inlineStr">
        <is>
          <t>Why are we allowing travel?</t>
        </is>
      </c>
      <c r="C3557" t="inlineStr">
        <is>
          <t>I’m an essential worker at the airport, but I’m just wondering why the airport has to even be open. People are walking around the airport with no mask and leaving snotty tissues all over the place. every couple of days we see on the news someone on a plane that we worked on had covid but we still have to come in. People literally argue with the flight attendants about wearing mask. the flight attendants talk to eachother once a plane is empty and a lot of them are scared they might be next. Now the virus has hit home but not entirely sure the origin but I feel guilty as if maybe it’s my fault but i had to come into work in order to receive the unemployment check which makes no sense. I know it’s America and we deserve freedom but I just feel ill seeing all those ppl traveling in the middle of a pandemic.</t>
        </is>
      </c>
      <c r="D3557" t="n">
        <v>4</v>
      </c>
      <c r="E3557" t="n">
        <v>28</v>
      </c>
      <c r="F3557">
        <f>HYPERLINK("https://www.reddit.com/r/COVID19positive/comments/hwaelk/why_are_we_allowing_travel/")</f>
        <v/>
      </c>
      <c r="G3557" t="inlineStr">
        <is>
          <t>2020-07-22 23:00:02</t>
        </is>
      </c>
      <c r="H3557" t="inlineStr">
        <is>
          <t>Tested Positive - Family</t>
        </is>
      </c>
    </row>
    <row r="3558">
      <c r="A3558" t="inlineStr">
        <is>
          <t>hwagpx</t>
        </is>
      </c>
      <c r="B3558" t="inlineStr">
        <is>
          <t>Doctor gave clearance to my sister after 4 days of quarantine?</t>
        </is>
      </c>
      <c r="C3558" t="inlineStr">
        <is>
          <t>My sister began losing her sense of taste and smell two weeks ago. To be safe, she got tested Saturday and her results came back positive yesterday (Thursday). The doctor told her since her first symptoms occurred ten days ago she is free to go back to life as normal (go to the store, visit friends, ect). This seemed strange to me?  My friend informed me the same advice was given to her grandmother from her doctor. This was extremely alarming because her grandmother works in a hospital. I do not have a medical degree so I do not feel comfortable questioning someone who does. However, this seems very different from the advice I thought they would receive. Has anyone heard of similar instruction being given to those with positive tests?</t>
        </is>
      </c>
      <c r="D3558" t="n">
        <v>4</v>
      </c>
      <c r="E3558" t="n">
        <v>21</v>
      </c>
      <c r="F3558">
        <f>HYPERLINK("https://www.reddit.com/r/COVID19positive/comments/hwagpx/doctor_gave_clearance_to_my_sister_after_4_days/")</f>
        <v/>
      </c>
      <c r="G3558" t="inlineStr">
        <is>
          <t>2020-07-22 23:04:36</t>
        </is>
      </c>
      <c r="H3558" t="inlineStr">
        <is>
          <t>Tested Positive - Family</t>
        </is>
      </c>
    </row>
    <row r="3559">
      <c r="A3559" t="inlineStr">
        <is>
          <t>hwbdje</t>
        </is>
      </c>
      <c r="B3559" t="inlineStr">
        <is>
          <t>What should I do?</t>
        </is>
      </c>
      <c r="C3559" t="inlineStr">
        <is>
          <t>I’m currently on a fishing trip with a friend, and just got a phone call that my sister has a 102 fever and tested positive back at home.. I don’t know what to do. She goes to parties every night so I knew it would happen at some point. 
I’m supposed to leave tomorrow but I don’t know where to go. I’m young but I have congenital heart disease so I’m at risk. There are 6 people living in that house, so it’ll likely be over a month until that house is 100% covid free. Should I just go home, get infected and cross my fingers? Or should I just live in my car for a month? I’m so done with this damn virus</t>
        </is>
      </c>
      <c r="D3559" t="n">
        <v>1</v>
      </c>
      <c r="E3559" t="n">
        <v>12</v>
      </c>
      <c r="F3559">
        <f>HYPERLINK("https://www.reddit.com/r/COVID19positive/comments/hwbdje/what_should_i_do/")</f>
        <v/>
      </c>
      <c r="G3559" t="inlineStr">
        <is>
          <t>2020-07-23 00:24:57</t>
        </is>
      </c>
      <c r="H3559" t="inlineStr">
        <is>
          <t>Tested Positive - Family</t>
        </is>
      </c>
    </row>
    <row r="3560">
      <c r="A3560" t="inlineStr">
        <is>
          <t>hwbk6r</t>
        </is>
      </c>
      <c r="B3560" t="inlineStr">
        <is>
          <t>Aunt who lives here intentionally infected our family.</t>
        </is>
      </c>
      <c r="C3560" t="inlineStr">
        <is>
          <t>My aunt spent time with someone who tested positive 10 days ago. She's been sick but has been playing it off as some of her chronic health problems. I got sick a few days ago, and was really confused how I could have gotten it since I haven't left the house in months.
With the symptoms building for 3 days I finally went to get a test. Haven't gotten my results yet, but my aunt finally fessed up to her exposure. Now she's in the hospital and just tested positive herself.
I never thought she would hide something like that from us. Wtf. We would have been so much more careful if we knew. She sneezes in the living room without covering her face at all.
I'm so angry I don't know what to do with myself.</t>
        </is>
      </c>
      <c r="D3560" t="n">
        <v>54</v>
      </c>
      <c r="E3560" t="n">
        <v>85</v>
      </c>
      <c r="F3560">
        <f>HYPERLINK("https://www.reddit.com/r/COVID19positive/comments/hwbk6r/aunt_who_lives_here_intentionally_infected_our/")</f>
        <v/>
      </c>
      <c r="G3560" t="inlineStr">
        <is>
          <t>2020-07-23 00:42:34</t>
        </is>
      </c>
      <c r="H3560" t="inlineStr">
        <is>
          <t>Tested Positive - Family</t>
        </is>
      </c>
    </row>
    <row r="3561">
      <c r="A3561" t="inlineStr">
        <is>
          <t>hwbptj</t>
        </is>
      </c>
      <c r="B3561" t="inlineStr">
        <is>
          <t>Distorted sense of smell</t>
        </is>
      </c>
      <c r="C3561" t="inlineStr">
        <is>
          <t>During my COVID-19 infection I lost my sense of taste and smell. After a month or so my senses came back, seemingly normal. But now, a few weeks later, my sense of smell has changed in a strange way. A number of thing now smell exactly the same: coffee, gasoline, eggs, sweat, toothpaste, new diapers, some spices etc. It is not a pleasant smell and not one I recognise as smelling like something else. Has anyone else had a similar experience?</t>
        </is>
      </c>
      <c r="D3561" t="n">
        <v>1</v>
      </c>
      <c r="E3561" t="n">
        <v>2</v>
      </c>
      <c r="F3561">
        <f>HYPERLINK("https://www.reddit.com/r/COVID19positive/comments/hwbptj/distorted_sense_of_smell/")</f>
        <v/>
      </c>
      <c r="G3561" t="inlineStr">
        <is>
          <t>2020-07-23 00:58:03</t>
        </is>
      </c>
      <c r="H3561" t="inlineStr">
        <is>
          <t>Tested Positive</t>
        </is>
      </c>
    </row>
    <row r="3562">
      <c r="A3562" t="inlineStr">
        <is>
          <t>hwc01j</t>
        </is>
      </c>
      <c r="B3562" t="inlineStr">
        <is>
          <t>Lump in throat feeling accompanied with Acid reflux... Anyone?</t>
        </is>
      </c>
      <c r="C3562" t="inlineStr">
        <is>
          <t>I'm super concerned, I've been having acid reflux and have this lump in my throat feeling that isn't going away. Has anyone experienced this? My anxiety is through the roof right now and it isn't helping at all. I am dealing with a second round of COVID symptoms after my first last month.</t>
        </is>
      </c>
      <c r="D3562" t="n">
        <v>1</v>
      </c>
      <c r="E3562" t="n">
        <v>8</v>
      </c>
      <c r="F3562">
        <f>HYPERLINK("https://www.reddit.com/r/COVID19positive/comments/hwc01j/lump_in_throat_feeling_accompanied_with_acid/")</f>
        <v/>
      </c>
      <c r="G3562" t="inlineStr">
        <is>
          <t>2020-07-23 01:24:41</t>
        </is>
      </c>
      <c r="H3562" t="inlineStr">
        <is>
          <t>Tested Positive - Me</t>
        </is>
      </c>
    </row>
    <row r="3563">
      <c r="A3563" t="inlineStr">
        <is>
          <t>hwcg7c</t>
        </is>
      </c>
      <c r="B3563" t="inlineStr">
        <is>
          <t>Question about symptoms</t>
        </is>
      </c>
      <c r="C3563" t="inlineStr">
        <is>
          <t>So I've been having symptoms since last Sunday(7/12) and found out my test results came back positive(today) I've isolated myself in a different room from my partner. I was wondering if my partner has gotten it as well and I'm slightly getting better as where they're starting to barely get the symptoms is it possible for them to transfer some new symptoms onto me or for me to get worse?</t>
        </is>
      </c>
      <c r="D3563" t="n">
        <v>1</v>
      </c>
      <c r="E3563" t="n">
        <v>5</v>
      </c>
      <c r="F3563">
        <f>HYPERLINK("https://www.reddit.com/r/COVID19positive/comments/hwcg7c/question_about_symptoms/")</f>
        <v/>
      </c>
      <c r="G3563" t="inlineStr">
        <is>
          <t>2020-07-23 02:06:24</t>
        </is>
      </c>
      <c r="H3563" t="inlineStr">
        <is>
          <t>Tested Positive - Me</t>
        </is>
      </c>
    </row>
    <row r="3564">
      <c r="A3564" t="inlineStr">
        <is>
          <t>hwdlih</t>
        </is>
      </c>
      <c r="B3564" t="inlineStr">
        <is>
          <t>Going back to the doctor this afternoon, advice on what questions and treatments to ask about?</t>
        </is>
      </c>
      <c r="C3564" t="inlineStr">
        <is>
          <t>So yesterday was my 11 week mark. I have had a wide range of symptoms starting with body aches, difficulty breathing, sore throat, cough and extreme fatigue. It took until about week 5 for me to start feeling better which lasted about a week until it came back with a vengeance. My original doctor was no help so the health department recommended someone else (I live in a rural area where the health care is basically a joke). I saw the new doctor about 2-3 weeks ago and he immediately put me on a high dose steroid for my lungs which helped significantly. I still get out of breath easily but it’s not as difficult to breath normally. I thought I was on the come up until I started having piercing headaches, my body aches are still around and I can’t seem to stay awake. I also started having neurological symptoms that started out as “brain fog”, confusion and not processing information. Over this past week I have had 4 “blackouts” where I get really dizzy, nauseous and then everything goes black and I come to on the floor. My boyfriend witnessed a couple of them and they tend to last about 30 seconds. I was finally able to get an appointment this afternoon and I’m just at a loss as for what to do or even what questions to ask. Hopefully some of you can give me a direction to go. I am a 26(f) with asthma and severe endometriosis previous to covid. At this point I don’t know what’s related and what’s not. I also still have fever spikes even after 11 weeks.
Sorry if this seemed unfocused or for any grammatical errors</t>
        </is>
      </c>
      <c r="D3564" t="n">
        <v>9</v>
      </c>
      <c r="E3564" t="n">
        <v>16</v>
      </c>
      <c r="F3564">
        <f>HYPERLINK("https://www.reddit.com/r/COVID19positive/comments/hwdlih/going_back_to_the_doctor_this_afternoon_advice_on/")</f>
        <v/>
      </c>
      <c r="G3564" t="inlineStr">
        <is>
          <t>2020-07-23 03:53:16</t>
        </is>
      </c>
      <c r="H3564" t="inlineStr">
        <is>
          <t>Tested Positive - Me</t>
        </is>
      </c>
    </row>
    <row r="3565">
      <c r="A3565" t="inlineStr">
        <is>
          <t>hwfjyz</t>
        </is>
      </c>
      <c r="B3565" t="inlineStr">
        <is>
          <t>Body Temperature during Coronavirus-Infection.</t>
        </is>
      </c>
      <c r="C3565" t="inlineStr">
        <is>
          <t>I got tested positive on friday, and i am still nearly asymptomatic. I dont feel fine because i am very anxious about my future thou. 
I read a lot about body temperatures, and one of the earliest signs is fever. Are there any people who had low body temperature? 
I have  36,3 Celsius/97.34 Fahrenheit constantly, i read that this is  too low. I also read that low temperature means that the virus can spread more easily inside my body, did anyone here had any experience with low body temperature?</t>
        </is>
      </c>
      <c r="D3565" t="n">
        <v>2</v>
      </c>
      <c r="E3565" t="n">
        <v>25</v>
      </c>
      <c r="F3565">
        <f>HYPERLINK("https://www.reddit.com/r/COVID19positive/comments/hwfjyz/body_temperature_during_coronavirusinfection/")</f>
        <v/>
      </c>
      <c r="G3565" t="inlineStr">
        <is>
          <t>2020-07-23 06:22:53</t>
        </is>
      </c>
      <c r="H3565" t="inlineStr">
        <is>
          <t>Tested Positive - Me</t>
        </is>
      </c>
    </row>
    <row r="3566">
      <c r="A3566" t="inlineStr">
        <is>
          <t>hwfo9i</t>
        </is>
      </c>
      <c r="B3566" t="inlineStr">
        <is>
          <t>My dad has tested positive for covid.</t>
        </is>
      </c>
      <c r="C3566" t="inlineStr">
        <is>
          <t>A few details regarding him:
\- Age: 62
\- Has no underlying disease except for eczema
\- Family has a history of diabetes however
\- Fairly healthy background (exercises, doesn't eat junk food)
I think he contracted the virus from a coworker in his factory. Symptoms started to appear about 10 days ago. Highest body temperature was recorded to be 39 celcius (102.2 F). He went to the doctor three days ago and received an MRI scan that showed a cloudy white area on his right lung. Right now his temperature has decreased to 37.1 celcius. Symptoms are fever and fatigue but no coughs. Doctor said that the worst has yet to pass.
I am extremely worried for him since I'm still in boarding school and cannot go back to my home country. I don't know what his odds are and I can't study for my exam tomorrow. I can't think of going on knowing that my dad has a chance to die. I've read many stories that shows many covid positive people have their situation turned very awry in just under 24 hours. I don't know what to do.</t>
        </is>
      </c>
      <c r="D3566" t="n">
        <v>2</v>
      </c>
      <c r="E3566" t="n">
        <v>9</v>
      </c>
      <c r="F3566">
        <f>HYPERLINK("https://www.reddit.com/r/COVID19positive/comments/hwfo9i/my_dad_has_tested_positive_for_covid/")</f>
        <v/>
      </c>
      <c r="G3566" t="inlineStr">
        <is>
          <t>2020-07-23 06:30:43</t>
        </is>
      </c>
      <c r="H3566" t="inlineStr">
        <is>
          <t>Tested Positive - Family</t>
        </is>
      </c>
    </row>
    <row r="3567">
      <c r="A3567" t="inlineStr">
        <is>
          <t>hwfojl</t>
        </is>
      </c>
      <c r="B3567" t="inlineStr">
        <is>
          <t>Does anyone’s brain feel swollen? It’s this weird feeling that as soon as I look to my sides or move my head, my brain feels like it jumps around my head and everything seems distort it. Anyone else?</t>
        </is>
      </c>
      <c r="C3567" t="inlineStr">
        <is>
          <t>It’s been 3 weeks with symptoms and I think I’ve had some seizures accompanied with this. I’ve had vertigo before the virus and it feels like this based on things becoming distort it. I’ve never had where my brain feels like this. It’s hard for me to form simple sentences or just think nowadays too. Anyone else?</t>
        </is>
      </c>
      <c r="D3567" t="n">
        <v>24</v>
      </c>
      <c r="E3567" t="n">
        <v>90</v>
      </c>
      <c r="F3567">
        <f>HYPERLINK("https://www.reddit.com/r/COVID19positive/comments/hwfojl/does_anyones_brain_feel_swollen_its_this_weird/")</f>
        <v/>
      </c>
      <c r="G3567" t="inlineStr">
        <is>
          <t>2020-07-23 06:31:13</t>
        </is>
      </c>
      <c r="H3567" t="inlineStr">
        <is>
          <t>Tested Positive</t>
        </is>
      </c>
    </row>
    <row r="3568">
      <c r="A3568" t="inlineStr">
        <is>
          <t>hwfvah</t>
        </is>
      </c>
      <c r="B3568" t="inlineStr">
        <is>
          <t>Tested positive, but boyfriend tested negative?</t>
        </is>
      </c>
      <c r="C3568" t="inlineStr">
        <is>
          <t>On july 11th I came into contact with someone who tested positive, I got tested on July 18th, results were positive. My boyfriend’s (we live together) results however were negative. The health department told us to assume he has it anyway and quarantine until July 25th. Later on I called the covid hotline and they said that because he was negative, they consider his day of exposure to be the last day we kissed/shared cups/etc and that he’ll need to quarantine until 8/2. Ive heard 3 different things for him now (health department said 7/25 twice, National covid hotline is saying 8/2). We don’t know which date to follow. Has anyone had a similar issue? 
They also told us not to retest because it could take up to 8 weeks for us to come back negative due to the antibodies, and his family is almost demanding us to retest before we leave quarantine. Has anyone else here not retested before returning to normal?</t>
        </is>
      </c>
      <c r="D3568" t="n">
        <v>1</v>
      </c>
      <c r="E3568" t="n">
        <v>8</v>
      </c>
      <c r="F3568">
        <f>HYPERLINK("https://www.reddit.com/r/COVID19positive/comments/hwfvah/tested_positive_but_boyfriend_tested_negative/")</f>
        <v/>
      </c>
      <c r="G3568" t="inlineStr">
        <is>
          <t>2020-07-23 06:42:30</t>
        </is>
      </c>
      <c r="H3568" t="inlineStr">
        <is>
          <t>Tested Positive - Me</t>
        </is>
      </c>
    </row>
    <row r="3569">
      <c r="A3569" t="inlineStr">
        <is>
          <t>hwfwda</t>
        </is>
      </c>
      <c r="B3569" t="inlineStr">
        <is>
          <t>I'm scared, I'm obese and almost certainly have it. What are my chances?</t>
        </is>
      </c>
      <c r="C3569" t="inlineStr">
        <is>
          <t>I don't have any heart problems, breathing problems,, diabetes, and my blood pressure rests at normal levels at rest but does get elevated sometimes. I'm so scared about my outlook, does anyone here have any advice or anecdotes?</t>
        </is>
      </c>
      <c r="D3569" t="n">
        <v>25</v>
      </c>
      <c r="E3569" t="n">
        <v>107</v>
      </c>
      <c r="F3569">
        <f>HYPERLINK("https://www.reddit.com/r/COVID19positive/comments/hwfwda/im_scared_im_obese_and_almost_certainly_have_it/")</f>
        <v/>
      </c>
      <c r="G3569" t="inlineStr">
        <is>
          <t>2020-07-23 06:44:21</t>
        </is>
      </c>
      <c r="H3569" t="inlineStr">
        <is>
          <t>Presumed Positive - From Test</t>
        </is>
      </c>
    </row>
    <row r="3570">
      <c r="A3570" t="inlineStr">
        <is>
          <t>hwgxdf</t>
        </is>
      </c>
      <c r="B3570" t="inlineStr">
        <is>
          <t>Do allergy meds negatively affect Covid outcomes?</t>
        </is>
      </c>
      <c r="C3570" t="inlineStr">
        <is>
          <t>I was exposed to Covid six days ago, and today my nose is running a lot. But, I have seasonal allergies and my nose runs like this about twice a week all summer long. I don’t have a fever or other symptoms. I’m assuming it’s fine to take a Claritin like I normally would? Did anyone’s doctor advise against taking allergy meds in case you had Covid?</t>
        </is>
      </c>
      <c r="D3570" t="n">
        <v>6</v>
      </c>
      <c r="E3570" t="n">
        <v>8</v>
      </c>
      <c r="F3570">
        <f>HYPERLINK("https://www.reddit.com/r/COVID19positive/comments/hwgxdf/do_allergy_meds_negatively_affect_covid_outcomes/")</f>
        <v/>
      </c>
      <c r="G3570" t="inlineStr">
        <is>
          <t>2020-07-23 07:47:40</t>
        </is>
      </c>
      <c r="H3570" t="inlineStr">
        <is>
          <t>Tested Positive - Friends</t>
        </is>
      </c>
    </row>
    <row r="3571">
      <c r="A3571" t="inlineStr">
        <is>
          <t>hwhd41</t>
        </is>
      </c>
      <c r="B3571" t="inlineStr">
        <is>
          <t>Is anyone feeling the emotional aftermath?</t>
        </is>
      </c>
      <c r="C3571" t="inlineStr">
        <is>
          <t>I tested positive for Covid-19 on the 25th of June. I was very very disciplined until I caught it from someone who appeared asymptomatic. I’ve fully recovered since, but the emotional aftermath is taking a toll. I was forced to work from home until further notice, only coming in once a month. My coworkers seem a little more afraid of me. I feel like my boyfriends family kinda blames me for catching Covid-19 prior to when we were all supposed to go on a Fourth of July trip that they all still went on and we had to stay back for obvious reasons.
I just feel incredibly guilty/anxious all the time right now. I feel guilty because there are actual people dying of this and I’m sad over a vacation/feeling like it’s my fault that we didn’t get to go. I feel anxious when people keep asking me “how are you?! Are you feeling okay?” My grandparents are asking for my bf and I to be tested “three more times prior to seeing them.” 
I’m just feeling overwhelmed 😔</t>
        </is>
      </c>
      <c r="D3571" t="n">
        <v>27</v>
      </c>
      <c r="E3571" t="n">
        <v>41</v>
      </c>
      <c r="F3571">
        <f>HYPERLINK("https://www.reddit.com/r/COVID19positive/comments/hwhd41/is_anyone_feeling_the_emotional_aftermath/")</f>
        <v/>
      </c>
      <c r="G3571" t="inlineStr">
        <is>
          <t>2020-07-23 08:13:19</t>
        </is>
      </c>
      <c r="H3571" t="inlineStr">
        <is>
          <t>Tested Positive - Friends</t>
        </is>
      </c>
    </row>
    <row r="3572">
      <c r="A3572" t="inlineStr">
        <is>
          <t>hwhva3</t>
        </is>
      </c>
      <c r="B3572" t="inlineStr">
        <is>
          <t>Asymptomatic for how long?</t>
        </is>
      </c>
      <c r="C3572" t="inlineStr">
        <is>
          <t>Hi everyone. 
I have been testing weekly since going back to work a month ago. I tested negative on July 6 and then positive on July 18. My boss has since tested negative. My mom (who lives with me) doesn’t have results yet. 
I do not have symptoms yet aside from some very light allergy type symptoms. I am afraid that the virus is wreaking havoc on my body unbeknownst to me. Given the timeline, is it likely I will remain asymptomatic? I am afraid of blood clots and silent pneumonia. I am afraid that my mom will become sick. So far no symptoms from her either and up until I tested positive we had been existing very closely. I cook for us and I drive as she doesn’t so we weren’t distancing up until I tested positive. 
What can I do to ensure we are not developing silent issues? We take vitamin c, d, b12 and zinc. We have been drinking hot teas sometimes green tea but most of the time chamomile. I make a lemon/ginger juice every week and we take a shot twice a day. We check our temperatures constantly so far normal. We also have a pulse oximeter so far normal as well. We drink plenty of water. As of now we distance. We have to share a bathroom but I disinfect after each use and I have my own disinfecting products so we aren’t sharing. Whenever I leave my room to use the bathroom I wear a mask. We have kept windows open and air on. I do have to cook as she doesn’t but I wear double mask and disinfect everything before and after use. I am trying to make meals that last so I am not constantly cooking. Any other advice? I am 32 and she is 57. We are both overweight but wince April started dieting and exercising and each lost about 20 pounds. We have continued to eat healthy during this. We don’t have high blood pressure or diabetes.  She does have fibromyalgia but is on medication for it. Thanks in advance!</t>
        </is>
      </c>
      <c r="D3572" t="n">
        <v>6</v>
      </c>
      <c r="E3572" t="n">
        <v>6</v>
      </c>
      <c r="F3572">
        <f>HYPERLINK("https://www.reddit.com/r/COVID19positive/comments/hwhva3/asymptomatic_for_how_long/")</f>
        <v/>
      </c>
      <c r="G3572" t="inlineStr">
        <is>
          <t>2020-07-23 08:41:35</t>
        </is>
      </c>
      <c r="H3572" t="inlineStr">
        <is>
          <t>Tested Positive - Me</t>
        </is>
      </c>
    </row>
    <row r="3573">
      <c r="A3573" t="inlineStr">
        <is>
          <t>hwigjg</t>
        </is>
      </c>
      <c r="B3573" t="inlineStr">
        <is>
          <t>Very Mild Case Timeline - 28/F</t>
        </is>
      </c>
      <c r="C3573" t="inlineStr">
        <is>
          <t>When I was speculating if I had Covid-19 or not, this thread was super helpful in encouraging me to get tested, so I thought I'd share my timeline now that I'm hopefully mostly recovered:
A group of 9 friends and I were together over July 4 weekend.
The group of friends had only been with each other, no crowded bars or other locations. We got a text on Tuesday, July 14 that one of the individuals had tested positive.
I showed my first symptom (though I didn't realize it was a symptom) on July 10.
Of our 9 person group:
* 3 tested positive (1 moderately sick \[first one to test positive\], 1 with mild symptoms resolving in a week or less \[his girlfriend\], 1 with mild symptoms resolving in around 2 weeks \[me\])
* 1 tested negative
* 1 did not test, did not show symptoms
* 4 did not test, had mild symptoms resolving in 1 week or less.
My husband had started to feel sick on July 5. We didn't really distance ourselves at all...shared food, slept together, etc. He experienced fatigue, night sweats, a slight fever (highest was 100.0 after a shower), loss of smell/taste, and a slight cough.
I showed my first symptom on Friday, July 10, so we think I most likely got it from him vs. over 4th July weekend.
Below is my personal timeline:
**Friday, July 10:**
1. Diarrhea. I thought this was super weird because I never have digestive issues, but other than that I felt fine and it resolved itself pretty quickly.
2. I also felt pretty tired after breakfast and laid down with my laptop to work instead of sitting at my desk.  Didn't actually nap though.
3. That evening my husband and I rode bikes and it felt like I was having to work harder than normal to keep up with him which is actually opposite of what is normal. Usually I have to slow down to let him keep up since I have a better bike than him. I chalked it up to wind and having not biked in a while.
**Saturday, July 11:**
1. Ticklish nose and some sneezing.
2. Felt a bit more tired than normal during my workout.
**Sunday, July 12:**
1. Sneezing.
2. Slight little cough with some phlegm.
**Monday, July 13**
1. Woke up with a headache both in my head and behind my eyes. Didn't resolve with drinking lots of water or having coffee. (Thought maybe I was dehydrated or needed caffeine)
2. 1 or 2 instances of diarrhea.
3. Started to notice my taste was off. Made a summer salad with balsamic dressing and it had red onion in there (both strong flavors) and it didn't taste right.
4. Felt phlegmy when running on treadmill, kept having to cough to clear my throat. (Controlled cough to clear throat vs. coughing cause I couldn't keep myself from coughing)
5. Felt more tired earlier in the day than usual (seemed like I'd hit a slump around 10-10:30am)
**Tuesday, July 14**
1. Same little headache behind my eyes - when I'd look up it was exacerbated.
2. Sneezy
3. 1 or 2 instances of diarrehea.
4. Complete loss of smell (I literally smelled some cajun seasoning and it smelled like nothing. Same thing with candles)
5. Got the text from a friend we were with that he had been having trouble breathing/felt sick and had tested positive.
**Wednesday, July 15**
1. Same complete loss of smell/taste.
2. Feeling more tired than normal when running on treadmill.
3. Little bit of brain fog.
\--This is the day I went and got tested--
**Thursday,  July 16**
1. No smell/taste
2. Hit a slump around 1pm and took a nap. This was the first time I got nervous and though that I was actually going to get sick. I NEVER am able to take naps - even if I feel tired, as soon as I lay down I'm back awake. But I actually fell asleep for probably a half hour.
3. Instead of feeling sneezy, I started feeling like I had water up my  nose/slight burn in my nose. My nose was never congested.
4. Little bit of brain fog. 
5. Got the text from the girlfriend of the friend who was sick that she was also positive but had almost no symptoms - just a runny nose and some sneezing.
**Friday, July 17**
1. No smell/taste
2. Burning/water up nose feeling
3. Little bit of brain fog.
4. Got tired in the afternoon and took another nap.
**Saturday, July 18 - Tuesday, July 21**
1. Smell/taste is at like 10%. (I could taste that a lemon slice was sour, and could faintly smell perfume and a candle)
2. No more late morning/early afternoon fatigue.
3. No more brain fog.
4. Still a bit of a burning/water up nose feeling.
5. Tuesday evening I started to feel like there was phlegm in my throat I needed to clear by clearing my throat or doing a little cough. Very very minor.
6. Sunday 7/19  afternoon I got the call that I had tested positive.
7. Got a text from a friend that we were with that she was negative.
**Wednesday, July 22**
1. Smell/taste is at 20%.
2. No more weird feelings in my nose.
3. Same feeling in throat.
**Thursday, July 23 (today)**
1. I'd say my smell and taste is at 60% today. I started doing hot tea before bed, turning on my humidifier, using a nasal spray, and taking 1 benedryl before bed and I think its helping.
2. Phlegmy feeling in throat is getting better.
I'd say overall I'm back at like 85%.
Conclusions:
* The symptoms of this were probably 1/2 as bad as the bad cold I get every year. Usually with my colds it will start with a sore throat, then itchy ears/throat, then stuffed up nose, then I'll have a terrible sounding cough that lasts for like a week. This felt less "severe".
   * For example - I worked out at normal intensity throughout my illness. Running intervals, weights, HIIT, etc. I just felt like it was maybe 10% more difficult. I only took 1 day off that I would have otherwise exercised and this was moreso because it was the day I got my positive result and had a minor "freakout". 
   * Still got up at 5am each day, slept normal 8-9 hours, ate normally, no trouble breathing etc. 
* However, this was NOT like a cold. At first when it started out, I thought it was allergies because it had been storming a lot around here and the dander was high. What really convinced me that it was COVID-19 (besides a positive test result) was the loss of smell with absolutely no nasal congestion. I have lost smell due to being congested, but never lost my smell from allergies. Also, the napping was a clue something was off.
   * So, even though my symptoms were less severe than a cold, they were just different and very out of character symptoms for me to have.
* I never had a fever throughout this experience. My temperature was between like 96.8-98.8 at any given time that I took it.
I had seen my mom on Tuesday the 14th. She got tested Sunday the 19th. She got her negative test result today. She has no symptoms.
I'm not at all trying to downplay this virus, I just want to share a testimonial for anyone who was like me - unsure, experiencing some mild things but otherwise going through life completely as normal with minimal interruptions, but wondering if they are infected.</t>
        </is>
      </c>
      <c r="D3573" t="n">
        <v>9</v>
      </c>
      <c r="E3573" t="n">
        <v>16</v>
      </c>
      <c r="F3573">
        <f>HYPERLINK("https://www.reddit.com/r/COVID19positive/comments/hwigjg/very_mild_case_timeline_28f/")</f>
        <v/>
      </c>
      <c r="G3573" t="inlineStr">
        <is>
          <t>2020-07-23 09:13:33</t>
        </is>
      </c>
      <c r="H3573" t="inlineStr">
        <is>
          <t>Tested Positive - Me</t>
        </is>
      </c>
    </row>
    <row r="3574">
      <c r="A3574" t="inlineStr">
        <is>
          <t>hwjhxz</t>
        </is>
      </c>
      <c r="B3574" t="inlineStr">
        <is>
          <t>My child is covid positive.</t>
        </is>
      </c>
      <c r="C3574" t="inlineStr">
        <is>
          <t>Just found out today my 7 year old daughter's covid test was positive. Today is Thursday:
Monday afternoon: I pick her up from her babysitter after work and she is complaining of a stomachache and sore throat. She has food allergies so I asked her what she ate. She said she ate a donut earlier in the day that may have had nuts on it. I figured the symptoms came from the donut and pretty much wrote them off for a few hours.
Monday night: around 9 pm my daughter was watching tv after acting uncharacteristically lethargic  all evening. I touched her arm and she felt warm. I take her temp and it is 99.5, a very mild fever.
Tuesday morning: she still has a low fever. I call in to work. She is now coughing and has a runny nose. I take her to get tested.
Tuesday evening: her fever is gone. Still coughing and with a runny nose.
Wednesday: no fever, still coughing 
Thursday: no fever, no cough, no symptoms at all. The doctor called this morning and said her test came back positive and that we need to quarantine for 14 days. 
Seriously this thing was super mild for her. I have no idea where she got it as we haven't been around anyone who has been sick. Now I'm worried for me... I find it highly unlikely that it wasn't passed to me seeing as we live together and I was caring for her.😞 I am 28 years old. Hoping I get off as easy as she did but know that its unlikely...</t>
        </is>
      </c>
      <c r="D3574" t="n">
        <v>45</v>
      </c>
      <c r="E3574" t="n">
        <v>35</v>
      </c>
      <c r="F3574">
        <f>HYPERLINK("https://www.reddit.com/r/COVID19positive/comments/hwjhxz/my_child_is_covid_positive/")</f>
        <v/>
      </c>
      <c r="G3574" t="inlineStr">
        <is>
          <t>2020-07-23 10:06:53</t>
        </is>
      </c>
      <c r="H3574" t="inlineStr">
        <is>
          <t>Tested Positive - Family</t>
        </is>
      </c>
    </row>
    <row r="3575">
      <c r="A3575" t="inlineStr">
        <is>
          <t>hwjpwe</t>
        </is>
      </c>
      <c r="B3575" t="inlineStr">
        <is>
          <t>Smell loss</t>
        </is>
      </c>
      <c r="C3575" t="inlineStr">
        <is>
          <t xml:space="preserve"> Hi guys, I hope your families and you walk through this. I had it in mid March, confirmed by a doctor. My rarest symptom was the loss of smell and taste, almost four months later I feel recovered but my smell still coming and go, I can smell strong odors and food still not tasting so much. Is anybody dealing with the same?</t>
        </is>
      </c>
      <c r="D3575" t="n">
        <v>5</v>
      </c>
      <c r="E3575" t="n">
        <v>9</v>
      </c>
      <c r="F3575">
        <f>HYPERLINK("https://www.reddit.com/r/COVID19positive/comments/hwjpwe/smell_loss/")</f>
        <v/>
      </c>
      <c r="G3575" t="inlineStr">
        <is>
          <t>2020-07-23 10:18:13</t>
        </is>
      </c>
      <c r="H3575" t="inlineStr">
        <is>
          <t>Presumed Positive - From Doctor</t>
        </is>
      </c>
    </row>
    <row r="3576">
      <c r="A3576" t="inlineStr">
        <is>
          <t>hwkgmx</t>
        </is>
      </c>
      <c r="B3576" t="inlineStr">
        <is>
          <t>Symptoms after 30 days?</t>
        </is>
      </c>
      <c r="C3576" t="inlineStr">
        <is>
          <t>It’s been 30 days since my exposure. I tested positive on July 6th and I have been completely asymptotic not a cough or fever or headache! I’ve felt great till today I woke up with a dry sore throat and I’m drinking water but it’s getting worse! I’ve already been cleared to go back to work by my doctor and my local heath department I have yet to get a negative swab test I got another swab test this morning. So confused!!</t>
        </is>
      </c>
      <c r="D3576" t="n">
        <v>4</v>
      </c>
      <c r="E3576" t="n">
        <v>10</v>
      </c>
      <c r="F3576">
        <f>HYPERLINK("https://www.reddit.com/r/COVID19positive/comments/hwkgmx/symptoms_after_30_days/")</f>
        <v/>
      </c>
      <c r="G3576" t="inlineStr">
        <is>
          <t>2020-07-23 10:56:41</t>
        </is>
      </c>
      <c r="H3576" t="inlineStr">
        <is>
          <t>Tested Positive - Me</t>
        </is>
      </c>
    </row>
    <row r="3577">
      <c r="A3577" t="inlineStr">
        <is>
          <t>hwkgpl</t>
        </is>
      </c>
      <c r="B3577" t="inlineStr">
        <is>
          <t>Going to explain my current symptoms/experience. Waiting my test results. What are the chances I will be positive?</t>
        </is>
      </c>
      <c r="C3577" t="inlineStr">
        <is>
          <t>For starters: two members of my fiancé’s family have confirmed tested positive. Both seem to be doing fine at this point, but she has certainly been exposed. My fiancé has lost her sense of taste, had some typical cold symptoms and had some trouble breathing one day but is fine now and seems to be doing perfectly fine except she still can’t taste. She’s currently awaiting her test results also.
I’m 24 y/o male, 5’8” 140ish exercise a lot pretty healthy overall. So when I hear my fiancé’s family has been hit and she’s been exposed I’m obviously concerned. I was feeling fine on Monday but still quarantined myself. Went for a run Monday night and felt great while running. Came back, showered and when I got out of the shower I started getting shivers and I could feel my body warming up. By the time I went to bed I knew I had a fever but didn’t have a thermometer at the time.
I got very little sleep Monday night. I was freezing trying to fall asleep and woke up feeling like I was in a furnace. I was able to get an appointment with a doctor and I got tested Tuesday morning. It’ll be 4-5 days until I get my results. Tuesday was mostly brutal. I had a fever in the 102-103 range all day. An awful headache and body ache but no other symptoms. I was just drained all day long, I couldn’t even have the energy to focus on watching a tv show or movie. At this point I’m convinced I have covid. I took Tylenol throughout the day and some NyQuil at night to get a good night of sleep.
Woke up Wednesday and felt much better. Fever was gone and most of the body aches were also. I could tell I had some congestion, I would force myself to cough some and I’d have some mucus or whatever come up when coughing. But still felt a million times better Wednesday even though I still didn’t have much of an appetite. I still was very fatigued and had no energy, taking a shower was a workout itself. I was sick on my stomach just a little bit yesterday also. Didn’t take any medicine all day except some NyQuil again at night.
Woke up today on Thursday and feel like a new man. Appetite back, don’t feel like I have any congestion anymore, still no fever, headache, body aches, etc. My energy seems to be restoring itself too. 
On Tuesday I was convinced I had covid, as that was the most wicked fever I can ever remember myself having and the body aches were horrific. I’ve never felt so sick and recovered from anything so quickly in just 48 hours ESPECIALLY with no antibiotics or anything. I of course know covid can be so wicked because you will think you’re finally recovering then get smacked again so I’m not letting my guard down. But what are the chances my test will come back positive based off these symptoms?</t>
        </is>
      </c>
      <c r="D3577" t="n">
        <v>1</v>
      </c>
      <c r="E3577" t="n">
        <v>4</v>
      </c>
      <c r="F3577">
        <f>HYPERLINK("https://www.reddit.com/r/COVID19positive/comments/hwkgpl/going_to_explain_my_current_symptomsexperience/")</f>
        <v/>
      </c>
      <c r="G3577" t="inlineStr">
        <is>
          <t>2020-07-23 10:56:49</t>
        </is>
      </c>
      <c r="H3577" t="inlineStr">
        <is>
          <t>Presumed Positive - From Test</t>
        </is>
      </c>
    </row>
    <row r="3578">
      <c r="A3578" t="inlineStr">
        <is>
          <t>hwkrlr</t>
        </is>
      </c>
      <c r="B3578" t="inlineStr">
        <is>
          <t>I tested negative in my test but I still think I'm positive...there's no way I'm not.</t>
        </is>
      </c>
      <c r="C3578" t="inlineStr">
        <is>
          <t>Hard of breathing main one
One coughing 
I couldn't eat for like 5 days i threw up what I did
Confusion
It's been two weeks and the only symptoms are constant nausea a cough and confusion and short of breath under ANY sort of exercise like low intensity.
Like there's no way I'm negative. Also they said they had issues with lab and gave me results late.</t>
        </is>
      </c>
      <c r="D3578" t="n">
        <v>2</v>
      </c>
      <c r="E3578" t="n">
        <v>14</v>
      </c>
      <c r="F3578">
        <f>HYPERLINK("https://www.reddit.com/r/COVID19positive/comments/hwkrlr/i_tested_negative_in_my_test_but_i_still_think_im/")</f>
        <v/>
      </c>
      <c r="G3578" t="inlineStr">
        <is>
          <t>2020-07-23 11:12:37</t>
        </is>
      </c>
      <c r="H3578" t="inlineStr">
        <is>
          <t>Presumed Positive - From Test</t>
        </is>
      </c>
    </row>
    <row r="3579">
      <c r="A3579" t="inlineStr">
        <is>
          <t>hwkwqw</t>
        </is>
      </c>
      <c r="B3579" t="inlineStr">
        <is>
          <t>Tested Positive On Jul 16</t>
        </is>
      </c>
      <c r="C3579" t="inlineStr">
        <is>
          <t xml:space="preserve">Ive been sick with Covid since Monday July 13 started feeling better and woke up worse the last two days do you guys think I could be getting worse or is my body just recovering from the virus ? I havent had a fever or headaches in a wile
Edit I woke up with my chest feeling heavy and it hurts  to take deep breaths as well as coughing spells </t>
        </is>
      </c>
      <c r="D3579" t="n">
        <v>0</v>
      </c>
      <c r="E3579" t="n">
        <v>18</v>
      </c>
      <c r="F3579">
        <f>HYPERLINK("https://www.reddit.com/r/COVID19positive/comments/hwkwqw/tested_positive_on_jul_16/")</f>
        <v/>
      </c>
      <c r="G3579" t="inlineStr">
        <is>
          <t>2020-07-23 11:20:03</t>
        </is>
      </c>
      <c r="H3579" t="inlineStr">
        <is>
          <t>Tested Positive - Me</t>
        </is>
      </c>
    </row>
    <row r="3580">
      <c r="A3580" t="inlineStr">
        <is>
          <t>hwm06t</t>
        </is>
      </c>
      <c r="B3580" t="inlineStr">
        <is>
          <t>Tested Positive - Mild Case</t>
        </is>
      </c>
      <c r="C3580" t="inlineStr">
        <is>
          <t>Don't be overly scared, follow doctors orders. Listen to medical professionals.
I was scared with anxiety the day i tested because of all the negative things i heard.
Don't let it get you, you will get through this i hope.
&amp;amp;#x200B;
Time line.
July 8th - Diarrhea
July 9th - Mild sore throat
July 10-12 - Sore throat dry cough 
July 13th - Started loosing Sense of Smell
July 14th-15 - Lost all sense of Smell and taste
July 15th - Got tested ordered to stay home till test results
July 15th-20th Weird body issues, bouts of diarrhea weakneess, intolerance to heat.
July 20th to now, felt normal mostly.
July 23rd results came in tested positive, told i was fine to go back to life as normal after 3 days of no symptoms.</t>
        </is>
      </c>
      <c r="D3580" t="n">
        <v>16</v>
      </c>
      <c r="E3580" t="n">
        <v>8</v>
      </c>
      <c r="F3580">
        <f>HYPERLINK("https://www.reddit.com/r/COVID19positive/comments/hwm06t/tested_positive_mild_case/")</f>
        <v/>
      </c>
      <c r="G3580" t="inlineStr">
        <is>
          <t>2020-07-23 12:15:06</t>
        </is>
      </c>
      <c r="H3580" t="inlineStr">
        <is>
          <t>Tested Positive - Me</t>
        </is>
      </c>
    </row>
    <row r="3581">
      <c r="A3581" t="inlineStr">
        <is>
          <t>hwm6dd</t>
        </is>
      </c>
      <c r="B3581" t="inlineStr">
        <is>
          <t>COVID Recovery - Ongoing issues with exertion?</t>
        </is>
      </c>
      <c r="C3581" t="inlineStr">
        <is>
          <t>I am feeling slight fatigue three months post-COVID diagnosis. It's definitely lingering but I am lucky that it isn't severely impacting my day-to-day life. I am experiencing a similar issue that I am having a hard time finding any medical or scientific reporting on (probably because the search terms are pretty similar to the generic 'fatigue' question) and I am curious if others have had this experience or if anyone has read anything about this phenomenon. 
I have begun re-introducing working out into my daily life since COVID over the last month. Prior to this, I was able to go on pretty long (5+ mile walks) and do short bike rides (under 2 miles) without issue, but neither of those activities really get the heart rate up and it was always very casual activity. 
Anyway, I have done three 'intense' HIIT workouts over the last three weeks. After each workout, I am fatigued to the point of exhaustion and I have chest tightness like I did during COVID for about 24 hours after the workout. The first and second incidents I wrote off as being out of shape after so much time at home, and I sort of assumed I was imagining some of the chest/breathing sensation as an after-effect of having to run in a mask. But after this third incident, I am thinking that it is definitely COVID-related. My heart rate is near that 180 exertion point for at least 30 minutes during these workouts. I have no issue getting going or feeling too fatigued to try to workout, but the lingering after effects are very strange. 
In sum, I am experiencing a major, severe uptick in feelings of fatigue and exhaustion lasting about a day after periods of serious physical exertion. So, it's different than the general 'fatigue' that others have reported. 
Does this sound familiar to anyone?</t>
        </is>
      </c>
      <c r="D3581" t="n">
        <v>5</v>
      </c>
      <c r="E3581" t="n">
        <v>11</v>
      </c>
      <c r="F3581">
        <f>HYPERLINK("https://www.reddit.com/r/COVID19positive/comments/hwm6dd/covid_recovery_ongoing_issues_with_exertion/")</f>
        <v/>
      </c>
      <c r="G3581" t="inlineStr">
        <is>
          <t>2020-07-23 12:24:08</t>
        </is>
      </c>
      <c r="H3581" t="inlineStr">
        <is>
          <t>Tested Positive - Me</t>
        </is>
      </c>
    </row>
    <row r="3582">
      <c r="A3582" t="inlineStr">
        <is>
          <t>hwm8vs</t>
        </is>
      </c>
      <c r="B3582" t="inlineStr">
        <is>
          <t>anybody have a soar throat/swollen glands as post viral fatigue symptoms?</t>
        </is>
      </c>
      <c r="C3582" t="inlineStr">
        <is>
          <t>I got diagnosed June 20th and I was only really sick the first 5 days except for the fatigue that everybody is talking about which has lingered. I work a manual labor job that I may have went to hard at the past couple weeks, now i have worse fatigue, soar throat, and swollen glands that haven't gone away for several days despite all my efforts (been laying in bed most of the day, meditating for literally hours, and drinking hot tea like a crack head) Anybody else have a sore throat after they've healed? Debating going to urgent care but not sure what they would do..I'm just afraid it's another virus like mono (I have chronic mono also, meaning it can be triggered) and not just post viral symptoms..</t>
        </is>
      </c>
      <c r="D3582" t="n">
        <v>6</v>
      </c>
      <c r="E3582" t="n">
        <v>8</v>
      </c>
      <c r="F3582">
        <f>HYPERLINK("https://www.reddit.com/r/COVID19positive/comments/hwm8vs/anybody_have_a_soar_throatswollen_glands_as_post/")</f>
        <v/>
      </c>
      <c r="G3582" t="inlineStr">
        <is>
          <t>2020-07-23 12:27:46</t>
        </is>
      </c>
      <c r="H3582" t="inlineStr">
        <is>
          <t>Tested Positive - Me</t>
        </is>
      </c>
    </row>
    <row r="3583">
      <c r="A3583" t="inlineStr">
        <is>
          <t>hwm9e9</t>
        </is>
      </c>
      <c r="B3583" t="inlineStr">
        <is>
          <t>How likely is it to test positive 2 weeks after your initial test?</t>
        </is>
      </c>
      <c r="C3583" t="inlineStr">
        <is>
          <t>I’ve seen a lot on here about how covid tests can’t differentiate between dead virus cells and alive ones, but how probable is it to actually get a positive test even when you’re not contagious anymore? I’m just wondering if I should play it safe until I test negative or if I can return to society safely now.</t>
        </is>
      </c>
      <c r="D3583" t="n">
        <v>2</v>
      </c>
      <c r="E3583" t="n">
        <v>4</v>
      </c>
      <c r="F3583">
        <f>HYPERLINK("https://www.reddit.com/r/COVID19positive/comments/hwm9e9/how_likely_is_it_to_test_positive_2_weeks_after/")</f>
        <v/>
      </c>
      <c r="G3583" t="inlineStr">
        <is>
          <t>2020-07-23 12:28:30</t>
        </is>
      </c>
      <c r="H3583" t="inlineStr">
        <is>
          <t>Tested Positive - Me</t>
        </is>
      </c>
    </row>
    <row r="3584">
      <c r="A3584" t="inlineStr">
        <is>
          <t>hwnabf</t>
        </is>
      </c>
      <c r="B3584" t="inlineStr">
        <is>
          <t>Burn out or lingering covid symptoms? It's been 12 weeks since I tested positive.</t>
        </is>
      </c>
      <c r="C3584" t="inlineStr">
        <is>
          <t>It's been 12 weeks since I tested positive. While most would say my case was mild, I'm still suffering and was wondering if anyone out there is going through the same thing...
First off, anosmia is still a struggle. I can taste 60% of the time but smell is still extremely muted and I'd rate it at 20%.
My biggest concern is elevated blood pressure and chest pains... Spiked 165/103 a week ago which landed me in the emergency room. It felt as if I was on the verge of a heart attack. Chest xray clear, ECG normal and no unusual markers in my blood tests. Radiologist reported that they could not rule out viral pneumonia from the chest xray but I went home. ER doc said that it must just be post viral inflammation causing all of this. 
I have a sharp stabbing pain in my upper chest CONSTANTLY. I feel out of breath if I talk for too long, I'm extremely forgetful and I'm tired all the time. My GP thinks it's just anxiety causing these symptoms and I'm receiving treatment for anxiety now (typical anxiety medicine and beta blockers). 
I have an extremely stressful job which I returned to 3 weeks after testing positive. I haven't had the luxury of "taking it easy" in the recovery process, worked a few hours everyday while in quarantine and I wonder if what I'm experiencing is actually work related burnnout more than lingering covid side effects.
Can anyone relate to what I'm going through?</t>
        </is>
      </c>
      <c r="D3584" t="n">
        <v>3</v>
      </c>
      <c r="E3584" t="n">
        <v>5</v>
      </c>
      <c r="F3584">
        <f>HYPERLINK("https://www.reddit.com/r/COVID19positive/comments/hwnabf/burn_out_or_lingering_covid_symptoms_its_been_12/")</f>
        <v/>
      </c>
      <c r="G3584" t="inlineStr">
        <is>
          <t>2020-07-23 13:20:51</t>
        </is>
      </c>
      <c r="H3584" t="inlineStr">
        <is>
          <t>Tested Positive - Me</t>
        </is>
      </c>
    </row>
    <row r="3585">
      <c r="A3585" t="inlineStr">
        <is>
          <t>hwnjf8</t>
        </is>
      </c>
      <c r="B3585" t="inlineStr">
        <is>
          <t>Not sure if false negative or stomach bug</t>
        </is>
      </c>
      <c r="C3585" t="inlineStr">
        <is>
          <t>I recently got tested but the test came negative, the doctors however are treating this as if It was a false negative to be safe though. I’m not sure if this is a simple stomach bug or COVID, I show signs for both such as diarrhea, abdominal pain, vomiting whenever I eat anything, nausea, occasional muscle pain, and a low grade to sometimes high grade fever. I’m an 18 y/o male with type-1 diabetes and I’m not sure whether this is COVID or just a stomach bug, any input would be much appreciated.</t>
        </is>
      </c>
      <c r="D3585" t="n">
        <v>2</v>
      </c>
      <c r="E3585" t="n">
        <v>10</v>
      </c>
      <c r="F3585">
        <f>HYPERLINK("https://www.reddit.com/r/COVID19positive/comments/hwnjf8/not_sure_if_false_negative_or_stomach_bug/")</f>
        <v/>
      </c>
      <c r="G3585" t="inlineStr">
        <is>
          <t>2020-07-23 13:34:06</t>
        </is>
      </c>
      <c r="H3585" t="inlineStr">
        <is>
          <t>Presumed Positive - From Doctor</t>
        </is>
      </c>
    </row>
    <row r="3586">
      <c r="A3586" t="inlineStr">
        <is>
          <t>hwnwa9</t>
        </is>
      </c>
      <c r="B3586" t="inlineStr">
        <is>
          <t>Positive and then negative three days later?</t>
        </is>
      </c>
      <c r="C3586" t="inlineStr">
        <is>
          <t>Hi everyone. On July 6 I tested negative for covid. On July 18 I took another test. On July 20 I got the results and it was positive. That afternoon my doctor had me test again. Those results just came back and it’s negative. Is it possible I was exposed shortly before the 6, didn’t have enough virus in me to show up for my test on the 6th, had it for those two weeks and then went away by Monday the 20th?
So confused! No symptoms except maybe feeling a little sick last week.</t>
        </is>
      </c>
      <c r="D3586" t="n">
        <v>1</v>
      </c>
      <c r="E3586" t="n">
        <v>2</v>
      </c>
      <c r="F3586">
        <f>HYPERLINK("https://www.reddit.com/r/COVID19positive/comments/hwnwa9/positive_and_then_negative_three_days_later/")</f>
        <v/>
      </c>
      <c r="G3586" t="inlineStr">
        <is>
          <t>2020-07-23 13:54:00</t>
        </is>
      </c>
      <c r="H3586" t="inlineStr">
        <is>
          <t>Tested Positive - Me</t>
        </is>
      </c>
    </row>
    <row r="3587">
      <c r="A3587" t="inlineStr">
        <is>
          <t>hwoyon</t>
        </is>
      </c>
      <c r="B3587" t="inlineStr">
        <is>
          <t>False-Positive</t>
        </is>
      </c>
      <c r="C3587" t="inlineStr">
        <is>
          <t>Has anyone gotten positive results and then got retested and it came back negative. I only ask because I went to the ER after Gallbladder surgery the previous day, i had severe abdominal pain and a temperature. They basically dismissed my surgery and said it was probably covid. Coincidentally the day after my surgery? Well they told me that I would recieve results in 2-5 days. Whats odd is they called back in less than 20 hours claiming I had covid. I asked if I could be retested at a different Facility and they said yes. So I get retested tomorrow. I'll still follow quarantine restrictions (which I already have been doing). I was just curious if anyone else has gotten suspicious, retested, and got a negative. That hospital in particular has really bad ratings and after surgery and the ER visit yesterday I will not being going to that hospital anymore.</t>
        </is>
      </c>
      <c r="D3587" t="n">
        <v>1</v>
      </c>
      <c r="E3587" t="n">
        <v>20</v>
      </c>
      <c r="F3587">
        <f>HYPERLINK("https://www.reddit.com/r/COVID19positive/comments/hwoyon/falsepositive/")</f>
        <v/>
      </c>
      <c r="G3587" t="inlineStr">
        <is>
          <t>2020-07-23 14:54:23</t>
        </is>
      </c>
      <c r="H3587" t="inlineStr">
        <is>
          <t>Tested Positive - Me</t>
        </is>
      </c>
    </row>
    <row r="3588">
      <c r="A3588" t="inlineStr">
        <is>
          <t>hwp2r2</t>
        </is>
      </c>
      <c r="B3588" t="inlineStr">
        <is>
          <t>My spouse just tested positive what now??!</t>
        </is>
      </c>
      <c r="C3588" t="inlineStr">
        <is>
          <t>My gf just tested positive and she’s freaking out lost her sense of smell she’s having breathing issues and feeling fatigued. No fever or cough. She went to the hospital rather than staying home to rest. Not sure which is better. I would think staying home until things get worse hoping they didn’t. What should I do now??? Or expect. If she gets back home obviously isolate but what can I do to help her feel better?? Better the symptoms and get her through this?? Please help. She honestly thinks she won’t make it and breaks my heart.</t>
        </is>
      </c>
      <c r="D3588" t="n">
        <v>16</v>
      </c>
      <c r="E3588" t="n">
        <v>18</v>
      </c>
      <c r="F3588">
        <f>HYPERLINK("https://www.reddit.com/r/COVID19positive/comments/hwp2r2/my_spouse_just_tested_positive_what_now/")</f>
        <v/>
      </c>
      <c r="G3588" t="inlineStr">
        <is>
          <t>2020-07-23 15:00:36</t>
        </is>
      </c>
      <c r="H3588" t="inlineStr">
        <is>
          <t>Tested Positive - Family</t>
        </is>
      </c>
    </row>
    <row r="3589">
      <c r="A3589" t="inlineStr">
        <is>
          <t>hwqorw</t>
        </is>
      </c>
      <c r="B3589" t="inlineStr">
        <is>
          <t>Day 14. Getting better</t>
        </is>
      </c>
      <c r="C3589" t="inlineStr">
        <is>
          <t>The fever and body aches stopped a couple of days ago. The intensity and frequency of coughs went down. I still have diarrhea once a day.</t>
        </is>
      </c>
      <c r="D3589" t="n">
        <v>8</v>
      </c>
      <c r="E3589" t="n">
        <v>4</v>
      </c>
      <c r="F3589">
        <f>HYPERLINK("https://www.reddit.com/r/COVID19positive/comments/hwqorw/day_14_getting_better/")</f>
        <v/>
      </c>
      <c r="G3589" t="inlineStr">
        <is>
          <t>2020-07-23 16:31:07</t>
        </is>
      </c>
      <c r="H3589" t="inlineStr">
        <is>
          <t>Tested Positive - Me</t>
        </is>
      </c>
    </row>
    <row r="3590">
      <c r="A3590" t="inlineStr">
        <is>
          <t>hwqqjx</t>
        </is>
      </c>
      <c r="B3590" t="inlineStr">
        <is>
          <t>Just found out</t>
        </is>
      </c>
      <c r="C3590" t="inlineStr">
        <is>
          <t>I just got tested positive but I don’t feel anything at all except for my lost of smell. What do I expect from this? Is this barely the beginning of it? I feel absolutely fine and okay . If anyone can help me with this situation you would be a lifesaver. Thank you.</t>
        </is>
      </c>
      <c r="D3590" t="n">
        <v>3</v>
      </c>
      <c r="E3590" t="n">
        <v>9</v>
      </c>
      <c r="F3590">
        <f>HYPERLINK("https://www.reddit.com/r/COVID19positive/comments/hwqqjx/just_found_out/")</f>
        <v/>
      </c>
      <c r="G3590" t="inlineStr">
        <is>
          <t>2020-07-23 16:34:00</t>
        </is>
      </c>
      <c r="H3590" t="inlineStr">
        <is>
          <t>Tested Positive</t>
        </is>
      </c>
    </row>
    <row r="3591">
      <c r="A3591" t="inlineStr">
        <is>
          <t>hwqug8</t>
        </is>
      </c>
      <c r="B3591" t="inlineStr">
        <is>
          <t>Two tests, Two Days Apart, Two DIFFERENT Results</t>
        </is>
      </c>
      <c r="C3591" t="inlineStr">
        <is>
          <t xml:space="preserve"> **😨😩😨This is crazy!** My boyfriend, my daughter and I all took **self-administered short swab tests at one testing site** last Tuesday. My boyfriend went to a **SECOND testing site on last Friday** thinking he would get his results back quicker result.  
At the **second testing site they use the long swab up the nose administered by a medical professional**.  
**This Monday** we all got results that our results were **negative from the first site**.  
**Today he got a result from the second testing site that he was positive.**🤯  
Now I'm questioning the **reliability of the self administered tests or if few days made the difference in his viral load being high enough to show up on the second test?**  
I'm also wondering if my daughter and **I need to be retested** and get the long swab test.  
*Background:  My boyfriend lives with his aunt who tested positive last Tuesday, 7/14.  We tested 7/15 and he tested again 7/17.  He and I haven't seen each other since 4th of July weekend.*</t>
        </is>
      </c>
      <c r="D3591" t="n">
        <v>2</v>
      </c>
      <c r="E3591" t="n">
        <v>5</v>
      </c>
      <c r="F3591">
        <f>HYPERLINK("https://www.reddit.com/r/COVID19positive/comments/hwqug8/two_tests_two_days_apart_two_different_results/")</f>
        <v/>
      </c>
      <c r="G3591" t="inlineStr">
        <is>
          <t>2020-07-23 16:40:09</t>
        </is>
      </c>
      <c r="H3591" t="inlineStr">
        <is>
          <t>Tested Positive - Family</t>
        </is>
      </c>
    </row>
    <row r="3592">
      <c r="A3592" t="inlineStr">
        <is>
          <t>hwqy7i</t>
        </is>
      </c>
      <c r="B3592" t="inlineStr">
        <is>
          <t>I have covid and i'm bored</t>
        </is>
      </c>
      <c r="C3592" t="inlineStr">
        <is>
          <t>I got the rona.  I work at a testing site, so perhaps it was bound to happen.  Really grateful that my experience so far has been very mild.  My only symptoms are a little fatigue and I've lost my senses of smell and taste.  I've been in my room for the past 6 days, 8 more to go, and I'm starting to lose it.  Spent most of the past week watching movies and tv, trying to read Station Eleven (terrifying but such a good book) and currently blasting a 2000's angst playlist at top volume.  Looking to connect with fellow housebound individuals.  What are you doing to pass the time? It's lonely out here.  Please say hello :)
Edit: Additionally, for anyone who has recovered, how long did it take for your sense of smell to return?</t>
        </is>
      </c>
      <c r="D3592" t="n">
        <v>70</v>
      </c>
      <c r="E3592" t="n">
        <v>93</v>
      </c>
      <c r="F3592">
        <f>HYPERLINK("https://www.reddit.com/r/COVID19positive/comments/hwqy7i/i_have_covid_and_im_bored/")</f>
        <v/>
      </c>
      <c r="G3592" t="inlineStr">
        <is>
          <t>2020-07-23 16:46:22</t>
        </is>
      </c>
      <c r="H3592" t="inlineStr">
        <is>
          <t>Tested Positive - Me</t>
        </is>
      </c>
    </row>
    <row r="3593">
      <c r="A3593" t="inlineStr">
        <is>
          <t>hwqyrk</t>
        </is>
      </c>
      <c r="B3593" t="inlineStr">
        <is>
          <t>Finally Negative After 13 Days!</t>
        </is>
      </c>
      <c r="C3593" t="inlineStr">
        <is>
          <t>Today I finally tested negative! I am healthy 21 year old, I stayed mainly asymptomatic. As soon as I found out my result I went for a light run and felt like if nothing had happened. I still think everyone should take this seriously, but I think that some people might be over-worrying. Without a doubt, this virus affects some people very hard, I'm just hoping that my experience calms some people down who need it .</t>
        </is>
      </c>
      <c r="D3593" t="n">
        <v>16</v>
      </c>
      <c r="E3593" t="n">
        <v>4</v>
      </c>
      <c r="F3593">
        <f>HYPERLINK("https://www.reddit.com/r/COVID19positive/comments/hwqyrk/finally_negative_after_13_days/")</f>
        <v/>
      </c>
      <c r="G3593" t="inlineStr">
        <is>
          <t>2020-07-23 16:47:19</t>
        </is>
      </c>
      <c r="H3593" t="inlineStr">
        <is>
          <t>Tested Positive - Me</t>
        </is>
      </c>
    </row>
    <row r="3594">
      <c r="A3594" t="inlineStr">
        <is>
          <t>hwr0w2</t>
        </is>
      </c>
      <c r="B3594" t="inlineStr">
        <is>
          <t>Potential Cure for Some Long Haulers w/ Post-Viral Fatigue or Chronic Fatigue Syndrome</t>
        </is>
      </c>
      <c r="C3594" t="inlineStr">
        <is>
          <t>**TL;DR:** Gently massage your scalp, the back of your head and your neck to facilitate lymphatic drainage from your brain stem. Read the rest of the post to supplement with a regiment of supporting practices for full recovery. That's it!
**Related Research Article:** [https://www.ncbi.nlm.nih.gov/pmc/articles/PMC7320866/](https://www.ncbi.nlm.nih.gov/pmc/articles/PMC7320866/)
**Post Contents:** First I'll detail the technique, and supporting practices so you can get started then present my story. Due to the low-cost and low-risk nature of this technique, I believe it will be helpful to disseminate this information. Even if it does not help everyone, it will undoubtedly help some long term patients like myself tremendously and save them precious time, money, worry, and life.
**Technique**
Main technique is to massage your scalp with both hands in a circular motion, starting from the front, moving towards the back, and down your neck. Do this when you wake up, in the middle of the day around lunch, in the evening around dinner, and before you go to bed. Also do it if you suffer from insomnia and wake up in the middle of the night. 5 minutes will be enough for most cases. Be gentle and pay attention to your sensations! Do not continue if you feel any pain or a headache. The idea is not to "force" anything, but create small pressure changes in the tiny space between your scalp and your skull that will in turn facilitate lymphatic drainage from your brain.
**Supporting Practices**
Above technique was what created a breakthrough for me and most of my symptoms subsided within 2 days and never returned. For more advanced cases, recovery may take longer but you should be feeling an improvement within the first week. I also practiced the following and I recommend setting aside 1-2 hours a day for the supporting practices to continue to nurture your recovery:
1. Dry brush your face and body to support lymphatic drainage, you can find guides online if you search for "dry brushing". For additional pressure, use a "jade roller" on your face. For facilitating lymphatic flow in the body, use a trigger point massage tool such as the "back buddy" to gently massage your whole body. These tools usually come with guides and you can find help online as well. It also helps to use a foam roller on your legs. The goal is to facilitate the movement of fluids along passages constricted due to inflammation.
2. Follow a simple beginner level yoga sequence to also facilitate lymphatic drainage and rehabilitate and vitalize muscles, the sequence should include all beginner poses, including prone, inverted, and standing positions.
3. Follow a deep conscious breathing exercise for 5-10 minutes a day to rehabilitate lungs and oxygenate the blood
4. Follow step #3 with breathing meditation to calm down the central nervous system and reduce anxiety. Start in a comfortable sitting posture where your knees are below your hips (\*avoid\* the meditation posture commonly displayed in the media where the knees are above the hips due to a lack of cushion or support), keep your attention focused on your out breath, letting your attention dissolve into the space and letting your body breathe in naturally. If you find yourself wandering in thoughts, even for a long time, don't judge, just gently bring your attention back to your out breath. Starting with 10 minutes, increase this 5 minutes at a time as you are comfortable to a 30 minute daily practice.
5. Eat healthily. Diet is personal but follow common sense. This is what helped me: Absolutely avoid processed sugar (fresh fruit is fine, juice is not) and alcohol. Eliminate or reduce caffeine, unless it helps with brain fog, in which case try green tea, or whole bean coffee instead of processed powders. Drink a glass of celery juice daily with lemon or lime to balance your PH levels. If you're not intolerant, experiment with small amounts of probiotics as you heal to support your gut bacteria cultures. Try to cook and eat at home, both to avoid risk of re-infection and also to control what goes in your food.
6. Hydrate constantly! The inflammation of your Central Nervous System is drying you out, starting from your brain outwards. Chug water. You should be peeing every hour. If not, you're not doing enough. Track water consumption if it's helpful with an app. Use high quality electrolyte powder, but don't overdo electrolytes, 2-3 packets a day should be enough.
7. Review and reduce supplements! Google "side effects" for each supplement you are taking. Eliminate anything that has potential kidney, lymph node, gastrointestinal side effects. This includes excess Vitamin-D! You don't need to keep taking 5000 IUs a day unless you live under a rock and never see the light of day. Get some sun instead and go outside, stay away from people, but close to nature and get as much sun as possible.
8. Do not exercise heavily! Your yoga practice should be enough, and you can increase intensity as you get better. If you work out hard one day, and feel sicker in the next day or even the day after: Connect the dots! You pushed yourself too hard. Rest it off and get back to a lighter load.
9. Do not stay in hot shower or bath for too long. Heat isn't the best for lymphatic drainage. What is best is to alternate between hot and cold. So when you finish your hot shower, stay under as cold water as you can for at least 30 seconds, trying to go towards 90 seconds per shower.
10. Create a supportive environment for yourself. Take responsibility for this. Shake off the victim mentality, and take gentle charge of your life. Take a break from work and go on unemployment for a while if this is an available option to you. Try not to burn bridges with your employer but tell them you will come back stronger. Don't fight the people around you but gently get them to understand your condition and avoid risky activities. Have everyone wear masks outside, wash their hands, disinfect everything that comes in the door. Ventilate your home! Your immune system is on high alert, and pathogens other than coronavirus can also keep it that way. If you cannot achieve strict compliance in your household, consider your options for a temporary change of environment. Now may be the time to call mom &amp;amp; dad. Do not get mad at the people around you, it will not help. Similarly, turn off the news. You can't save the world, or your country, or anyone else, if you can't save yourself first. Start watching shows and documentaries that are inspirational. (Try "The Last Dance" about Michael Jordan ;))
Stop thinking "Why did this happen to me?". Stop obsessing over stories and googling everything under the sun about the coronavirus (even though that's probably how you found this :)). Instead think: "I am grateful for the opportunity to prove I am strong, self-sufficient, and able to bounce back from anything. Thank you Universe. Challenge accepted." Find that one dream you haven't achieved yet, that wonderful thing you will create and gift the world, even if it's just your smiling face feeling well and happy again for your loved ones. If you're alone, imagine what you will be able to accomplish when you shake this off and find your tribe. Do not give despair any ground. Not for a minute. When you find yourself sulking, take control of your emotions, return to your breath, follow your meditation practice. You will make it through this, be stronger, be more awake!
**My Story**
I'm including this only so you can know how bad it was for me. I know there are people in worse conditions too, but I want you to know there is light at the end of the tunnel no matter where you are on your journey. I'm in my mid 30s, very fit, with very active lifestyle, with no history of prior conditions. I got sick in March, couldn't get a test, and was sent home, living with an irresponsible roommate that was the source of infection. Second infections in the same household are much worse, because you get exposed to constant high viral load when quarantined with an infected person, whereas their body, having picked up a small viral load outside, has had time to ramp up immune response. After 3 weeks of miserable sickness, I thought I got better. I started exercising and running. In a week, I was down again and was worse than before. My symptoms would cycle between these: heart palpitations, shortness of breath, pins and needles, muscle and joint aches, constant debilitating fatigue, horrendous memory (several weeks are still just a haze), inability to concentrate, severe insomnia, headaches, lymph nodes and kidneys swollen and aching to a point where I couldn't turn my neck or lie down on my back, cloudy and smelly urine, gastrointestinal problems. Virus and antibody tests came back negative, most likely because the virus was out of my nasal or throat tissue anyway or maybe due to high false negative probability and because up to 40% of patients may not be developing antibodies (and the majority of those who do may be losing them fast: hence the need to continue to keep strict protocol and avoid re-infection). Blood tests indicated nothing wrong. Doctors were going down dead end routes into sleep apnea etc.
My symptoms would flare up, get much worse over a course of a week. And then wane down over the course of the next week. I would then maybe get another few days of "I think it's over", and it would come back again. I don't know how many times I went through this cycle, but this lasted for 4 months until I came across the research article above one night after waking up with a super high heart rate, and decided to massage my scalp. Within 15 minutes I was asleep. I slept like a baby for the first time in months. I still woke up with fatigue but it felt completely different. My head was now clear. Whatever was "stuck" in my brain, had come down.
Since then the improvement has been immense. I'm still not fully recovered in a sense that I need to pick up the pieces of a failed business, wrecked finances with 4 months of inactivity, and a weakened body. I'm still experiencing very very mild palpitations, very mild aches, and some lymph soreness, but everything is fading away at a rapid rate as the lymphatic drainage continues from brain stem downward.
Depending on the severity of your case, you may require a professional to give you lymphatic drainage massage, and repeat this therapy multiple times (as per the research article linked above), but I wouldn't be surprised if this is what is happening to most long-term patients of this disease.
Sadly, this is also probably what started months and years of Chronic Fatigue Syndrome in some of the patients historically suffering from similar conditions, but they weren't able to find the right diagnosis or help in time before their condition became chronic. Modern science discovered the brain's lymphatic drainage mechanism in 2015. In contrast Ayurveda and other wholistic Eastern medicine has long known the benefits of stimulating pressure points in the body including the scalp and the neck.
I do not know if this will help everyone. But please give it a try, and if it helps you, maybe help spread the word so it can be beneficial to more people since it's a relatively low-risk and low-cost effort to try.
I hope this helps you regain your health, and if it does, please use your regained vitality wisely, and for the benefit of all sentient beings. We need to learn to live together, be responsible, kind and helpful to each other, Life is too short to do otherwise. &amp;lt;3
**Video Links**
For me simple motions over the entire scalp and neck were enough to start rapid recovery, but these videos show in even greater detail how to properly massage these areas:
Head: [https://www.youtube.com/watch?v=98bJCul6QgE](https://www.youtube.com/watch?v=98bJCul6QgE)
Face: [https://www.youtube.com/watch?v=WL2XwLWJj8A](https://www.youtube.com/watch?v=WL2XwLWJj8A)
Neck: [https://www.youtube.com/watch?v=Q9FP6AHj9Eo](https://www.youtube.com/watch?v=Q9FP6AHj9Eo)
[View Poll](https://www.reddit.com/poll/hwr0w2)</t>
        </is>
      </c>
      <c r="D3594" t="n">
        <v>53</v>
      </c>
      <c r="E3594" t="n">
        <v>79</v>
      </c>
      <c r="F3594">
        <f>HYPERLINK("https://www.reddit.com/r/COVID19positive/comments/hwr0w2/potential_cure_for_some_long_haulers_w_postviral/")</f>
        <v/>
      </c>
      <c r="G3594" t="inlineStr">
        <is>
          <t>2020-07-23 16:50:46</t>
        </is>
      </c>
      <c r="H3594" t="inlineStr">
        <is>
          <t>Presumed Positive - From Doctor</t>
        </is>
      </c>
    </row>
    <row r="3595">
      <c r="A3595" t="inlineStr">
        <is>
          <t>hwr5bb</t>
        </is>
      </c>
      <c r="B3595" t="inlineStr">
        <is>
          <t>weird symptoms</t>
        </is>
      </c>
      <c r="C3595" t="inlineStr">
        <is>
          <t>has anyone experienced burning/stinging in nostrils consistently after most of my other symptoms have left? it feels like after you inhale water in a swimming pool</t>
        </is>
      </c>
      <c r="D3595" t="n">
        <v>25</v>
      </c>
      <c r="E3595" t="n">
        <v>51</v>
      </c>
      <c r="F3595">
        <f>HYPERLINK("https://www.reddit.com/r/COVID19positive/comments/hwr5bb/weird_symptoms/")</f>
        <v/>
      </c>
      <c r="G3595" t="inlineStr">
        <is>
          <t>2020-07-23 16:58:04</t>
        </is>
      </c>
      <c r="H3595" t="inlineStr">
        <is>
          <t>Tested Positive - Me</t>
        </is>
      </c>
    </row>
    <row r="3596">
      <c r="A3596" t="inlineStr">
        <is>
          <t>hwr64j</t>
        </is>
      </c>
      <c r="B3596" t="inlineStr">
        <is>
          <t>Can covid cause sudden high blood pressure?</t>
        </is>
      </c>
      <c r="C3596" t="inlineStr">
        <is>
          <t>So myself and my 2 year old son have had contact with a family member who tested positive. I've had two negative nasal rapid tests, and am awaiting throat and nasopharyngeal swab results. We have both had mild symptoms, but I've had pretty profound fatigue and muscle aches on and off. I did test "slightly positive" for strep, but my kid tested negative. My chest has been tight and uncomfortable. My doc did a chest x-ray and said it looked fine, but my blood pressure was and still is running about 160 over 90. I've never had high blood pressure and im generally healthy [27 F]. I'm a healthy weight and I am active daily. I'm frustrated and confused and a little scared. Anyone else?</t>
        </is>
      </c>
      <c r="D3596" t="n">
        <v>1</v>
      </c>
      <c r="E3596" t="n">
        <v>6</v>
      </c>
      <c r="F3596">
        <f>HYPERLINK("https://www.reddit.com/r/COVID19positive/comments/hwr64j/can_covid_cause_sudden_high_blood_pressure/")</f>
        <v/>
      </c>
      <c r="G3596" t="inlineStr">
        <is>
          <t>2020-07-23 16:59:28</t>
        </is>
      </c>
      <c r="H3596" t="inlineStr">
        <is>
          <t>Tested Positive - Family</t>
        </is>
      </c>
    </row>
    <row r="3597">
      <c r="A3597" t="inlineStr">
        <is>
          <t>hwrjxp</t>
        </is>
      </c>
      <c r="B3597" t="inlineStr">
        <is>
          <t>Chancs of my grandpa surviving covid-19?</t>
        </is>
      </c>
      <c r="C3597" t="inlineStr">
        <is>
          <t>My grandpa has been in the hospital for about 4 weeks now. He's almost 80 and had a massive stroke 5 years ago that he didn't fully recover from. Last week he was sedated and put on a ventilator. Tomorrow, he will be put on dialysis, as his kidney functions are going down. He also had a mild case of pneumonia when he first went in. The rest of my family, including myself, all tested positive also, but grandpa is getting the worst of it. I've been trying to find articles or stories of people who died from covid-19 and maybe what the timeline of their symptoms and complications were before they passed. The doctor says he has a 50/50 chance (probably lower), and that if he does get better, he'll have to move to assisted living and have 24 hour care.
*chances. Was typing fast and can't edit actual question.</t>
        </is>
      </c>
      <c r="D3597" t="n">
        <v>1</v>
      </c>
      <c r="E3597" t="n">
        <v>15</v>
      </c>
      <c r="F3597">
        <f>HYPERLINK("https://www.reddit.com/r/COVID19positive/comments/hwrjxp/chancs_of_my_grandpa_surviving_covid19/")</f>
        <v/>
      </c>
      <c r="G3597" t="inlineStr">
        <is>
          <t>2020-07-23 17:23:50</t>
        </is>
      </c>
      <c r="H3597" t="inlineStr">
        <is>
          <t>Tested Positive - Family</t>
        </is>
      </c>
    </row>
    <row r="3598">
      <c r="A3598" t="inlineStr">
        <is>
          <t>hwrmgb</t>
        </is>
      </c>
      <c r="B3598" t="inlineStr">
        <is>
          <t>My Wife is Positive - What About Me and The Kids?</t>
        </is>
      </c>
      <c r="C3598" t="inlineStr">
        <is>
          <t>My wife received a message from her work on Monday saying that someone in her office was getting tested and to work from home. We were concerned because she began to experience mild sinusitis symptoms this past weekend and I had a mild allergy issue that presented itself on Sunday. Turns out that her coworker was positive. We both got tested yesterday afternoon and got our results today. I’m negative. She’s positive. 
Our oldest son has been exiled from our room. Our 16 month is old has a mild fever last night. I’ve had a mild cough but developed muscle aches and higher mucous production last night. 
I’m trying to catch up to all my thoughts. Should we get a hotel room for my wife to wait out the sickness (we don’t have an extra room in the house)? I have another appointment tomorrow for another test to make sure I didn’t get a false negative. Is it possible that my baby is positive? How do I care for my baby?</t>
        </is>
      </c>
      <c r="D3598" t="n">
        <v>6</v>
      </c>
      <c r="E3598" t="n">
        <v>16</v>
      </c>
      <c r="F3598">
        <f>HYPERLINK("https://www.reddit.com/r/COVID19positive/comments/hwrmgb/my_wife_is_positive_what_about_me_and_the_kids/")</f>
        <v/>
      </c>
      <c r="G3598" t="inlineStr">
        <is>
          <t>2020-07-23 17:28:09</t>
        </is>
      </c>
      <c r="H3598" t="inlineStr">
        <is>
          <t>Tested Positive - Family</t>
        </is>
      </c>
    </row>
    <row r="3599">
      <c r="A3599" t="inlineStr">
        <is>
          <t>hws6r9</t>
        </is>
      </c>
      <c r="B3599" t="inlineStr">
        <is>
          <t>So i had Covid in April and i think my symptoms are coming back.</t>
        </is>
      </c>
      <c r="C3599" t="inlineStr">
        <is>
          <t>So i tested positive for Rona in April and my gf and i quarantined for two months. After feeling better, life went back to normal and i thought i was okay. Although i had mild symptoms and other underlying health issues(asthma, high blood pressure, diabetes) i did not suffer that bad. I use marijuana for anxiety and did not smoke while sick.  Fast  Forward to about a week ago, i start getting sharp pains in my chest. It’s on the left side. I’m thought it is from smoking and maybe my lungs have not full recovered.  I stopped for about a couple of days and it went away. So when i smoked again, i wasn’t having any more chest pain. This past weekend, i went on a trip to the shore and i started feeling really sick. If you live on the east coast,  it was disgustingly hot this past weekend. When down there, I started getting headaches really bad on the left side of my head. Between the sharp pains in my chest and my bad headache, i thought i was having a heart attack. Since Monday night, i started having shortness of breath and it’s been getting worse. I don’t have any of my original symptoms like loss of taste and smell but between the sharp pains in my head and the shortness of breath it is scaring me. I also feel like I’m in a fog. Could i be getting Rona again? Is it something more serious? Please help.</t>
        </is>
      </c>
      <c r="D3599" t="n">
        <v>27</v>
      </c>
      <c r="E3599" t="n">
        <v>75</v>
      </c>
      <c r="F3599">
        <f>HYPERLINK("https://www.reddit.com/r/COVID19positive/comments/hws6r9/so_i_had_covid_in_april_and_i_think_my_symptoms/")</f>
        <v/>
      </c>
      <c r="G3599" t="inlineStr">
        <is>
          <t>2020-07-23 18:03:32</t>
        </is>
      </c>
      <c r="H3599" t="inlineStr">
        <is>
          <t>Tested Positive - Me</t>
        </is>
      </c>
    </row>
    <row r="3600">
      <c r="A3600" t="inlineStr">
        <is>
          <t>hwsbbc</t>
        </is>
      </c>
      <c r="B3600" t="inlineStr">
        <is>
          <t>I feel like I’m losing my mind</t>
        </is>
      </c>
      <c r="C3600" t="inlineStr">
        <is>
          <t>I’ve had a low grade fever almost every day since June 8th. I’ve experienced a wide range of other symptoms including extreme fatigue, body aches, shortness of breath, chest pressure, headaches, tachycardia, sore throat and more that I’m sure I’m missing. 
I thought I was finally on the upswing, but in the past week things have felt like they are getting worse—I ache around the base of my lungs (per PCP there were diminished breath sounds in this area), I’m short of breath, and I’ve woken up twice in the middle of the night with my O2 level at 90%. 
Here’s where things get frustrating: I had a nasal swab done 6/12 then again on 7/2 and both were negative. We just did antibody testing that came back negative as well. Overall my labs look pretty good aside from elevated C reactive protein which indicates inflammation. My PCP still thinks it is COVID but looking at my labs I am starting to worry that we could missing something. 
Are there any long haulers in here that have never had a positive test? Or anyone presumed positive who later found out it was a misdiagnosis? 
I still agree that my symptoms are pretty consistent with COVID and I know the testing available is pretty unreliable but these multiple negative tests are still making me question everything. I don’t want to just assume I’m a long hauler just to find out we were wrong. 
Basically just SOS 😅</t>
        </is>
      </c>
      <c r="D3600" t="n">
        <v>16</v>
      </c>
      <c r="E3600" t="n">
        <v>23</v>
      </c>
      <c r="F3600">
        <f>HYPERLINK("https://www.reddit.com/r/COVID19positive/comments/hwsbbc/i_feel_like_im_losing_my_mind/")</f>
        <v/>
      </c>
      <c r="G3600" t="inlineStr">
        <is>
          <t>2020-07-23 18:11:38</t>
        </is>
      </c>
      <c r="H3600" t="inlineStr">
        <is>
          <t>Presumed Positive - From Doctor</t>
        </is>
      </c>
    </row>
    <row r="3601">
      <c r="A3601" t="inlineStr">
        <is>
          <t>hwsfx0</t>
        </is>
      </c>
      <c r="B3601" t="inlineStr">
        <is>
          <t>How common are false positives? Weird timeline.</t>
        </is>
      </c>
      <c r="C3601" t="inlineStr">
        <is>
          <t>So I've been getting tested because free tests are easy to come by where I am, and I want to stay on top of any potential asymptomatic infection. It paid off - I thought - when a test on 7/10 came back positive. Of course, after a major anxiety attack, I notified everyone I had been around and they all got tested. I had absolutely no symptoms and neither did anyone I had been around.
Last negative test was 06/23. So after I got the 7/10 result back as positive I went and got another test to confirm on 7/17. That came back negative! I'm waiting for results of a test taken 7/22 just because I'm being paranoid about this.
Meanwhile, everyone I had been around (family, a few close friends) got tested, and all came back negative - even my boyfriend who lives with me. All negative.
Went to get an antibody test on 7/23 thinking that maybe I got COVID after 6/23 and it resolved by 7/17... but it came back today, negative. Waiting for my boyfriend's antibody test results - he tested negative on 6/28 and 7/19, so maybe he had it, gave it to me, and it resolved? 
Honestly totally puzzled by this. Wondering if it was a lab mix up, or if PCR tests ever throw false positives?</t>
        </is>
      </c>
      <c r="D3601" t="n">
        <v>1</v>
      </c>
      <c r="E3601" t="n">
        <v>5</v>
      </c>
      <c r="F3601">
        <f>HYPERLINK("https://www.reddit.com/r/COVID19positive/comments/hwsfx0/how_common_are_false_positives_weird_timeline/")</f>
        <v/>
      </c>
      <c r="G3601" t="inlineStr">
        <is>
          <t>2020-07-23 18:20:17</t>
        </is>
      </c>
      <c r="H3601" t="inlineStr">
        <is>
          <t>Tested Positive - Me</t>
        </is>
      </c>
    </row>
    <row r="3602">
      <c r="A3602" t="inlineStr">
        <is>
          <t>hwtx0t</t>
        </is>
      </c>
      <c r="B3602" t="inlineStr">
        <is>
          <t>Smell and taste are very warped and still not functioning normally.</t>
        </is>
      </c>
      <c r="C3602" t="inlineStr">
        <is>
          <t>My smell and taste are still not functioning normally.
Here is an update:
I started showing symptoms for the virus on March 18th and they didn’t really go away until mid April. However, the loss of my smell and taste have still not come back. I get GI issues and the occasional body ache also.
The most prominent smell is an awful skunk smell that appears when something I am near smells strong. Rotten food, stool, coffee, etc will cause this awful slunk smell.
I heard it could be phantosmia from Covid.
I still cannot taste or smell properly. I am really concerned as it has been 4 months since I first showed symptoms.
Any ideas or is anyone else experiencing this? I really want to know if the smell and taste will come back with time.</t>
        </is>
      </c>
      <c r="D3602" t="n">
        <v>5</v>
      </c>
      <c r="E3602" t="n">
        <v>23</v>
      </c>
      <c r="F3602">
        <f>HYPERLINK("https://www.reddit.com/r/COVID19positive/comments/hwtx0t/smell_and_taste_are_very_warped_and_still_not/")</f>
        <v/>
      </c>
      <c r="G3602" t="inlineStr">
        <is>
          <t>2020-07-23 19:56:56</t>
        </is>
      </c>
      <c r="H3602" t="inlineStr">
        <is>
          <t>Tested Positive - Me</t>
        </is>
      </c>
    </row>
    <row r="3603">
      <c r="A3603" t="inlineStr">
        <is>
          <t>hwuaik</t>
        </is>
      </c>
      <c r="B3603" t="inlineStr">
        <is>
          <t>My boyfriend and I are both showing symptoms.</t>
        </is>
      </c>
      <c r="C3603" t="inlineStr">
        <is>
          <t>Got tested yesterday. But symptoms are in line with covid. He’s feeling much worse than I am. I have had in and off low grade fever, a cough, runny nose and sneezing. 
He has had chills, body aches, fever, fatigue, dizziness, nausea, diarrhea. He says he feels terrible. I would honestly think mine was just allergies if not for the fever. Like, I would still be going to work and everything if it was back in normal times. 
We live in a camper. So extremely small space. Should we be trying to distance ourselves as much as possible? Like, should I be sleeping on the couch to try and reduce my exposure to him? Can my sickness get worse by being exposed to him, because he does feel worse? 
Or is it a “ya already got it” kinda thing where it won’t worsen by being exposed to him?</t>
        </is>
      </c>
      <c r="D3603" t="n">
        <v>1</v>
      </c>
      <c r="E3603" t="n">
        <v>6</v>
      </c>
      <c r="F3603">
        <f>HYPERLINK("https://www.reddit.com/r/COVID19positive/comments/hwuaik/my_boyfriend_and_i_are_both_showing_symptoms/")</f>
        <v/>
      </c>
      <c r="G3603" t="inlineStr">
        <is>
          <t>2020-07-23 20:22:47</t>
        </is>
      </c>
      <c r="H3603" t="inlineStr">
        <is>
          <t>Presumed Positive - From Test</t>
        </is>
      </c>
    </row>
    <row r="3604">
      <c r="A3604" t="inlineStr">
        <is>
          <t>hwubu8</t>
        </is>
      </c>
      <c r="B3604" t="inlineStr">
        <is>
          <t>Ideas for a hospitalized family member</t>
        </is>
      </c>
      <c r="C3604" t="inlineStr">
        <is>
          <t>My dads been in the hospital for a few days, and the nurses said he’s been missing us. If you’re curious about his journey/status, I have a post with updates! 
We thought of a good idea to make him a video. I got my mom and my sisters to send me a clip of them sending good wishes/“I miss you”s to him, then used an app (Splice) to merge them together. I uploaded the video on YouTube and sent him a link so he wouldn’t have to deal with downloading it to his phone if service is crappy.
The nurses said it seemed to really help him and cheer him up, and that it’s nice to see his family cares for him because she said she’s seen many people suffer alone.
We’ve also been getting food catered/delivered for the nurses, but are sure to avoid their shift change times. They’ve said it’s a gesture they strongly appreciate. 
If anyone has other ideas to make navigating this situation easier, they’d be greatly appreciated.</t>
        </is>
      </c>
      <c r="D3604" t="n">
        <v>4</v>
      </c>
      <c r="E3604" t="n">
        <v>19</v>
      </c>
      <c r="F3604">
        <f>HYPERLINK("https://www.reddit.com/r/COVID19positive/comments/hwubu8/ideas_for_a_hospitalized_family_member/")</f>
        <v/>
      </c>
      <c r="G3604" t="inlineStr">
        <is>
          <t>2020-07-23 20:25:18</t>
        </is>
      </c>
      <c r="H3604" t="inlineStr">
        <is>
          <t>Tested Positive - Family</t>
        </is>
      </c>
    </row>
    <row r="3605">
      <c r="A3605" t="inlineStr">
        <is>
          <t>hwuijq</t>
        </is>
      </c>
      <c r="B3605" t="inlineStr">
        <is>
          <t>India: My sister is 35 weeks in her pregnancy and she is tested positive. She is asymptomatic at this time and staying in govt quarantine facility. Please share your experiences and advice for her.</t>
        </is>
      </c>
      <c r="C3605" t="inlineStr">
        <is>
          <t>My sister lives in a small town in Maharashtra. Her doctor asked her to undergo covid testing before the delivery. She never went outside her home and still found positive in swab test. Now govt took her to their quarantine facility where she is without any support from her family. She must be emotionally crushed, but she shows herself strong. She joked that I am feeling like attending some badly managed wedding in this hospital. She is into her 36th week of pregnancy and has normal BP, sugar etc. We don't know what to do at this time? My brother in law and my mother who were staying in the same house are not tested yet but they are quarantined in their home. So nobody can visit her. Dr. said they will do the C section if she develops symptoms. We don't trust our govt hospitals so much for facilities but at this time they are doing a great job.
Her blood test was negative yesterday. I will right more updates as things progress. Please, give advice if you have an experience of similar kind after testing positive. Are their any ladies in this sub who gave birth to their child being positive? What was your experience?</t>
        </is>
      </c>
      <c r="D3605" t="n">
        <v>3</v>
      </c>
      <c r="E3605" t="n">
        <v>9</v>
      </c>
      <c r="F3605">
        <f>HYPERLINK("https://www.reddit.com/r/COVID19positive/comments/hwuijq/india_my_sister_is_35_weeks_in_her_pregnancy_and/")</f>
        <v/>
      </c>
      <c r="G3605" t="inlineStr">
        <is>
          <t>2020-07-23 20:38:16</t>
        </is>
      </c>
      <c r="H3605" t="inlineStr">
        <is>
          <t>Tested Positive - Family</t>
        </is>
      </c>
    </row>
    <row r="3606">
      <c r="A3606" t="inlineStr">
        <is>
          <t>hwuoww</t>
        </is>
      </c>
      <c r="B3606" t="inlineStr">
        <is>
          <t>I’m afraid my dad might not make it</t>
        </is>
      </c>
      <c r="C3606" t="inlineStr">
        <is>
          <t>Hi. My father who is 61 and is in really bad shape. He’s been in ICU for a little over a week and within the last couple days he declined very quickly. All of his organs are okay, blood pressure is fine, and his oxygen saturation is 89 while the ventilator is at 100. The concerning part of this is that his lungs are so badly scarred from covid and that his heart rate is at 120. He’s no longer a candidate for ecmo according to the doctors at the hospital but we have another doctor speaking for us attempting to convince the hospital to at least try the ecmo. We’re all really scared and we want to remain hopeful. I’ve read of recovery stories where people make a turn around even when they’re at their worst. I would really appreciate if anyone could give me encouraging words or stories that they’ve heard of people who make it out alive from being in such a critical condition. Thank you.</t>
        </is>
      </c>
      <c r="D3606" t="n">
        <v>114</v>
      </c>
      <c r="E3606" t="n">
        <v>114</v>
      </c>
      <c r="F3606">
        <f>HYPERLINK("https://www.reddit.com/r/COVID19positive/comments/hwuoww/im_afraid_my_dad_might_not_make_it/")</f>
        <v/>
      </c>
      <c r="G3606" t="inlineStr">
        <is>
          <t>2020-07-23 20:51:00</t>
        </is>
      </c>
      <c r="H3606" t="inlineStr">
        <is>
          <t>Tested Positive - Family</t>
        </is>
      </c>
    </row>
    <row r="3607">
      <c r="A3607" t="inlineStr">
        <is>
          <t>hwv4e6</t>
        </is>
      </c>
      <c r="B3607" t="inlineStr">
        <is>
          <t>Do not go to CVS testing [NJ]</t>
        </is>
      </c>
      <c r="C3607" t="inlineStr">
        <is>
          <t>Hey everyone, finally got my test back tonight, 7/23. It took 13 days when I took my test on 7/10.  I was originally told it would be 5-7, then got an email saying 6-10, and finally got it back. I’m hearing time and time again you’re better off going to the doctors office as testing centers like these are only getting worse and worse wait times.
I was confirmed exposed to COVID either on 6/29 or 7/2. I experienced about 10 days of symptoms starting on 7/5. Started with mild allergies and migraine. Randomly woke up to absolutely no sense of taste or smell. Those two symptoms stuck around along with this lingering nausea and fatigue. Good luck everyone and stay healthy!</t>
        </is>
      </c>
      <c r="D3607" t="n">
        <v>2</v>
      </c>
      <c r="E3607" t="n">
        <v>12</v>
      </c>
      <c r="F3607">
        <f>HYPERLINK("https://www.reddit.com/r/COVID19positive/comments/hwv4e6/do_not_go_to_cvs_testing_nj/")</f>
        <v/>
      </c>
      <c r="G3607" t="inlineStr">
        <is>
          <t>2020-07-23 21:20:23</t>
        </is>
      </c>
      <c r="H3607" t="inlineStr">
        <is>
          <t>Tested Positive - Me</t>
        </is>
      </c>
    </row>
    <row r="3608">
      <c r="A3608" t="inlineStr">
        <is>
          <t>hwv7zh</t>
        </is>
      </c>
      <c r="B3608" t="inlineStr">
        <is>
          <t>Shoulder blade pain when taking deep breath?</t>
        </is>
      </c>
      <c r="C3608" t="inlineStr">
        <is>
          <t>19 year old male.
Was in the hospital 4-5 days ago and ddimer came out fine. Getting this weird localized pain near my shoulder blade/under it when I take a deep breath or move the wrong way sometimes. Could this be PE even though ddimer showed normal results?</t>
        </is>
      </c>
      <c r="D3608" t="n">
        <v>1</v>
      </c>
      <c r="E3608" t="n">
        <v>29</v>
      </c>
      <c r="F3608">
        <f>HYPERLINK("https://www.reddit.com/r/COVID19positive/comments/hwv7zh/shoulder_blade_pain_when_taking_deep_breath/")</f>
        <v/>
      </c>
      <c r="G3608" t="inlineStr">
        <is>
          <t>2020-07-23 21:27:34</t>
        </is>
      </c>
      <c r="H3608" t="inlineStr">
        <is>
          <t>Tested Positive - Me</t>
        </is>
      </c>
    </row>
    <row r="3609">
      <c r="A3609" t="inlineStr">
        <is>
          <t>hwvvie</t>
        </is>
      </c>
      <c r="B3609" t="inlineStr">
        <is>
          <t>Tested positive. I'm from India</t>
        </is>
      </c>
      <c r="C3609" t="inlineStr">
        <is>
          <t>It's my Reddit post, didn't think it would happen this way. Sharing this because I'm genuinely scared. I'm in one of the poorer parts India (Bihar). You can Google about it, you'll find plenty of articles which can tell you the healthcare system here is fucked. Coming to the Rona, I first had body ache 7-8 days ago and it persisted with mild fever for a few days. I had recently traveled and done a lot of physical work so I was sure it was because of that. I rested, took a few meds and I was fine. The fever came back 2 days later so I took meds again and it was mild and the peak fever I had was 101. I wasn't really worried because my mom and my brother were fine. But one day I realised I had lost my sense of smell. I have sinus too so I thought it was probably because of that. 
Well I have tested positive now and I'm in home isolation with my grandmother who's also tested positive. My grandmother doesn't have any symptoms except mild fever which goes away after taking a paracetamol. 
Any advice on how to take care of myself and my family at home would be welcomed.</t>
        </is>
      </c>
      <c r="D3609" t="n">
        <v>2</v>
      </c>
      <c r="E3609" t="n">
        <v>11</v>
      </c>
      <c r="F3609">
        <f>HYPERLINK("https://www.reddit.com/r/COVID19positive/comments/hwvvie/tested_positive_im_from_india/")</f>
        <v/>
      </c>
      <c r="G3609" t="inlineStr">
        <is>
          <t>2020-07-23 22:17:14</t>
        </is>
      </c>
      <c r="H3609" t="inlineStr">
        <is>
          <t>Tested Positive - Me</t>
        </is>
      </c>
    </row>
    <row r="3610">
      <c r="A3610" t="inlineStr">
        <is>
          <t>hwwptt</t>
        </is>
      </c>
      <c r="B3610" t="inlineStr">
        <is>
          <t>Feeling so guilty</t>
        </is>
      </c>
      <c r="C3610" t="inlineStr">
        <is>
          <t>After much deliberation, my friend and I agreed I should take a chance and brave a flight to visit her across the country. We were both feeling so isolated and really just wanted to see each other. I wore a mask the whole time and was super careful but my connecting flight was completely packed and I was stuck in a middle seat next to heathens who were not properly wearing their masks. I was so anxious the whole flight.
Two days later I started getting sick with a low grade fever. The fever only lasted a few days and now I’ve been symptom free for three days. My friend started feeling sick yesterday. I tested positive today. We are isolating in her one bedroom.
I feel so guilty that I brought this upon myself. I told some friends and a few people at work, and while everyone was sympathetic, I know everyone is super judging me behind my back. I feel like I deserve what I got for being so stupid to fly in a pandemic. 
I also have no idea when it will be safe to fly home but seems like I might be stuck here for a while.</t>
        </is>
      </c>
      <c r="D3610" t="n">
        <v>1</v>
      </c>
      <c r="E3610" t="n">
        <v>4</v>
      </c>
      <c r="F3610">
        <f>HYPERLINK("https://www.reddit.com/r/COVID19positive/comments/hwwptt/feeling_so_guilty/")</f>
        <v/>
      </c>
      <c r="G3610" t="inlineStr">
        <is>
          <t>2020-07-23 23:22:58</t>
        </is>
      </c>
      <c r="H3610" t="inlineStr">
        <is>
          <t>Tested Positive - Me</t>
        </is>
      </c>
    </row>
    <row r="3611">
      <c r="A3611" t="inlineStr">
        <is>
          <t>hwxb9i</t>
        </is>
      </c>
      <c r="B3611" t="inlineStr">
        <is>
          <t>What was your recovery time?</t>
        </is>
      </c>
      <c r="C3611" t="inlineStr">
        <is>
          <t>My husband’s worst symptoms were chills, high fever and minor chest tightening from july 2nd to 4th.. we went get tested on july 10 and they gave us the positive results july 13. i was monitoring carefully and now it has been 3 weeks (since the most severe symptoms). I’m assuming he will be okay since his condition did not get worse, yet he is still tired. Our last test for him came back positive (tested 21st)...  what was your recovery time for mild symptoms? Should i still monitor him closely? Oxygen levels are fine, no fever, no cough, no chest tightening, only fatigue. Did anyone go back to work just because the fever was gone? Do you go back after a negative test result?</t>
        </is>
      </c>
      <c r="D3611" t="n">
        <v>3</v>
      </c>
      <c r="E3611" t="n">
        <v>7</v>
      </c>
      <c r="F3611">
        <f>HYPERLINK("https://www.reddit.com/r/COVID19positive/comments/hwxb9i/what_was_your_recovery_time/")</f>
        <v/>
      </c>
      <c r="G3611" t="inlineStr">
        <is>
          <t>2020-07-24 00:12:58</t>
        </is>
      </c>
      <c r="H3611" t="inlineStr">
        <is>
          <t>Tested Positive - Family</t>
        </is>
      </c>
    </row>
    <row r="3612">
      <c r="A3612" t="inlineStr">
        <is>
          <t>hwxpc4</t>
        </is>
      </c>
      <c r="B3612" t="inlineStr">
        <is>
          <t>My COVID journey so far</t>
        </is>
      </c>
      <c r="C3612" t="inlineStr">
        <is>
          <t>Hi all, I realize that I am lucky compared to most. But just wanted to share my ongoing, shitty experience. For context, I am located in NYC. Both my partner (26M) and I (26F) live together, and we have been self isolating since the beginning of all this. We have no known health issues, just want to be safe in this dense city. The only time we go out is for groceries or to walk our dog. 
I started with a sore throat on July 8th. I dismissed it as allergies because last time I got tested with a sore throat, I was negative. A few days later, I developed an itchy, dry cough. This is unusual for my allergies and I decided to go get tested. 
On July 14th, I walked to a local clinic with no appointment needed (appointments cost $). I waited in line for over 2 hours. Once in, the doctor couldn’t get any veins in my arm for an antibody test (which I’ve now learned, if exhibiting symptoms, antibodies may not have developed yet). He tried my hand and subsequently busted a vein in my hand, unsuccessful. So no antibody test. I did get a PCR nasal swab. The doctor presumed me positive due to the cough.
Dry cough continues; no fever. Extreme fatigue for a few days. I was falling asleep in the shower and at the dinner table during the day but coughing when I tried to fall asleep. I am prone to migraines so those showed up. My period showed up one day and was gone for three. Came back for five days. Not sure if stress or COVID. I am still exhibiting symptoms of a slight cough and difficulty breathing deeply, as well as as fatigue, 16 days later. 
My partner started showing symptoms a week ago. Started out the same - sore throat and cough. He seems to be more congested than I. He also has the GI symptoms - diarrhea and nausea. He generally has a more sensitive stomach. 
Although the doctor presumed me positive, I still have not received my official test results. That is 10 days. Although NYC is not spiking right now, labs are backed up in the entire US due to more testing, but lack of tests and labs available. 
We are obviously being safe and not exposing the public. There are plenty of arguments about science vs politics but not enough information about actual symptoms/experiences/what to do if positive and don’t need to go to ER. 
I thought symptoms resolved after 2 weeks? How long could my symptoms last? At what point do you seek medical care for mild issues breathing deeply? For GI issues? At what point am I longer contagious?
I’m posting this as my partner and I have both been up all night coughing and he’s been in and out of the bathroom. Any advice on anything would be helpful because nobody here seems capable of providing that.</t>
        </is>
      </c>
      <c r="D3612" t="n">
        <v>5</v>
      </c>
      <c r="E3612" t="n">
        <v>2</v>
      </c>
      <c r="F3612">
        <f>HYPERLINK("https://www.reddit.com/r/COVID19positive/comments/hwxpc4/my_covid_journey_so_far/")</f>
        <v/>
      </c>
      <c r="G3612" t="inlineStr">
        <is>
          <t>2020-07-24 00:48:17</t>
        </is>
      </c>
      <c r="H3612" t="inlineStr">
        <is>
          <t>Presumed Positive - From Doctor</t>
        </is>
      </c>
    </row>
    <row r="3613">
      <c r="A3613" t="inlineStr">
        <is>
          <t>hwyef1</t>
        </is>
      </c>
      <c r="B3613" t="inlineStr">
        <is>
          <t>Is it normal that I can only contact the nursing team to check on my father while he is in the hospital?</t>
        </is>
      </c>
      <c r="C3613" t="inlineStr">
        <is>
          <t>My father is in the hospital cause of corona. But I can only seem to reach the nursing team to get any info. Doctors are really really hard to reach. It’s making me upset cause as much as the nurses are helpful I can’t they can only tell me so much about my dad’s condition.</t>
        </is>
      </c>
      <c r="D3613" t="n">
        <v>0</v>
      </c>
      <c r="E3613" t="n">
        <v>6</v>
      </c>
      <c r="F3613">
        <f>HYPERLINK("https://www.reddit.com/r/COVID19positive/comments/hwyef1/is_it_normal_that_i_can_only_contact_the_nursing/")</f>
        <v/>
      </c>
      <c r="G3613" t="inlineStr">
        <is>
          <t>2020-07-24 01:54:45</t>
        </is>
      </c>
      <c r="H3613" t="inlineStr">
        <is>
          <t>Tested Positive - Family</t>
        </is>
      </c>
    </row>
    <row r="3614">
      <c r="A3614" t="inlineStr">
        <is>
          <t>hx11z7</t>
        </is>
      </c>
      <c r="B3614" t="inlineStr">
        <is>
          <t>Been having heart palpitations/weird heart sensations on and off since July 3rd. Don’t want to go to ER</t>
        </is>
      </c>
      <c r="C3614" t="inlineStr">
        <is>
          <t>Hospitals are depressing. I lost my dad due to this fucking virus on Tuesday. I’m afraid now that I’m next. I don’t think regular doctors clinics will accept me. I don’t want to go to the hospital. I want this shit to be over this is scary and I couldn’t sleep last night.</t>
        </is>
      </c>
      <c r="D3614" t="n">
        <v>6</v>
      </c>
      <c r="E3614" t="n">
        <v>31</v>
      </c>
      <c r="F3614">
        <f>HYPERLINK("https://www.reddit.com/r/COVID19positive/comments/hx11z7/been_having_heart_palpitationsweird_heart/")</f>
        <v/>
      </c>
      <c r="G3614" t="inlineStr">
        <is>
          <t>2020-07-24 05:40:19</t>
        </is>
      </c>
      <c r="H3614" t="inlineStr">
        <is>
          <t>Presumed Positive - From Test</t>
        </is>
      </c>
    </row>
    <row r="3615">
      <c r="A3615" t="inlineStr">
        <is>
          <t>hx1xfd</t>
        </is>
      </c>
      <c r="B3615" t="inlineStr">
        <is>
          <t>Getting sick with someone else- how di symptoms compare?</t>
        </is>
      </c>
      <c r="C3615" t="inlineStr">
        <is>
          <t>I’m visiting my friend and got covid. We’ve been in isolation and my symptoms were very mild and I basically got over it in a few days. My friend just started feeling sick and it does seem to be starting the same for her. I’m just so worried it’s going to be worse for her since she’s overweight or just generally people react differently. 
I’ve heard viral load is a factor. I think I got it on the plane while wearing a mask and safety glasses and taking lots of precautions, so hoping I “caught just a little bit” and that’s why I had such minor symptoms. 
Anyone else give covid to another person in isolation (partner, family, roommate) and how did the symptoms compare?</t>
        </is>
      </c>
      <c r="D3615" t="n">
        <v>2</v>
      </c>
      <c r="E3615" t="n">
        <v>5</v>
      </c>
      <c r="F3615">
        <f>HYPERLINK("https://www.reddit.com/r/COVID19positive/comments/hx1xfd/getting_sick_with_someone_else_how_di_symptoms/")</f>
        <v/>
      </c>
      <c r="G3615" t="inlineStr">
        <is>
          <t>2020-07-24 06:37:33</t>
        </is>
      </c>
      <c r="H3615" t="inlineStr">
        <is>
          <t>Tested Positive</t>
        </is>
      </c>
    </row>
    <row r="3616">
      <c r="A3616" t="inlineStr">
        <is>
          <t>hx27ex</t>
        </is>
      </c>
      <c r="B3616" t="inlineStr">
        <is>
          <t>The damage done by conspiracy theories</t>
        </is>
      </c>
      <c r="C3616" t="inlineStr">
        <is>
          <t>My father, aged 62, tested positive and is getting treated for it as we speak. It's his 3rd day in the hospital and he's doing okay so far. 
One of the first things that I am going to do after he comes back home upon completion of his treatment, is uninstall bloody University of WhatsApp and block his friends feeding him conspiracy theories. 
The democratisation of information has unfortunately given a voice, mode and medium to anybody &amp;amp; everybody. No Tom, Dick and Harry should be able to record a video of themselves speaking b.s. like " it's all a big gameplan.. Bill Gates.. vaccine money.. population control.. it's not a virus, it's a bacteria.. they're poisoning us in the name of treatment.."
My aunt (father's sister) has also been calling my mom about how this is best treated at home, and cited the example of her Covid recovered daughter who's her mid 30s - clearly not comparable but who wants to bang their heads against a wall? 
I am so annoyed because, even though my father is receiving the best treatment and is doing well, a part of him probably feels he would have done better at home with alternative treatments. I believe he feels he must be in a hospital's isolation room only because his family doesn't share his belief in other alternative treatments as much. It has left me with a hole in the heart and I feel very guilty. 
On my part, I understand that he needs to feel confident so I have sent these alternative medicines to him after he asked me to speak to one of his friends who sounded like a lunatic for the most part and asked me to bring him home for treatment. I just skipped to the part where he recommended some tree's leaves &amp;amp; a traditional medicine, which I have duly sent to my father while requesting him to have faith in both treatments. If nothing, placebo effect will help.
But here's a big middle finger to quacks, conspiracy theorists and lunatics ___||___</t>
        </is>
      </c>
      <c r="D3616" t="n">
        <v>285</v>
      </c>
      <c r="E3616" t="n">
        <v>178</v>
      </c>
      <c r="F3616">
        <f>HYPERLINK("https://www.reddit.com/r/COVID19positive/comments/hx27ex/the_damage_done_by_conspiracy_theories/")</f>
        <v/>
      </c>
      <c r="G3616" t="inlineStr">
        <is>
          <t>2020-07-24 06:55:55</t>
        </is>
      </c>
      <c r="H3616" t="inlineStr">
        <is>
          <t>Tested Positive - Family</t>
        </is>
      </c>
    </row>
    <row r="3617">
      <c r="A3617" t="inlineStr">
        <is>
          <t>hx28vg</t>
        </is>
      </c>
      <c r="B3617" t="inlineStr">
        <is>
          <t>Light headed and sometimes dizzy is this anxiety or a symptom.</t>
        </is>
      </c>
      <c r="C3617" t="inlineStr">
        <is>
          <t>I was presumed positive earlier this month with all of my family members testing positive. They all had mild symptoms which included pressure around the eyebrows, loss of taste and smell. I was surprised to have had none of their symptoms.  About two weeks after their symptoms i have had a light headed  almost spacey feeling with some dizziness. At first i thought it was anxiety but anxiety was never there first thing after waking up or lasted two weeks (first felt this July 6). I know these symptoms are very tame compared to what others have experienced. But has anyone else experienced this/recovered?</t>
        </is>
      </c>
      <c r="D3617" t="n">
        <v>4</v>
      </c>
      <c r="E3617" t="n">
        <v>10</v>
      </c>
      <c r="F3617">
        <f>HYPERLINK("https://www.reddit.com/r/COVID19positive/comments/hx28vg/light_headed_and_sometimes_dizzy_is_this_anxiety/")</f>
        <v/>
      </c>
      <c r="G3617" t="inlineStr">
        <is>
          <t>2020-07-24 06:58:31</t>
        </is>
      </c>
      <c r="H3617" t="inlineStr">
        <is>
          <t>Tested Positive - Family</t>
        </is>
      </c>
    </row>
    <row r="3618">
      <c r="A3618" t="inlineStr">
        <is>
          <t>hx2q2h</t>
        </is>
      </c>
      <c r="B3618" t="inlineStr">
        <is>
          <t>Child positive but my wife and I (32yo) still have no symptoms.</t>
        </is>
      </c>
      <c r="C3618" t="inlineStr">
        <is>
          <t>Our daycare shut down with a few staff members testing positive. The same day our youngest (2.5yo) has mild fever that went away after 6-8 hours. We didn’t bother taking him in, since his symptoms went away. The next day our 7yo got a mild fever (100.1F). He vomited once in the morning, so we got him tested. His symptoms subsided 24 hours after first fever and he has been 100% for many days. 4 days later, his results come back Positive. Neither my wife or me have symptoms. She got rapid tested (for her lab job), and it was negative. Now we are both waiting on PCR test results. Our 3rd kid (5yo) hasn’t had any symptoms either. It’s been 9 days since the kids had first symptoms, but 3 of us still are feeling great. We live in a tiny house, the kids are always on top of us, impossible to remain isolated from each other.
Have y’all experienced a situation where only the children in the house get COVID and not the parents? Maybe the PCR test will show that we are asymptomatic? Thanks!</t>
        </is>
      </c>
      <c r="D3618" t="n">
        <v>7</v>
      </c>
      <c r="E3618" t="n">
        <v>21</v>
      </c>
      <c r="F3618">
        <f>HYPERLINK("https://www.reddit.com/r/COVID19positive/comments/hx2q2h/child_positive_but_my_wife_and_i_32yo_still_have/")</f>
        <v/>
      </c>
      <c r="G3618" t="inlineStr">
        <is>
          <t>2020-07-24 07:27:31</t>
        </is>
      </c>
      <c r="H3618" t="inlineStr">
        <is>
          <t>Tested Positive - Family</t>
        </is>
      </c>
    </row>
    <row r="3619">
      <c r="A3619" t="inlineStr">
        <is>
          <t>hx38kw</t>
        </is>
      </c>
      <c r="B3619" t="inlineStr">
        <is>
          <t>My experience with covid</t>
        </is>
      </c>
      <c r="C3619" t="inlineStr">
        <is>
          <t>Mid 30s caucasian male.
I did not get a positive diagnosis but this was early in the story. Tests gave a lot of false negatives back then. I did have every single symptoms and doctors advised me it was pretty certain I had it. I could not get a second test done because they were on short supply back then (am not in the US).
I want to say, I never get the flu usually. I think I got it like one time in my life, when I was a kid, and that's it. Am otherwise healthy.
My most important symptoms by far was throat congestion. It felt as if someone was choking me permanently. I did not really have much coughing but did get extreme tiredness. Basically spent a week in bed before I felt any better.
Not the most exciting story but thought I would share anyway.</t>
        </is>
      </c>
      <c r="D3619" t="n">
        <v>5</v>
      </c>
      <c r="E3619" t="n">
        <v>10</v>
      </c>
      <c r="F3619">
        <f>HYPERLINK("https://www.reddit.com/r/COVID19positive/comments/hx38kw/my_experience_with_covid/")</f>
        <v/>
      </c>
      <c r="G3619" t="inlineStr">
        <is>
          <t>2020-07-24 07:58:09</t>
        </is>
      </c>
      <c r="H3619" t="inlineStr">
        <is>
          <t>Tested Positive - Me</t>
        </is>
      </c>
    </row>
    <row r="3620">
      <c r="A3620" t="inlineStr">
        <is>
          <t>hx3pnk</t>
        </is>
      </c>
      <c r="B3620" t="inlineStr">
        <is>
          <t>When can you come out of isolation after testing positive?</t>
        </is>
      </c>
      <c r="C3620" t="inlineStr">
        <is>
          <t>My husband and I tested positive. I am asymptomatic but my husband had a fever for 3 days. We are now on day 11 since his symptoms started. So 8 days symptom and fever free. Monday will be 14 days. We were tested at a local urgent care, and when our results came back positive we received a 30 second phone call and that was it. 
We were hoping to come out of isolation on day 14 but we were told by the urgent care doc that we need to be retested and test negative twice, he hung up before we could ask any questions.  All of the test appointments are a week and a half out and there's a week turn around. 
Our local health department was supposed to contact us and they haven't. We have tried contacting them but there is no covid specific line and no one there knows who to direct us too. We tried our state line and they told us to contact our local health department. No one has been able to answer any questions and we're not sure what to do. 
I'm hoping someone on here might have a concrete answer. We're confused if it's 14 days from the onset of symptoms or if the 14 days is for those who have been exposed and are waiting to see if they will develop symptoms. Is it different because I am asymptomatic? I had zero symptoms and I would have had no idea if my husband hadn't gotten a mild fever. Are we okay to come out of isolation on Monday? Do we have to wait another 2 1/2 weeks to get another set of tests? 
Thank you!</t>
        </is>
      </c>
      <c r="D3620" t="n">
        <v>1</v>
      </c>
      <c r="E3620" t="n">
        <v>4</v>
      </c>
      <c r="F3620">
        <f>HYPERLINK("https://www.reddit.com/r/COVID19positive/comments/hx3pnk/when_can_you_come_out_of_isolation_after_testing/")</f>
        <v/>
      </c>
      <c r="G3620" t="inlineStr">
        <is>
          <t>2020-07-24 08:24:17</t>
        </is>
      </c>
      <c r="H3620" t="inlineStr">
        <is>
          <t>Tested Positive - Me</t>
        </is>
      </c>
    </row>
    <row r="3621">
      <c r="A3621" t="inlineStr">
        <is>
          <t>hx3ri6</t>
        </is>
      </c>
      <c r="B3621" t="inlineStr">
        <is>
          <t>Exposed and not contracted?</t>
        </is>
      </c>
      <c r="C3621" t="inlineStr">
        <is>
          <t>hello. recently my friend was exposed to a group of people (i was not present). they were all in close contact. she hung out with me 1 day after seeing them. after i had already seen her, the group began to feel sick and got tested. my friend decided to get tested too. the group all came back positive, as well as my friend. the group all seems to have symptoms, but my friend has none. it has been 5 days since i saw my friend and i still don’t seem to have symptoms. i got tested and waiting for results. has anyone been exposed to someone who tested positive (asymptomatic or symptomatic) and still didn’t contract the virus? or has anyone that tested positive been in close contact with people that didn’t test positive (didn’t contract it from you?) my gut feels like i don’t have it but obviously there is a high chance i could.</t>
        </is>
      </c>
      <c r="D3621" t="n">
        <v>1</v>
      </c>
      <c r="E3621" t="n">
        <v>9</v>
      </c>
      <c r="F3621">
        <f>HYPERLINK("https://www.reddit.com/r/COVID19positive/comments/hx3ri6/exposed_and_not_contracted/")</f>
        <v/>
      </c>
      <c r="G3621" t="inlineStr">
        <is>
          <t>2020-07-24 08:26:57</t>
        </is>
      </c>
      <c r="H3621" t="inlineStr">
        <is>
          <t>Tested Positive - Friends</t>
        </is>
      </c>
    </row>
    <row r="3622">
      <c r="A3622" t="inlineStr">
        <is>
          <t>hx4hmk</t>
        </is>
      </c>
      <c r="B3622" t="inlineStr">
        <is>
          <t>Return of the headAche</t>
        </is>
      </c>
      <c r="C3622" t="inlineStr">
        <is>
          <t>The headache is back. I am believed to have had covid back in April. April and most ofMay I had these horrible headaches i can only explain as burning all over my head. They stopped the end of May and June and now its back. 
Anyone else experiencing  headaches? Nothing seems to help them.</t>
        </is>
      </c>
      <c r="D3622" t="n">
        <v>1</v>
      </c>
      <c r="E3622" t="n">
        <v>9</v>
      </c>
      <c r="F3622">
        <f>HYPERLINK("https://www.reddit.com/r/COVID19positive/comments/hx4hmk/return_of_the_headache/")</f>
        <v/>
      </c>
      <c r="G3622" t="inlineStr">
        <is>
          <t>2020-07-24 09:07:13</t>
        </is>
      </c>
      <c r="H3622" t="inlineStr">
        <is>
          <t>Presumed Positive - From Doctor</t>
        </is>
      </c>
    </row>
    <row r="3623">
      <c r="A3623" t="inlineStr">
        <is>
          <t>hx4hrq</t>
        </is>
      </c>
      <c r="B3623" t="inlineStr">
        <is>
          <t>Potential false negative?</t>
        </is>
      </c>
      <c r="C3623" t="inlineStr">
        <is>
          <t>Background:
2 year old came home with a cold last Thursday. Slight fever reduced with Tylenol and runny nose and cough. Resolved in about 24 hours right around the time we got notice that a sibling of a child he attends daycare with tested positive.
Husband and I started experiencing cold symptoms Friday night. I had nasal drip, coughing, and some fatigue. Hot/cold at night and a headache over the weekend. Tuesday lost most sense of smell and all sense of taste. Tested Wednesday AM but then got negative results last night.
Today I feel worse - headache and nausea, but also a toothache that developed yesterday. Still no fever but definitely tired and still experiencing congestion. 
Is it possible I tested too early? It would have been Day 6 if symptoms.</t>
        </is>
      </c>
      <c r="D3623" t="n">
        <v>2</v>
      </c>
      <c r="E3623" t="n">
        <v>8</v>
      </c>
      <c r="F3623">
        <f>HYPERLINK("https://www.reddit.com/r/COVID19positive/comments/hx4hrq/potential_false_negative/")</f>
        <v/>
      </c>
      <c r="G3623" t="inlineStr">
        <is>
          <t>2020-07-24 09:07:22</t>
        </is>
      </c>
      <c r="H3623" t="inlineStr">
        <is>
          <t>Presumed Positive - From Test</t>
        </is>
      </c>
    </row>
    <row r="3624">
      <c r="A3624" t="inlineStr">
        <is>
          <t>hx4uyx</t>
        </is>
      </c>
      <c r="B3624" t="inlineStr">
        <is>
          <t>Help me, help all of us?</t>
        </is>
      </c>
      <c r="C3624" t="inlineStr">
        <is>
          <t>Help, please? 
My father (85) was exposed to a person who developed Covid 19 symptoms on Saturday. My dad had been in close proximity with her on Thursday. Both people were wearing masks.  The woman has tested negative from a nasal swab taken on Monday, but she still has an elevated temp (99/101 back and forth), ticklish cough and fatigue. Her doctor wants her to get retested since her symptoms are so Covid like. 
I told my dad he needs to self isolate for 14 days. My dad’s internist just told him that he is fine to go out... even visit with his elderly friends.  My assumption had been that since my dad had a close encounter that he should isolate. Isn’t it odd that the MD is  eschewing what we’ve all heard about contact tracing? That a person who is in close proximity with a person who seems to have Covid should isolate? 
Thank you for your thoughts, in advance!</t>
        </is>
      </c>
      <c r="D3624" t="n">
        <v>9</v>
      </c>
      <c r="E3624" t="n">
        <v>6</v>
      </c>
      <c r="F3624">
        <f>HYPERLINK("https://www.reddit.com/r/COVID19positive/comments/hx4uyx/help_me_help_all_of_us/")</f>
        <v/>
      </c>
      <c r="G3624" t="inlineStr">
        <is>
          <t>2020-07-24 09:27:17</t>
        </is>
      </c>
      <c r="H3624" t="inlineStr">
        <is>
          <t>Tested Positive - Friends</t>
        </is>
      </c>
    </row>
    <row r="3625">
      <c r="A3625" t="inlineStr">
        <is>
          <t>hx4wev</t>
        </is>
      </c>
      <c r="B3625" t="inlineStr">
        <is>
          <t>Secondary Symptom Information Resources</t>
        </is>
      </c>
      <c r="C3625" t="inlineStr">
        <is>
          <t>So I'm on day 18 of symptoms. First cough was June 6th. Took about 12 days for the common symptoms to subside. Fever, cough, sore throat, severe fatigue etc. However, neurological symptoms have been ever increasing. These include shortness of breath, slowly increasing average resting heart rate, blurred vision, neck pain and . What I thought might be a mild case looking back may have been a more moderate case. My fever reached 100.4°F at its peak which was higher than a lot of cases I read through. The neck pain right at the based of my skull was so severe that I could not turn my head to look both ways while driving. While I'm not there yet, I think the potential for them to come back is possible. 
What if anything can I do to help with these symptoms at home? 
What would happen if I went to the hospital? Or is this more of a "take vitamins and rest" scenario?
Just looking for information on what to expect and actions that I can take. Thanks.</t>
        </is>
      </c>
      <c r="D3625" t="n">
        <v>1</v>
      </c>
      <c r="E3625" t="n">
        <v>8</v>
      </c>
      <c r="F3625">
        <f>HYPERLINK("https://www.reddit.com/r/COVID19positive/comments/hx4wev/secondary_symptom_information_resources/")</f>
        <v/>
      </c>
      <c r="G3625" t="inlineStr">
        <is>
          <t>2020-07-24 09:29:17</t>
        </is>
      </c>
      <c r="H3625" t="inlineStr">
        <is>
          <t>Tested Positive - Me</t>
        </is>
      </c>
    </row>
    <row r="3626">
      <c r="A3626" t="inlineStr">
        <is>
          <t>hx5rd2</t>
        </is>
      </c>
      <c r="B3626" t="inlineStr">
        <is>
          <t>Visiting a friend today and I’m really anxious</t>
        </is>
      </c>
      <c r="C3626" t="inlineStr">
        <is>
          <t>So I tested positive in late May of 2020, I’ve been tested recently and I know I’m negative but I still feel very anxious. Ever since I got the virus I’ve been to nervous to physically socialize and even re enter society. I don’t know what to do.</t>
        </is>
      </c>
      <c r="D3626" t="n">
        <v>4</v>
      </c>
      <c r="E3626" t="n">
        <v>4</v>
      </c>
      <c r="F3626">
        <f>HYPERLINK("https://www.reddit.com/r/COVID19positive/comments/hx5rd2/visiting_a_friend_today_and_im_really_anxious/")</f>
        <v/>
      </c>
      <c r="G3626" t="inlineStr">
        <is>
          <t>2020-07-24 10:14:03</t>
        </is>
      </c>
      <c r="H3626" t="inlineStr">
        <is>
          <t>Tested Positive - Me</t>
        </is>
      </c>
    </row>
    <row r="3627">
      <c r="A3627" t="inlineStr">
        <is>
          <t>hx5yez</t>
        </is>
      </c>
      <c r="B3627" t="inlineStr">
        <is>
          <t>ANYONE WHOS HAD COVID</t>
        </is>
      </c>
      <c r="C3627" t="inlineStr">
        <is>
          <t>im looking for other people who have got covid and got a email sent to them with a positive test result. looking to see what the email said and how it looked.</t>
        </is>
      </c>
      <c r="D3627" t="n">
        <v>0</v>
      </c>
      <c r="E3627" t="n">
        <v>4</v>
      </c>
      <c r="F3627">
        <f>HYPERLINK("https://www.reddit.com/r/COVID19positive/comments/hx5yez/anyone_whos_had_covid/")</f>
        <v/>
      </c>
      <c r="G3627" t="inlineStr">
        <is>
          <t>2020-07-24 10:25:00</t>
        </is>
      </c>
      <c r="H3627" t="inlineStr">
        <is>
          <t>Tested Positive</t>
        </is>
      </c>
    </row>
    <row r="3628">
      <c r="A3628" t="inlineStr">
        <is>
          <t>hx70o1</t>
        </is>
      </c>
      <c r="B3628" t="inlineStr">
        <is>
          <t>Long timer with symptoms since March</t>
        </is>
      </c>
      <c r="C3628" t="inlineStr">
        <is>
          <t>Hello all,
I am not quite sure to turn anymore other than this forum. I'm a 27 year old male in good health, prior to all of this was quite athletic.
Back in March I came down with a bad cough which then turned into a productive cough. I started coughing up all sort of nasty yellow phlegm. I tried to get an appointment with a doctor at the time however I was unable to as covid was a health scare. I was told to to rest and wait it out, but this wasn't going away.
In late March I succeeded in getting an appointment with a doctor who prescribed me various steroids and an an inhaler, which did nothing. After calling back I was then prescribed antibiotics over the phone. A 10-day course of antibiotics which wrapped up in the beginning of April. During that course of antibiotics, I began to experience heavy chest tightness. I called the doctor back and was prescribed a 2nd inhaler. It is important to know I am not an asthmatic.
The inhalers did not much for me, nonetheless I took them. I then had a x-ray which came back clear as did a blood test. The doctor that I was seeing told me I probably had asthma with no mention of covid19.
I then waited a few weeks to see if things would get better which brought me to the beginning of July. As things were still relatively the same I contacted a different clinic a different doctor. At that clinic I had an EKG done, blood tests, listening to my chest and heart and a covid antibodies test. The doctor was rather sure I did not have asthma due to a quick blow test of sorts.
Everything came back normal except the antibodies test which showed that I most likely had traces of antibodies in my blood. I have a lung function test scheduled for the 30th and I must redo an antibodies test.
I am not the same since I got sick back in March, my chest pains are lingering and constant. I have been able to do some moderate exercise however if I do push it I am stricken with chest pain for one to two days that is much heavier than usual and I cough up some clear mucus. Fatigue can be a real burden when feeling chest pain. That said light chest pain or moderate chest pain is not normal and it's something that has been driving me nuts. So this is where we are.</t>
        </is>
      </c>
      <c r="D3628" t="n">
        <v>6</v>
      </c>
      <c r="E3628" t="n">
        <v>39</v>
      </c>
      <c r="F3628">
        <f>HYPERLINK("https://www.reddit.com/r/COVID19positive/comments/hx70o1/long_timer_with_symptoms_since_march/")</f>
        <v/>
      </c>
      <c r="G3628" t="inlineStr">
        <is>
          <t>2020-07-24 11:20:03</t>
        </is>
      </c>
      <c r="H3628" t="inlineStr">
        <is>
          <t>Tested Positive - Me</t>
        </is>
      </c>
    </row>
    <row r="3629">
      <c r="A3629" t="inlineStr">
        <is>
          <t>hx746f</t>
        </is>
      </c>
      <c r="B3629" t="inlineStr">
        <is>
          <t>Dry Throat/Dehydration</t>
        </is>
      </c>
      <c r="C3629" t="inlineStr">
        <is>
          <t>Is anyone else having a dry throat!!! I’ve been drinking so much and eating hydrating foods but my throat is still dry as the desert i tested positive July 6th and have had zero symptoms till 2 days ago when I noticed how dry my throat is!!</t>
        </is>
      </c>
      <c r="D3629" t="n">
        <v>2</v>
      </c>
      <c r="E3629" t="n">
        <v>11</v>
      </c>
      <c r="F3629">
        <f>HYPERLINK("https://www.reddit.com/r/COVID19positive/comments/hx746f/dry_throatdehydration/")</f>
        <v/>
      </c>
      <c r="G3629" t="inlineStr">
        <is>
          <t>2020-07-24 11:25:22</t>
        </is>
      </c>
      <c r="H3629" t="inlineStr">
        <is>
          <t>Tested Positive - Me</t>
        </is>
      </c>
    </row>
    <row r="3630">
      <c r="A3630" t="inlineStr">
        <is>
          <t>hx74l1</t>
        </is>
      </c>
      <c r="B3630" t="inlineStr">
        <is>
          <t>Anybody test positive and was released from quarantine</t>
        </is>
      </c>
      <c r="C3630" t="inlineStr">
        <is>
          <t>I live in Illinois and tested positive, after my initial quarantine. The healthcare district released me from quarantine, even though the hospital (memorial hospital) ruled me positive and told me to quarantine. Anybody else have a similar experience cause I’m starting to think I’m the only one with this dilemma</t>
        </is>
      </c>
      <c r="D3630" t="n">
        <v>1</v>
      </c>
      <c r="E3630" t="n">
        <v>6</v>
      </c>
      <c r="F3630">
        <f>HYPERLINK("https://www.reddit.com/r/COVID19positive/comments/hx74l1/anybody_test_positive_and_was_released_from/")</f>
        <v/>
      </c>
      <c r="G3630" t="inlineStr">
        <is>
          <t>2020-07-24 11:25:55</t>
        </is>
      </c>
      <c r="H3630" t="inlineStr">
        <is>
          <t>Tested Positive - Me</t>
        </is>
      </c>
    </row>
    <row r="3631">
      <c r="A3631" t="inlineStr">
        <is>
          <t>hx8pha</t>
        </is>
      </c>
      <c r="B3631" t="inlineStr">
        <is>
          <t>I just wanted to share my frustration: I've beat COVID but can't donate my plasma because I'm gay.</t>
        </is>
      </c>
      <c r="C3631" t="inlineStr">
        <is>
          <t>Yup, I'm a man who has been in a monogamous relationship with a man for years, yet I cannot donate my plasma because I'm gay.
The restriction is to prevent any man who's had sex with a man for 3 months (it's usually 6, but they are lenient because of COVID) from donating blood or plasma. This was due to stopping the HIV crises back in the 80s, but HIV is no longer a death-sentence anymore and the blood is tested.
I feel irked, because I truly believe in helping people when possible, but my hands are absolutely tied here. 
I guess this is a PSA: If you're a gay man, you can't donate your blood or plasma (unless you lie). Just an FYI.</t>
        </is>
      </c>
      <c r="D3631" t="n">
        <v>23</v>
      </c>
      <c r="E3631" t="n">
        <v>99</v>
      </c>
      <c r="F3631">
        <f>HYPERLINK("https://www.reddit.com/r/COVID19positive/comments/hx8pha/i_just_wanted_to_share_my_frustration_ive_beat/")</f>
        <v/>
      </c>
      <c r="G3631" t="inlineStr">
        <is>
          <t>2020-07-24 12:50:43</t>
        </is>
      </c>
      <c r="H3631" t="inlineStr">
        <is>
          <t>Tested Positive - Family</t>
        </is>
      </c>
    </row>
    <row r="3632">
      <c r="A3632" t="inlineStr">
        <is>
          <t>hx8z5o</t>
        </is>
      </c>
      <c r="B3632" t="inlineStr">
        <is>
          <t>My family is Covid19+. I want to SCREAM @ officials who say it's safe to reopen schools.</t>
        </is>
      </c>
      <c r="C3632" t="inlineStr">
        <is>
          <t>We took every precaution, but my husband's assistant tested positive after a night @ the bars. My husband isolated immediately, but our whole household is now positive.  
Both my husband &amp;amp; I initially had mild allergy/sinus symptoms. It's not unusual for us this time of year. If his assistant hadn't called &amp;amp; told us he was positive, we may have overlooked our first symptoms. How many teachers/kids also have allergy issues &amp;amp; would go to school, not knowing it was the first sign of Covid19? 
My daughter has mild asthma. Her onset of symptoms was fast &amp;amp; scary. Shortness of breath/102 fever/asthma attack that didn't improve much w/ albuterol. If we didn't know we were exposed &amp;amp; school was in session, she would have gone, because she was acting perfectly fine in the morning. 
Our local schools don't even have a full time nurse. There is no contact tracing in our county.
How in the hell does anyone think this is going to work?</t>
        </is>
      </c>
      <c r="D3632" t="n">
        <v>44</v>
      </c>
      <c r="E3632" t="n">
        <v>192</v>
      </c>
      <c r="F3632">
        <f>HYPERLINK("https://www.reddit.com/r/COVID19positive/comments/hx8z5o/my_family_is_covid19_i_want_to_scream_officials/")</f>
        <v/>
      </c>
      <c r="G3632" t="inlineStr">
        <is>
          <t>2020-07-24 13:05:21</t>
        </is>
      </c>
      <c r="H3632" t="inlineStr">
        <is>
          <t>Tested Positive - Family</t>
        </is>
      </c>
    </row>
    <row r="3633">
      <c r="A3633" t="inlineStr">
        <is>
          <t>hx97no</t>
        </is>
      </c>
      <c r="B3633" t="inlineStr">
        <is>
          <t>Indigestion/Acid Reflux or Anxiety or COVID</t>
        </is>
      </c>
      <c r="C3633" t="inlineStr">
        <is>
          <t>I started feeling a pressure in my chest a couple of days ago. I feel a very slight weakness in my throat and a very occasional cough. I've had moments where the symptoms get worse and sometimes I feel just fine.
I don't know that I have true shortness of breath, but I'm definitely paying a lot more attention to my breathing. I also don't have a fever.
I'm an avid runner, but took the last two weeks off because work got crazy. As such, I've been eating terribly and drinking soda, which I don't normally do. So I don't know whether this is just a bad case of acid reflux/anxiety or truly COVID.
But I've just been so riddled with anxiety since my chest first started feeling funny. Last night I typed up information about my bank/retirement accounts and life insurance for my partner and other beneficiaries. I'm getting a molecular COVID test today to see if I have COVID to put my mind at ease, but I'm pretty sure I have it. 
I just don't know what to do now. I'm trying to isolate from my partner in our house, but I know that will be difficult. I'm so frustrated because I had been quarantining so well between March - June. But then work required me to travel the last few weeks. I wore a mask everywhere I went and limited my interactions to just going between work (a laboratory) and my hotel during travel.
We'll see how my result goes. I should know in 5-12 days.
Edit: Not a DNA test. I meant Molecular Test which is typically RNA for viruses.</t>
        </is>
      </c>
      <c r="D3633" t="n">
        <v>1</v>
      </c>
      <c r="E3633" t="n">
        <v>15</v>
      </c>
      <c r="F3633">
        <f>HYPERLINK("https://www.reddit.com/r/COVID19positive/comments/hx97no/indigestionacid_reflux_or_anxiety_or_covid/")</f>
        <v/>
      </c>
      <c r="G3633" t="inlineStr">
        <is>
          <t>2020-07-24 13:18:01</t>
        </is>
      </c>
      <c r="H3633" t="inlineStr">
        <is>
          <t>Presumed Positive - From Doctor</t>
        </is>
      </c>
    </row>
    <row r="3634">
      <c r="A3634" t="inlineStr">
        <is>
          <t>hx9htk</t>
        </is>
      </c>
      <c r="B3634" t="inlineStr">
        <is>
          <t>Ongoing fatigue?</t>
        </is>
      </c>
      <c r="C3634" t="inlineStr">
        <is>
          <t>I originally got sick 3 months ago. Struggled with SOB, low grade fever and cough. Felt fine these past 3 weeks but now for the last 3 days I can’t shake this random fatigue off. I feel sleepy and exhausted all day. Is this normal with COVID? How can I get rid of this tiredness?</t>
        </is>
      </c>
      <c r="D3634" t="n">
        <v>2</v>
      </c>
      <c r="E3634" t="n">
        <v>10</v>
      </c>
      <c r="F3634">
        <f>HYPERLINK("https://www.reddit.com/r/COVID19positive/comments/hx9htk/ongoing_fatigue/")</f>
        <v/>
      </c>
      <c r="G3634" t="inlineStr">
        <is>
          <t>2020-07-24 13:33:15</t>
        </is>
      </c>
      <c r="H3634" t="inlineStr">
        <is>
          <t>Tested Positive</t>
        </is>
      </c>
    </row>
    <row r="3635">
      <c r="A3635" t="inlineStr">
        <is>
          <t>hx9k33</t>
        </is>
      </c>
      <c r="B3635" t="inlineStr">
        <is>
          <t>Experience of my family who tested positive for anti-bodies</t>
        </is>
      </c>
      <c r="C3635" t="inlineStr">
        <is>
          <t>Hi all, 
Just wanted to share what happened with my family regarding COVID-19. My father (60 yrs) just tested positive for anti-bodies. My mother (56) and sibling (32) are scheduled for anti-body testing in the coming week. 
We all believe my entire family got the virus in mid-late January, before any official reports of it in the country (we are in Asia).  My parents traveled to a different part of the country, after which my mother fell ill. She had all the standard symptoms - dry cough, fever, difficulty breathing. She couldn't sleep a few nights because she of difficulty in breathing. Eventually, she went to the doctor who also couldn't figure out what was wrong with her and gave her some asthma meds and an inhaler (I don't know the details of the meds). That made her dry cough go away. Overall her symptoms lasted about a month. 
My dad also fell ill right after mom, but his symptoms were milder. Mostly fever and cough. He recovered over a couple of weeks. My sister showed no signs of illness throughout this time. My mom has no pre-existing conditions. My father is diabetic and has high BP. I do not live with them and had no interaction with them throughout this time as I am in a different city. Both parents have been taking daily multi-vitamins for a few years now (Vit D, C, Zinc).
I am honestly glad they recovered without any major issues, but I am also slightly skeptical about the anti-body tests as false positives are high. I think I will only be convinced they had the virus if all 3 get tested for anti-bodies. The next step would be to donate plasma. 
Let me know if you have any questions and I'll try my best to answer them!</t>
        </is>
      </c>
      <c r="D3635" t="n">
        <v>5</v>
      </c>
      <c r="E3635" t="n">
        <v>2</v>
      </c>
      <c r="F3635">
        <f>HYPERLINK("https://www.reddit.com/r/COVID19positive/comments/hx9k33/experience_of_my_family_who_tested_positive_for/")</f>
        <v/>
      </c>
      <c r="G3635" t="inlineStr">
        <is>
          <t>2020-07-24 13:36:39</t>
        </is>
      </c>
      <c r="H3635" t="inlineStr">
        <is>
          <t>Tested Positive - Family</t>
        </is>
      </c>
    </row>
    <row r="3636">
      <c r="A3636" t="inlineStr">
        <is>
          <t>hxagmy</t>
        </is>
      </c>
      <c r="B3636" t="inlineStr">
        <is>
          <t>...now what</t>
        </is>
      </c>
      <c r="C3636" t="inlineStr">
        <is>
          <t>i tested on sunday 7/12 and quarantined. wednesday i found out i was positive. i tested again and just found out i am still positive. this coming sunday would be my two weeks quarantined. i’m completely asymptomatic. no symptoms beside pure anxiety. my doctor told me after ~10 days if my symptoms don’t progress i should be good to be around people? but now i’m hearing i shouldn’t even gotten tested again. not sure what else to do...</t>
        </is>
      </c>
      <c r="D3636" t="n">
        <v>3</v>
      </c>
      <c r="E3636" t="n">
        <v>8</v>
      </c>
      <c r="F3636">
        <f>HYPERLINK("https://www.reddit.com/r/COVID19positive/comments/hxagmy/now_what/")</f>
        <v/>
      </c>
      <c r="G3636" t="inlineStr">
        <is>
          <t>2020-07-24 14:27:19</t>
        </is>
      </c>
      <c r="H3636" t="inlineStr">
        <is>
          <t>Tested Positive - Me</t>
        </is>
      </c>
    </row>
    <row r="3637">
      <c r="A3637" t="inlineStr">
        <is>
          <t>hxajha</t>
        </is>
      </c>
      <c r="B3637" t="inlineStr">
        <is>
          <t>I am fairly certain that I have COVID-19 and I am just terrified</t>
        </is>
      </c>
      <c r="C3637" t="inlineStr">
        <is>
          <t>So, a friend of mine that I saw in person on Tuesday of last week texted me last Friday saying that he's been feeling feverish / achey.  This immediately concerned me because I had been around him for about an hour inside of his home a few days before he started showing symptoms.  Fast forward to Sunday, I woke up feeling feverish / achey.  Woke up Monday, gone.  Monday night I stupidly had a really strong cup of coffee at 11PM and was up until 5-6AM and got about 2 hours sleep.  On Tuesday morning the low-grade fever / body aches resumed and I've had them ever since.  So, today is technically day 6 of being sick for me.  I have a low-grade fever (99.8F), body aches (which have actually gotten better in the last 2-3 days), sometimes headaches, and, last night, I felt some stomach discomfort.  Also, I've been experiencing congestion / runny nose / what feels like postnasal drip.  All in all, I still have my appetite and I've been taking Motrin which *completely* gets rid of all symptoms.  Once the Motrin wears off I start feeling feverish / achey again.  I might be imagining it, but I do feel like I have had a few stabbing pains in my lungs a handful of times in the last few days (lower lung usually) but nothing too crazy at all.
So, my friend texted me today saying that he's been feeling better but still cannot smell anything.  I had *no idea* that he lost his sense of smell.  This is what urged me to get a COVID-19 test done today (of which I won't have the results for for 7 days).  Up until this point I was thinking it might be COVID-19 but probably not.
I have a 5-month old baby, a 5 year old and a loving 36 year old wife.  I am also 36 and I am in good health.
Is it bad to be suppressing my fever with Motrin?  It literally makes me feel 99% normal but when it wears off the shitty feelings return.  I am just having a really tough time reading all of these stories of other healthy 36 year old people that have just suddenly died from this virus (strokes, blood clots).
I am currently on day 6 and I know that a lot of people experience COVID-19 flare ups around days 6-10.  Nothing yet for me, but I am worried.
I don't have a cough *at all*.  I don't have a sore throat *at all*.  I don't really have any nausea.  I also don't have a really bad fever.  I just don't ever recall ever having a low-grade fever for 6 days in a row at any time in my life previous to this incident.  I am just fearful that this is going to all of a sudden flare up and I'm going to end up in a hospital bed or something.  I'm just terrified of this thing.
Any words of advice would be greatly helpful.... I know I probably have a mild case compared to some and my experience isn't anywhere near severe, but still... I am terrified.</t>
        </is>
      </c>
      <c r="D3637" t="n">
        <v>1</v>
      </c>
      <c r="E3637" t="n">
        <v>6</v>
      </c>
      <c r="F3637">
        <f>HYPERLINK("https://www.reddit.com/r/COVID19positive/comments/hxajha/i_am_fairly_certain_that_i_have_covid19_and_i_am/")</f>
        <v/>
      </c>
      <c r="G3637" t="inlineStr">
        <is>
          <t>2020-07-24 14:31:42</t>
        </is>
      </c>
      <c r="H3637" t="inlineStr">
        <is>
          <t>Presumed Positive - From Test</t>
        </is>
      </c>
    </row>
    <row r="3638">
      <c r="A3638" t="inlineStr">
        <is>
          <t>hxarfd</t>
        </is>
      </c>
      <c r="B3638" t="inlineStr">
        <is>
          <t>What are your symptoms 3 weeks after your first symptoms?</t>
        </is>
      </c>
      <c r="C3638" t="inlineStr">
        <is>
          <t>Just wondering how people are feeling 3 weeks into their recovery? I’m 3 weeks into my recovery and have been feeling ok for the last week. A few days ago I developed a dry cough, sore chest and still have vertigo/ dizziness every now and then. I was feeling really good and had a few beers the other day, the next morning I woke up with a cough and sore chest.</t>
        </is>
      </c>
      <c r="D3638" t="n">
        <v>1</v>
      </c>
      <c r="E3638" t="n">
        <v>4</v>
      </c>
      <c r="F3638">
        <f>HYPERLINK("https://www.reddit.com/r/COVID19positive/comments/hxarfd/what_are_your_symptoms_3_weeks_after_your_first/")</f>
        <v/>
      </c>
      <c r="G3638" t="inlineStr">
        <is>
          <t>2020-07-24 14:45:57</t>
        </is>
      </c>
      <c r="H3638" t="inlineStr">
        <is>
          <t>Tested Positive</t>
        </is>
      </c>
    </row>
    <row r="3639">
      <c r="A3639" t="inlineStr">
        <is>
          <t>hxbdjv</t>
        </is>
      </c>
      <c r="B3639" t="inlineStr">
        <is>
          <t>Does anyone who was sickened from January to early April -- when testing was not available -- feel like their experience with the disease is being erased?</t>
        </is>
      </c>
      <c r="C3639" t="inlineStr">
        <is>
          <t>Based on clinical presentation, many of us clearly had this disease from January to early April, but there was no testing available -- at least in the United States -- and we had to accept a clinical diagnosis based on symptoms. And, of course, antibody tests only became widely available in May and June, but now we know that those are often useless if you had the disease some weeks or months before getting the antibody test. So, I'm wondering if others who are almost certain to have experienced the disease at the beginning feel like their experience has almost been erased?</t>
        </is>
      </c>
      <c r="D3639" t="n">
        <v>14</v>
      </c>
      <c r="E3639" t="n">
        <v>64</v>
      </c>
      <c r="F3639">
        <f>HYPERLINK("https://www.reddit.com/r/COVID19positive/comments/hxbdjv/does_anyone_who_was_sickened_from_january_to/")</f>
        <v/>
      </c>
      <c r="G3639" t="inlineStr">
        <is>
          <t>2020-07-24 15:26:05</t>
        </is>
      </c>
      <c r="H3639" t="inlineStr">
        <is>
          <t>Presumed Positive - From Doctor</t>
        </is>
      </c>
    </row>
    <row r="3640">
      <c r="A3640" t="inlineStr">
        <is>
          <t>hxbudl</t>
        </is>
      </c>
      <c r="B3640" t="inlineStr">
        <is>
          <t>Can anyone else smell the sickness?</t>
        </is>
      </c>
      <c r="C3640" t="inlineStr">
        <is>
          <t>I am on Day 23 and finally feeling better. A few days ago, I started to smell this weird smell that I know sounds crazy, but I think it’s coming from the phlegm in my throat and chest.  I smell it really strong when I’m in certain places.  I can still smell other things, but that scent is really strong.</t>
        </is>
      </c>
      <c r="D3640" t="n">
        <v>3</v>
      </c>
      <c r="E3640" t="n">
        <v>22</v>
      </c>
      <c r="F3640">
        <f>HYPERLINK("https://www.reddit.com/r/COVID19positive/comments/hxbudl/can_anyone_else_smell_the_sickness/")</f>
        <v/>
      </c>
      <c r="G3640" t="inlineStr">
        <is>
          <t>2020-07-24 15:55:35</t>
        </is>
      </c>
      <c r="H3640" t="inlineStr">
        <is>
          <t>Tested Positive - Me</t>
        </is>
      </c>
    </row>
    <row r="3641">
      <c r="A3641" t="inlineStr">
        <is>
          <t>hxcprs</t>
        </is>
      </c>
      <c r="B3641" t="inlineStr">
        <is>
          <t>Overly emotional</t>
        </is>
      </c>
      <c r="C3641" t="inlineStr">
        <is>
          <t>I started having symptoms on Sunday and gradually started to get worse. On Tuesday 7/21 I was tested and received a positive result the next day. So far I’ve been riding body aches, lack of sleep and a crazy fever that will range from 98-102.7. Today, I woke up feeling a little better and o didn’t have a temp this morning but it did go back up to 101 around noon. Today for some reason, I cannot stop crying. Has this happened to anyone else? I’m sure I’m just overwhelmed by all of this but wanted to know what other people’s experiences have been</t>
        </is>
      </c>
      <c r="D3641" t="n">
        <v>4</v>
      </c>
      <c r="E3641" t="n">
        <v>6</v>
      </c>
      <c r="F3641">
        <f>HYPERLINK("https://www.reddit.com/r/COVID19positive/comments/hxcprs/overly_emotional/")</f>
        <v/>
      </c>
      <c r="G3641" t="inlineStr">
        <is>
          <t>2020-07-24 16:49:44</t>
        </is>
      </c>
      <c r="H3641" t="inlineStr">
        <is>
          <t>Tested Positive - Me</t>
        </is>
      </c>
    </row>
    <row r="3642">
      <c r="A3642" t="inlineStr">
        <is>
          <t>hxcwp1</t>
        </is>
      </c>
      <c r="B3642" t="inlineStr">
        <is>
          <t>Family all sick from Covid, I have much different symptoms.</t>
        </is>
      </c>
      <c r="C3642" t="inlineStr">
        <is>
          <t>My brother got sick first, brought it home and got all of us sick basically. We’re about three days behind him in symptoms. Both him and my parents have the usual symptoms: fever, cough, and exhaustion. 
In the past few days I’ve felt pretty much okay, day 1: I was extremely exhausted and had a headache at night. Day 2 and 3: pretty bad nausea at night and some throughout the day, still exhausted. Day 4 (Today): no nausea at all but I feel the beginnings of a cough, my chest feels like it’s somewhat burning (??) not sure how to explain it. Honestly at this point I can’t tell if it’s acid reflux or my lungs.
I’m a 20 year old female if that helps, just posting to  see if anyone has had similar symptoms and kinda what I should expect from here on out.</t>
        </is>
      </c>
      <c r="D3642" t="n">
        <v>3</v>
      </c>
      <c r="E3642" t="n">
        <v>13</v>
      </c>
      <c r="F3642">
        <f>HYPERLINK("https://www.reddit.com/r/COVID19positive/comments/hxcwp1/family_all_sick_from_covid_i_have_much_different/")</f>
        <v/>
      </c>
      <c r="G3642" t="inlineStr">
        <is>
          <t>2020-07-24 17:02:10</t>
        </is>
      </c>
      <c r="H3642" t="inlineStr">
        <is>
          <t>Presumed Positive - From Doctor</t>
        </is>
      </c>
    </row>
    <row r="3643">
      <c r="A3643" t="inlineStr">
        <is>
          <t>hxd4z3</t>
        </is>
      </c>
      <c r="B3643" t="inlineStr">
        <is>
          <t>How long is it recommended that I quarantine?</t>
        </is>
      </c>
      <c r="C3643" t="inlineStr">
        <is>
          <t>About two weeks ago (Saturday July 11th) I was exposed to someone who was positive for covid at a graduation party and self isolated in my room as soon as I found out (Last Wednesday). Then I got tested last Thursday and found out I was positive that Sunday. Thankfully no-one else in my family tested positive and so far I have no symptoms whatsoever. That being said I was wondering when would it be safe for me to stop isolating? My doctor told me that 10 days from when I was exposed was the minimum, but when I look online I see times such as "14 days after exposure", "10 days after positive test", 3 days after symptoms subside". I really don't want to mess with getting anyone infected, and at the same time I would very much like to go back to work before I ship out to college and my boss just asked if I would be at work Monday so it's a little frustrating to see all the conflicting times for how long one should quarantine.</t>
        </is>
      </c>
      <c r="D3643" t="n">
        <v>1</v>
      </c>
      <c r="E3643" t="n">
        <v>5</v>
      </c>
      <c r="F3643">
        <f>HYPERLINK("https://www.reddit.com/r/COVID19positive/comments/hxd4z3/how_long_is_it_recommended_that_i_quarantine/")</f>
        <v/>
      </c>
      <c r="G3643" t="inlineStr">
        <is>
          <t>2020-07-24 17:16:50</t>
        </is>
      </c>
      <c r="H3643" t="inlineStr">
        <is>
          <t>Tested Positive - Me</t>
        </is>
      </c>
    </row>
    <row r="3644">
      <c r="A3644" t="inlineStr">
        <is>
          <t>hxdeh2</t>
        </is>
      </c>
      <c r="B3644" t="inlineStr">
        <is>
          <t>Still Testing Positive 45 Days Later, am I contagious?</t>
        </is>
      </c>
      <c r="C3644" t="inlineStr">
        <is>
          <t>I had moderate symptoms for the first 3 weeks and did develop covid pneumonia. I have been mostly symptom free the last two weeks then minus some lasting fatigue and smell/taste isn’t fully back yet.
I decided to volunteer for a clinical trial where we were retested using two different testing systems last week expecting I’d be negative by now. I’ve already done the antibody test and was positive for antibodies as of two weeks ago. 
The nurse called this evening to inform me I tested positive on both tests. She advised that I resume full quarantine. Has anyone had the same experience/how long for you to begin testing negative? Am I still contagious and do I need to quarantine until I receive a negative test? This feels like it will never end.</t>
        </is>
      </c>
      <c r="D3644" t="n">
        <v>2</v>
      </c>
      <c r="E3644" t="n">
        <v>8</v>
      </c>
      <c r="F3644">
        <f>HYPERLINK("https://www.reddit.com/r/COVID19positive/comments/hxdeh2/still_testing_positive_45_days_later_am_i/")</f>
        <v/>
      </c>
      <c r="G3644" t="inlineStr">
        <is>
          <t>2020-07-24 17:34:12</t>
        </is>
      </c>
      <c r="H3644" t="inlineStr">
        <is>
          <t>Tested Positive</t>
        </is>
      </c>
    </row>
    <row r="3645">
      <c r="A3645" t="inlineStr">
        <is>
          <t>hxdfcx</t>
        </is>
      </c>
      <c r="B3645" t="inlineStr">
        <is>
          <t>My covid+ symptoms timeline</t>
        </is>
      </c>
      <c r="C3645" t="inlineStr">
        <is>
          <t>I am in the late 20s, F, healthy, no other existing medical conditions.
On 7/8 (Wednesday), I was told I had been exposed the day prior (Tuesday) to someone that had just tested positive. I had been wearing a surgical mask, but the positive person at the time was not. 
On 7/9 (Thursday), I woke up with a dry cough and very mild sore throat. It felt like something was in my throat and really just felt like allergies. Then I had a mild/moderate headache in the evening. I took some ibuprofen and hoped I would feel better the next day.
On 7/10 (Friday), I woke up with a headache and just felt off. Considering my recent exposure, I decided to get tested to be safe. I felt like crap throughout the day and continued to take ibuprofen to help with the headache. I was pretty warm and constantly sweating too. There were times when I felt short of breath, but nothing extreme.
On 7/11 (Saturday), I woke up with another headache and felt fatigued. Took some ibuprofen in the morning and I felt better than the previous day overall. Found out I had tested positive for covid.
On 7/12 (Sunday), I felt great. First time I'd woken up without a headache. No ibuprofen taken this day. Voice was a bit raspy though. No other symptoms. 
On 7/13 (Monday), still feeling overall pretty good. Maybe 80% back to normal. Noticed that my sense of smell had decreased. I usually have a really good sense of smell but it seemed to be dulled. 
On 7/14 (Tuesday), my sense of smell and taste had been greatly dulled. My headache came back but was resolved with one dose of ibuprofen.
On 7/15 (Wednesday), I was doing about the same but still felt so exhausted. I was out of breath after walking one flight of stairs. 
On 7/16 (Thursday) Still exhausted. Taste seemed to be improving. Still no smell.
On 7/17 (Friday), woke up feeling better than I had been the entire time. Taste had basically returned. Smell slowly starting to improve too - was starting to be able to smell my candle again.
On 7/20 (Monday), cleared to go back to work. Doing well, but stamina hadn't quite returned to 100%, but I think it's because I had spent the past week barely moving.
On 7/27 (Friday), been back to work for a week. I'd venture to say that I've fully recovered at this point!
Just some things to note from my own experience. This entire time, I never had a fever. My highest temperature had been 98.6 F. My normal temp is usually 96-97F. I think the biggest symptom for me was the constant fatigue. No matter how much I slept and napped, I still felt so tired all the time. As for medicines, I took ibuprofen for symptom relief, a daily multivitamin, and zicam the first few days.
My advice for those that are young with no other co-morbidities, get your rest. Make sure to eat. And please quarantine.</t>
        </is>
      </c>
      <c r="D3645" t="n">
        <v>20</v>
      </c>
      <c r="E3645" t="n">
        <v>37</v>
      </c>
      <c r="F3645">
        <f>HYPERLINK("https://www.reddit.com/r/COVID19positive/comments/hxdfcx/my_covid_symptoms_timeline/")</f>
        <v/>
      </c>
      <c r="G3645" t="inlineStr">
        <is>
          <t>2020-07-24 17:35:46</t>
        </is>
      </c>
      <c r="H3645" t="inlineStr">
        <is>
          <t>Tested Positive - Me</t>
        </is>
      </c>
    </row>
    <row r="3646">
      <c r="A3646" t="inlineStr">
        <is>
          <t>hxdgt6</t>
        </is>
      </c>
      <c r="B3646" t="inlineStr">
        <is>
          <t>An interesting article regarding loss of taste and smell! My taste is about 75% and my smell is about 25% after 16 days. It’s neurological!</t>
        </is>
      </c>
      <c r="C3646" t="inlineStr">
        <is>
          <t>https://www.usatoday.com/story/news/health/2020/07/24/scientists-now-know-why-covid-19-patients-lose-their-sense-smell/5504964002/</t>
        </is>
      </c>
      <c r="D3646" t="n">
        <v>0</v>
      </c>
      <c r="E3646" t="n">
        <v>3</v>
      </c>
      <c r="F3646">
        <f>HYPERLINK("https://www.reddit.com/r/COVID19positive/comments/hxdgt6/an_interesting_article_regarding_loss_of_taste/")</f>
        <v/>
      </c>
      <c r="G3646" t="inlineStr">
        <is>
          <t>2020-07-24 17:38:20</t>
        </is>
      </c>
      <c r="H3646" t="inlineStr">
        <is>
          <t>Tested Positive - Me</t>
        </is>
      </c>
    </row>
    <row r="3647">
      <c r="A3647" t="inlineStr">
        <is>
          <t>hxdzwv</t>
        </is>
      </c>
      <c r="B3647" t="inlineStr">
        <is>
          <t>The positives of being positive.</t>
        </is>
      </c>
      <c r="C3647" t="inlineStr">
        <is>
          <t>Is that I can't smell my own vomit (which usually prompts more vomit). Nor can I smell what is most likely the hottest, stinkiest, most vile infected poops of my entire life.
Silver linings, guys. Anyone else have them?</t>
        </is>
      </c>
      <c r="D3647" t="n">
        <v>19</v>
      </c>
      <c r="E3647" t="n">
        <v>32</v>
      </c>
      <c r="F3647">
        <f>HYPERLINK("https://www.reddit.com/r/COVID19positive/comments/hxdzwv/the_positives_of_being_positive/")</f>
        <v/>
      </c>
      <c r="G3647" t="inlineStr">
        <is>
          <t>2020-07-24 18:13:13</t>
        </is>
      </c>
      <c r="H3647" t="inlineStr">
        <is>
          <t>Tested Positive - Me</t>
        </is>
      </c>
    </row>
    <row r="3648">
      <c r="A3648" t="inlineStr">
        <is>
          <t>hxef68</t>
        </is>
      </c>
      <c r="B3648" t="inlineStr">
        <is>
          <t>My roommate tested positive on July 1st. Will the apartment be safe by July 30th to enter?</t>
        </is>
      </c>
      <c r="C3648" t="inlineStr">
        <is>
          <t>My roommate tested positive for COVID-19 on July 1st. He has had a mild case and has recovered since then. Fortunately, I was out of town and avoided exposure from him. I haven't gone back since. However, the lease is up on the 31st of July and I have to move everything out. The apartment is small, however we have separate rooms on opposite ends of apartment. We share a kitchen and a hallway (and obviously the door space to enter and exit).
How safe will it be to enter? What is my risk? I plan on going in and moving everything out as fast as humanely possible. He will not be present in the apartment when I am there. I have a plastic face shield, two cloth masks, gloves and safety goggles.</t>
        </is>
      </c>
      <c r="D3648" t="n">
        <v>1</v>
      </c>
      <c r="E3648" t="n">
        <v>27</v>
      </c>
      <c r="F3648">
        <f>HYPERLINK("https://www.reddit.com/r/COVID19positive/comments/hxef68/my_roommate_tested_positive_on_july_1st_will_the/")</f>
        <v/>
      </c>
      <c r="G3648" t="inlineStr">
        <is>
          <t>2020-07-24 18:42:03</t>
        </is>
      </c>
      <c r="H3648" t="inlineStr">
        <is>
          <t>Tested Positive - Friends</t>
        </is>
      </c>
    </row>
    <row r="3649">
      <c r="A3649" t="inlineStr">
        <is>
          <t>hxeyil</t>
        </is>
      </c>
      <c r="B3649" t="inlineStr">
        <is>
          <t>I tested positive</t>
        </is>
      </c>
      <c r="C3649" t="inlineStr">
        <is>
          <t>I tested positive on July 8, my symptoms first started on the 5th.  I had relatively mild symptoms compared to some others I read about.  I am past my isolation period and I’m trying to return to normal but I’m trying so hard to get back to normal and I still feel so exhausted.  My husband had to be quarantined for the last 14 days as well and his test (Tuesday) came back negative.  I get up and clean my house, make dinner and just try to be normal but feel so guilty because I feel so exhausted.  I just don’t feel myself.  Has anyone else experience this?  How did you handle it?  I don’t know how long I should wait before I go back to the dr or continue to wait longer.</t>
        </is>
      </c>
      <c r="D3649" t="n">
        <v>3</v>
      </c>
      <c r="E3649" t="n">
        <v>8</v>
      </c>
      <c r="F3649">
        <f>HYPERLINK("https://www.reddit.com/r/COVID19positive/comments/hxeyil/i_tested_positive/")</f>
        <v/>
      </c>
      <c r="G3649" t="inlineStr">
        <is>
          <t>2020-07-24 19:19:28</t>
        </is>
      </c>
      <c r="H3649" t="inlineStr">
        <is>
          <t>Tested Positive - Me</t>
        </is>
      </c>
    </row>
    <row r="3650">
      <c r="A3650" t="inlineStr">
        <is>
          <t>hxf6ko</t>
        </is>
      </c>
      <c r="B3650" t="inlineStr">
        <is>
          <t>Anyone else dealing with this issue?</t>
        </is>
      </c>
      <c r="C3650" t="inlineStr">
        <is>
          <t>I had the worst of the symptoms for 5 days hot and cold spells dizziness, extreme exhaustion, bad headache/ eye pain and sore throat and body ache random cough that I still have and something it feels like something is stuck in my throat. I'm still dealing with heart palpitations, shortness or breath and weakness if I move around too much get too hot or leave the air conditioning on cold too long. does anyone else have issues like that as well.</t>
        </is>
      </c>
      <c r="D3650" t="n">
        <v>1</v>
      </c>
      <c r="E3650" t="n">
        <v>2</v>
      </c>
      <c r="F3650">
        <f>HYPERLINK("https://www.reddit.com/r/COVID19positive/comments/hxf6ko/anyone_else_dealing_with_this_issue/")</f>
        <v/>
      </c>
      <c r="G3650" t="inlineStr">
        <is>
          <t>2020-07-24 19:35:09</t>
        </is>
      </c>
      <c r="H3650" t="inlineStr">
        <is>
          <t>Tested Positive - Me</t>
        </is>
      </c>
    </row>
    <row r="3651">
      <c r="A3651" t="inlineStr">
        <is>
          <t>hxfjee</t>
        </is>
      </c>
      <c r="B3651" t="inlineStr">
        <is>
          <t>Are lingering symptoms a sign of still being positive?</t>
        </is>
      </c>
      <c r="C3651" t="inlineStr">
        <is>
          <t>I’m a 28 yo guy, pretty heathy, 5’8 145lbs. I’m also a type 1 diabetic, but have it under control. 
I’m on day 20 since I experienced my first ever symptoms of COVID. I’m presumed positive and have been isolating myself in my room.
I’ve experienced a bunch of mild symptoms including: congestion, rash, body aches, night sweats, diarrhea or IBS, and complete loss of smell and taste. 
I’ve been lucky to not have experienced any extreme/severe symptoms considering I am a diabetic. 
All of my symptoms are were mild and are now gone, except for two symptoms:
IBS/diarrhea and loss of smell and taste.
I feel the loss of smell and taste is getting slightly better. I can faintly smell things now, enough for me to be hopeful, but it’s still very faint so I can’t tell if it’s just my mind playing tricks on me.
The IBS is not severe, but I am still dealing with loose bowel movements. It used to be a lot worse, watery stool, but these days it’s getting better. I do have a lot of gas though. 
I’ve been taking some supplements everyday (zinc, ginger, vitamin d, and other herbs), also been drinking fresh green juice, tons of water, lemon and ginger tea, and lots of other herbal teas. I’ve also been using Advil, and trying to cut down on sugar/eat healthy. 
Is it likely that I am still positive? It’s been a good 2 weeks since I experienced flu like symptoms and it seems like I am getting better as the days go on. 
Thanks!!</t>
        </is>
      </c>
      <c r="D3651" t="n">
        <v>1</v>
      </c>
      <c r="E3651" t="n">
        <v>4</v>
      </c>
      <c r="F3651">
        <f>HYPERLINK("https://www.reddit.com/r/COVID19positive/comments/hxfjee/are_lingering_symptoms_a_sign_of_still_being/")</f>
        <v/>
      </c>
      <c r="G3651" t="inlineStr">
        <is>
          <t>2020-07-24 20:01:01</t>
        </is>
      </c>
      <c r="H3651" t="inlineStr">
        <is>
          <t>Presumed Positive - From Doctor</t>
        </is>
      </c>
    </row>
    <row r="3652">
      <c r="A3652" t="inlineStr">
        <is>
          <t>hxfl2e</t>
        </is>
      </c>
      <c r="B3652" t="inlineStr">
        <is>
          <t>I told my doctor about my neuro symptoms and they replied “of course, that completely makes sense”</t>
        </is>
      </c>
      <c r="C3652" t="inlineStr">
        <is>
          <t>I’ve been reflecting on my covid experience and I’ve come to realize that there were definitely some aspects of delirium. I also have almost no memories from that period of time. 
I had a doctors appt coming up and I couldn’t decide if I should mention it or not. I was sure that I would sound insane. When I did, my doctor didn’t bat an eye and said “of course that completely makes sense, covid affects the brain.” 
And that’s the story of the first time I received validation by a medical professional in over 4 months.</t>
        </is>
      </c>
      <c r="D3652" t="n">
        <v>36</v>
      </c>
      <c r="E3652" t="n">
        <v>38</v>
      </c>
      <c r="F3652">
        <f>HYPERLINK("https://www.reddit.com/r/COVID19positive/comments/hxfl2e/i_told_my_doctor_about_my_neuro_symptoms_and_they/")</f>
        <v/>
      </c>
      <c r="G3652" t="inlineStr">
        <is>
          <t>2020-07-24 20:04:11</t>
        </is>
      </c>
      <c r="H3652" t="inlineStr">
        <is>
          <t>Presumed Positive - From Doctor</t>
        </is>
      </c>
    </row>
    <row r="3653">
      <c r="A3653" t="inlineStr">
        <is>
          <t>hxgiic</t>
        </is>
      </c>
      <c r="B3653" t="inlineStr">
        <is>
          <t>Mild Case?</t>
        </is>
      </c>
      <c r="C3653" t="inlineStr">
        <is>
          <t>Hello,
I tested positive after a recent exposure at work. My only symptoms are extreme fatigue, body aches, sneezing, and slight headaches off and on. My legs and feet hurt the worst, especially the tops of my feet. So far, I haven't experienced cough, sore throat, or difficulty breathing. I'm wondering if this is just the beginning or if I have a unique/mild case.</t>
        </is>
      </c>
      <c r="D3653" t="n">
        <v>2</v>
      </c>
      <c r="E3653" t="n">
        <v>18</v>
      </c>
      <c r="F3653">
        <f>HYPERLINK("https://www.reddit.com/r/COVID19positive/comments/hxgiic/mild_case/")</f>
        <v/>
      </c>
      <c r="G3653" t="inlineStr">
        <is>
          <t>2020-07-24 21:13:02</t>
        </is>
      </c>
      <c r="H3653" t="inlineStr">
        <is>
          <t>Tested Positive - Me</t>
        </is>
      </c>
    </row>
    <row r="3654">
      <c r="A3654" t="inlineStr">
        <is>
          <t>hxgk1p</t>
        </is>
      </c>
      <c r="B3654" t="inlineStr">
        <is>
          <t>Anyone have success treating lung damage after recovery?</t>
        </is>
      </c>
      <c r="C3654" t="inlineStr">
        <is>
          <t>Among other symptoms, I experienced severe shortness of breath due to covid for about 35 days. Now almost 2 months after "recovery" (whatever that means), I'm still feeling a strain on my lungs. 
Has anyone tried something that has given you relief from these lung issues? I know it's a very common concern in this community. My doctor prescribed Flovent and I'll give it a try, but it's scary to think we don't really know what works in this situation..</t>
        </is>
      </c>
      <c r="D3654" t="n">
        <v>2</v>
      </c>
      <c r="E3654" t="n">
        <v>11</v>
      </c>
      <c r="F3654">
        <f>HYPERLINK("https://www.reddit.com/r/COVID19positive/comments/hxgk1p/anyone_have_success_treating_lung_damage_after/")</f>
        <v/>
      </c>
      <c r="G3654" t="inlineStr">
        <is>
          <t>2020-07-24 21:16:11</t>
        </is>
      </c>
      <c r="H3654" t="inlineStr">
        <is>
          <t>Tested Positive - Me</t>
        </is>
      </c>
    </row>
    <row r="3655">
      <c r="A3655" t="inlineStr">
        <is>
          <t>hxgmso</t>
        </is>
      </c>
      <c r="B3655" t="inlineStr">
        <is>
          <t>Do you ever feel like people never want you around anymore?</t>
        </is>
      </c>
      <c r="C3655" t="inlineStr">
        <is>
          <t>So my husband and I tested positive for COVID on 6/25, and we have a 4 month old son we didn’t test because he never showed symptoms. Husband had a mild/medium case of COVID, and mine was so mild that I didn’t even have a cough. We’ve since recovered and the health department declared us safe to resume “normal” activities as of 7/14. I was due back to work on 7/1, but since I had COVID, I was just told I’d stay laid off until they need someone else. We’re currently waiting on retest results, but we haven’t had symptoms for two weeks now! I’m happy! But I’m also sad. 
I went by my work to pick up a gift a client left for my son (I told them I was outside and wore a mask when my coworker and I talked from a socially safe distance), and a while after I left, my boss’ daughter in law text me saying that my boss was upset I was there at all, while he continues to throw parties at his house every weekend, despite the warnings here. It stung, honestly. My coworker had gone in for a hug and I stepped away and told her not to hug me, that even tho I feel fine, it doesn’t feel right. 
My husband is facing the same issues as well. Some of his friends were meeting up for a socially safe car meet, and when one of his friends saw he was in the group chat, that friend said he didn’t feel comfortable going if my husband was going to be there. He decided to stay home. We feel as if we will never be socially accepted anymore, that because we caught this Virus (and beat it) we shouldn’t be around anymore. It’s like I’m trapped in our home and can’t leave ever again regardless of us having COVID or not anymore. I wouldn’t wish this virus on anyone, we’ve done everything to get better and to keep others safe, but when should we be okay to even go to the store? To go back to work? To go back to somewhat having a “normal” life?</t>
        </is>
      </c>
      <c r="D3655" t="n">
        <v>5</v>
      </c>
      <c r="E3655" t="n">
        <v>23</v>
      </c>
      <c r="F3655">
        <f>HYPERLINK("https://www.reddit.com/r/COVID19positive/comments/hxgmso/do_you_ever_feel_like_people_never_want_you/")</f>
        <v/>
      </c>
      <c r="G3655" t="inlineStr">
        <is>
          <t>2020-07-24 21:21:58</t>
        </is>
      </c>
      <c r="H3655" t="inlineStr">
        <is>
          <t>Tested Positive - Family</t>
        </is>
      </c>
    </row>
    <row r="3656">
      <c r="A3656" t="inlineStr">
        <is>
          <t>hxh471</t>
        </is>
      </c>
      <c r="B3656" t="inlineStr">
        <is>
          <t>Beloved Elderly Neighbors have COVID19</t>
        </is>
      </c>
      <c r="C3656" t="inlineStr">
        <is>
          <t>The nextdoor neighbors become surrogate grandparents to my kids about 2 years ago. They’re in their late 80’s, so they are a precious loving and caring couple to give my kids hugs. I do whatever I can for them, like mow the lawn, help clean out cabinets they can’t reach, things like that. We haven’t been in physical contact in over a month, but yesterday she texted me that they have both tested positive. They are very ill, in bed, only drinking liquids, some soups. Unable to take any other food, and sleeping all day except to check temperatures and drink Mucinex or liquid. They have some family here in town that is providing them with supplies on their porch, but today she didn’t answer my text. I’m nervous. Praying they are only sleeping... so worried and frightened. Too close to home. 
I’m Still in shock so many people are wearing their masks below their chins rather than over their face. Still amazed that the public schools plan to reopen in a few weeks. How is this happening? Please find ways to stay strong. Hold yourself in love, and grace, and try to find peace. Sending love to everyone!!</t>
        </is>
      </c>
      <c r="D3656" t="n">
        <v>8</v>
      </c>
      <c r="E3656" t="n">
        <v>22</v>
      </c>
      <c r="F3656">
        <f>HYPERLINK("https://www.reddit.com/r/COVID19positive/comments/hxh471/beloved_elderly_neighbors_have_covid19/")</f>
        <v/>
      </c>
      <c r="G3656" t="inlineStr">
        <is>
          <t>2020-07-24 22:00:00</t>
        </is>
      </c>
      <c r="H3656" t="inlineStr">
        <is>
          <t>Tested Positive - Friends</t>
        </is>
      </c>
    </row>
    <row r="3657">
      <c r="A3657" t="inlineStr">
        <is>
          <t>hxi1ab</t>
        </is>
      </c>
      <c r="B3657" t="inlineStr">
        <is>
          <t>Oximeters: accurate or not?</t>
        </is>
      </c>
      <c r="C3657" t="inlineStr">
        <is>
          <t>I'm late 30's, husband is mid 40's and occasionally smokes.
Following only one night when readings dipped into the 80s, my ox readings are usually at or above 95, and most often are at 97 or 98. I have gotten 99 and 100 at times as well, which is usually my O2 level all the time. I believe I am having a bout with covid and will get  off easy. I expect to fully regain my stamina and sense of smell soon. My test (last Saturday) came out negative (on Thursday) but I believe I have it. Not bad, but enough symptoms to find it concerning. It's weird having to rest after I do anything. My husband of course says I am simply out of shape and psyching myself out. 
I started testing my husband's O2 levels as he sleeps. I have gotten readings as low as 78 on him. He feels fine. Maybe tired. His O2, in the 3 nights I have checked him,  never goes above 97 when he sleeps. I'll grab it and put it on my finger and get 99 right after a low reading on him (like 92-94; the super low readings were only for a couple minutes).. So, when should I be concerned? How accurate are these low readings?
He is pretty much a Trumper. He got mad at me when I mentioned my concerns.
  What should I do? Should I insist or is this oximeter just giving a falsely low read on him for some reason? Is it possible he  uses oxygen efficiently or something? Any possible way these readings would be normal? I'm serious, the rona messed with my head bad. That, or my head is messing with my head. That's what I'm worried about.</t>
        </is>
      </c>
      <c r="D3657" t="n">
        <v>4</v>
      </c>
      <c r="E3657" t="n">
        <v>23</v>
      </c>
      <c r="F3657">
        <f>HYPERLINK("https://www.reddit.com/r/COVID19positive/comments/hxi1ab/oximeters_accurate_or_not/")</f>
        <v/>
      </c>
      <c r="G3657" t="inlineStr">
        <is>
          <t>2020-07-24 23:20:18</t>
        </is>
      </c>
      <c r="H3657" t="inlineStr">
        <is>
          <t>Presumed Positive - From Doctor</t>
        </is>
      </c>
    </row>
    <row r="3658">
      <c r="A3658" t="inlineStr">
        <is>
          <t>hxi4ba</t>
        </is>
      </c>
      <c r="B3658" t="inlineStr">
        <is>
          <t>Negative - but symptoms since 3/9</t>
        </is>
      </c>
      <c r="C3658" t="inlineStr">
        <is>
          <t>I’m presumed positive since 3/9.  I had a family member test positive.  My serious symptoms (low O2, SOB) have passed but for months I’ve suffered from crippling fatigue, the worst headaches I’ve ever had in my life, and persistent low grade fevers.  I tested negative since twice (first test was 3/30).  Yesterday I received my antibody results ... negative.  I’m so frustrated.  I’ve had so many tests and all are normal or almost normal - but nothing shows up that explains my long-term symptoms.  I feel defeated.  I wish they would figure all this out.</t>
        </is>
      </c>
      <c r="D3658" t="n">
        <v>0</v>
      </c>
      <c r="E3658" t="n">
        <v>14</v>
      </c>
      <c r="F3658">
        <f>HYPERLINK("https://www.reddit.com/r/COVID19positive/comments/hxi4ba/negative_but_symptoms_since_39/")</f>
        <v/>
      </c>
      <c r="G3658" t="inlineStr">
        <is>
          <t>2020-07-24 23:27:49</t>
        </is>
      </c>
      <c r="H3658" t="inlineStr">
        <is>
          <t>Tested Positive - Family</t>
        </is>
      </c>
    </row>
    <row r="3659">
      <c r="A3659" t="inlineStr">
        <is>
          <t>hxi4m2</t>
        </is>
      </c>
      <c r="B3659" t="inlineStr">
        <is>
          <t>They refuse to tell me if I’m positive.</t>
        </is>
      </c>
      <c r="C3659" t="inlineStr">
        <is>
          <t>I have every symptom of COVID-19 and my roommate and I both went to get tested. They called her that after noon to tell her the results for her test were negative and told me to wait for my phone call. Well my call never came.  My roommate went back to ask about mine and they literally told her what I feared to be true. They told her that they aren’t telling the positives that they are positive. They’re just making sure that they stay quarantined for 10 days. I’m not surprised that I’m positive, as this sure as hell is no ordinary cold or flu. But I’m more surprised at how this could literally backfire. If the people who aren’t told that they positive are going out thinking otherwise think about how many people they could infect. I’m also an active duty service member. Not sure if they’re trying to do some placebo effect trial run on soldiers or what but this is nuts. Has anyone else experienced this?</t>
        </is>
      </c>
      <c r="D3659" t="n">
        <v>5</v>
      </c>
      <c r="E3659" t="n">
        <v>14</v>
      </c>
      <c r="F3659">
        <f>HYPERLINK("https://www.reddit.com/r/COVID19positive/comments/hxi4m2/they_refuse_to_tell_me_if_im_positive/")</f>
        <v/>
      </c>
      <c r="G3659" t="inlineStr">
        <is>
          <t>2020-07-24 23:28:39</t>
        </is>
      </c>
      <c r="H3659" t="inlineStr">
        <is>
          <t>Presumed Positive - From Test</t>
        </is>
      </c>
    </row>
    <row r="3660">
      <c r="A3660" t="inlineStr">
        <is>
          <t>hxj6ov</t>
        </is>
      </c>
      <c r="B3660" t="inlineStr">
        <is>
          <t>My COVID symptoms</t>
        </is>
      </c>
      <c r="C3660" t="inlineStr">
        <is>
          <t>I tested positive today, my timeline of symptoms started with a tickle in my throat that led to some soreness lower in my pharynx, but not up near the tonsils. then the next day i had a fever for maybe an hour? then regular body temperature for the rest of the day. my sore throat went away and turned into a little cough. that disappeared within a day as well. then finally, on the 3rd day i suddenly lost my smell &amp;amp; taste. i’m going on day 8 of quarantine and on day 6 i had a mild headache &amp;amp; STILL no taste or smell. 
just wanted to share my experience! no chest pain, no fever just sensory loss of taste n smell</t>
        </is>
      </c>
      <c r="D3660" t="n">
        <v>1</v>
      </c>
      <c r="E3660" t="n">
        <v>2</v>
      </c>
      <c r="F3660">
        <f>HYPERLINK("https://www.reddit.com/r/COVID19positive/comments/hxj6ov/my_covid_symptoms/")</f>
        <v/>
      </c>
      <c r="G3660" t="inlineStr">
        <is>
          <t>2020-07-25 01:08:01</t>
        </is>
      </c>
      <c r="H3660" t="inlineStr">
        <is>
          <t>Tested Positive - Me</t>
        </is>
      </c>
    </row>
    <row r="3661">
      <c r="A3661" t="inlineStr">
        <is>
          <t>hxlkck</t>
        </is>
      </c>
      <c r="B3661" t="inlineStr">
        <is>
          <t>Anyone took pulmacort to treat covid?</t>
        </is>
      </c>
      <c r="C3661" t="inlineStr">
        <is>
          <t>My doctor gave it to me and i have seen various articles about using to treat covid. Just curious to see everyone's take on it.</t>
        </is>
      </c>
      <c r="D3661" t="n">
        <v>1</v>
      </c>
      <c r="E3661" t="n">
        <v>11</v>
      </c>
      <c r="F3661">
        <f>HYPERLINK("https://www.reddit.com/r/COVID19positive/comments/hxlkck/anyone_took_pulmacort_to_treat_covid/")</f>
        <v/>
      </c>
      <c r="G3661" t="inlineStr">
        <is>
          <t>2020-07-25 04:58:45</t>
        </is>
      </c>
      <c r="H3661" t="inlineStr">
        <is>
          <t>Tested Positive - Me</t>
        </is>
      </c>
    </row>
    <row r="3662">
      <c r="A3662" t="inlineStr">
        <is>
          <t>hxlzzm</t>
        </is>
      </c>
      <c r="B3662" t="inlineStr">
        <is>
          <t>Vaccines and acquired immunity</t>
        </is>
      </c>
      <c r="C3662" t="inlineStr">
        <is>
          <t>Hey guys, with the rising number of posts on social media fearing forced vaccinations for covid-19 i have a couple of questions. PSA I am not a conspiracy theorist and I am not trying to stir the pot of false information. These are just trends that I've seen that I found interesting.
1. From what I could tell over the months of research I've been doing since I had covid-19 and beat it, medical research doesn't State any correlation to any immunity to covid-19 after you successfully fought it off. So does that mean that even though some already had it and fought it off we will be required to vaccinate?
2. The basic understanding for vaccinations is that you introduce a small dosage of the virus or whatever you are trying to combat and the body fights it off developing that immunity. But what's the point of that if immunity isn't even proven thing? And with the virus being so deadly towards children and elderly people could that have negative repercussions in the future?
3. Now this could be all conspiracy theorists and their wild stories. But I have read that they are trying to introduce microchips with this covid-19 vaccine. Under the understanding that tracking us would be able to determine what areas we go to and what areas could have been "hotspots". Again this is purely speculation and I don't want to act like I have a tinfoil hat, because I have no idea. But I was just curious what anybody knew about that. Would we be able to deny getting ourselves vaccinated?</t>
        </is>
      </c>
      <c r="D3662" t="n">
        <v>1</v>
      </c>
      <c r="E3662" t="n">
        <v>8</v>
      </c>
      <c r="F3662">
        <f>HYPERLINK("https://www.reddit.com/r/COVID19positive/comments/hxlzzm/vaccines_and_acquired_immunity/")</f>
        <v/>
      </c>
      <c r="G3662" t="inlineStr">
        <is>
          <t>2020-07-25 05:34:13</t>
        </is>
      </c>
      <c r="H3662" t="inlineStr">
        <is>
          <t>Tested Positive - Me</t>
        </is>
      </c>
    </row>
    <row r="3663">
      <c r="A3663" t="inlineStr">
        <is>
          <t>hxm7b4</t>
        </is>
      </c>
      <c r="B3663" t="inlineStr">
        <is>
          <t>February 17th, 2020</t>
        </is>
      </c>
      <c r="C3663" t="inlineStr">
        <is>
          <t>February 17th, 2020 is roughly, as I remember, that I had a mild swollen gland in my right neck under chin.  The swollen gland resolved by itself within 4 days so I let it go. Wasn't really thinking covid19 at the time and there was no testing available anyway.  ( Male: Age 65)  I have not felt ill in any manner back then nor now. 
Four weeks later our towns went into, 'Stay At Home'.  I owned a 3M Half Face mask which has N-95 filters.  I have worn it everywhere since Stay At Home, diligently.  My wife retired from her job in December and has been in home seclusion. Since I was working a job that allowed me to continue working, I do grocery shopping.  (Very safe job doing deliveries and in van 95% of time by myself, in small store to get deliveries, then mainly see only one customer to unload but most deliveries are without any contact.) 
15 May 2020  was when I became aware that there were at least two Antibody tests that worked.  As time went by I felt more and more that the swollen gland might have been covid19. 
On 27 May 2020 the results of my Abbott Labs antibody test came back positive for covid19 antibodies.
Now the strange thing is, a week later my wife's test results came back as negative!  I'd have bet big money that hers would be positive too!
All and all for our age we are very lucky and grateful so far.  Except if my wife gets it, we have no idea how it will affect her, which is scary.  I feel since I had it that if I were to get it a second time that I'd probably be OK.  She went back to work in an office environment at her old place of work. At the local county health dept. doing data entry of the counties covid19 cases. They have cubicles, I gave her KN-95 masks to wear.  As long as she behaves and wears the mask all the time, and sanitizes her hands. We feel she will be OK.  But, it's always on the back of the mind. These are our Golden years, the years we always looked forward to, to travel, spend time with family around the country. But with all the horrible misery of so many others, we'll not complain.</t>
        </is>
      </c>
      <c r="D3663" t="n">
        <v>1</v>
      </c>
      <c r="E3663" t="n">
        <v>3</v>
      </c>
      <c r="F3663">
        <f>HYPERLINK("https://www.reddit.com/r/COVID19positive/comments/hxm7b4/february_17th_2020/")</f>
        <v/>
      </c>
      <c r="G3663" t="inlineStr">
        <is>
          <t>2020-07-25 05:50:36</t>
        </is>
      </c>
      <c r="H3663" t="inlineStr">
        <is>
          <t>Tested Positive - Me</t>
        </is>
      </c>
    </row>
    <row r="3664">
      <c r="A3664" t="inlineStr">
        <is>
          <t>hxnemh</t>
        </is>
      </c>
      <c r="B3664" t="inlineStr">
        <is>
          <t>18 week update</t>
        </is>
      </c>
      <c r="C3664" t="inlineStr">
        <is>
          <t>I am at 128 days and the rollercoaster of symptoms seems to continue to slow down. Yesterday I was able to walk up the steep driveway at my house and all over my property without getting winded. I'm having a lot less brain fog and seem to be more like myself now before I got sick. I'm still having a lot of sleeping problems though. Some nights are pretty good but then others I will only sleep 2-3 hours. I think coq10 has been helping with the brain fog. I'm also experimenting with breathing exercises to help me get to sleep. I'm still balancing rest with exercise but I'm able to do more in general now.</t>
        </is>
      </c>
      <c r="D3664" t="n">
        <v>1</v>
      </c>
      <c r="E3664" t="n">
        <v>37</v>
      </c>
      <c r="F3664">
        <f>HYPERLINK("https://www.reddit.com/r/COVID19positive/comments/hxnemh/18_week_update/")</f>
        <v/>
      </c>
      <c r="G3664" t="inlineStr">
        <is>
          <t>2020-07-25 07:15:29</t>
        </is>
      </c>
      <c r="H3664" t="inlineStr">
        <is>
          <t>Presumed Positive - From Doctor</t>
        </is>
      </c>
    </row>
    <row r="3665">
      <c r="A3665" t="inlineStr">
        <is>
          <t>hxnncb</t>
        </is>
      </c>
      <c r="B3665" t="inlineStr">
        <is>
          <t>How long am I contagious?</t>
        </is>
      </c>
      <c r="C3665" t="inlineStr">
        <is>
          <t>I tested positive on 7/9 after my girlfriend got it. I havent had a fever in 5 days and feel good. When can I go to the store? I am in Georgia and testing is so bad here I likely will not get another chance to test for awhile.</t>
        </is>
      </c>
      <c r="D3665" t="n">
        <v>1</v>
      </c>
      <c r="E3665" t="n">
        <v>6</v>
      </c>
      <c r="F3665">
        <f>HYPERLINK("https://www.reddit.com/r/COVID19positive/comments/hxnncb/how_long_am_i_contagious/")</f>
        <v/>
      </c>
      <c r="G3665" t="inlineStr">
        <is>
          <t>2020-07-25 07:31:56</t>
        </is>
      </c>
      <c r="H3665" t="inlineStr">
        <is>
          <t>Tested Positive - Me</t>
        </is>
      </c>
    </row>
    <row r="3666">
      <c r="A3666" t="inlineStr">
        <is>
          <t>hxnvfm</t>
        </is>
      </c>
      <c r="B3666" t="inlineStr">
        <is>
          <t>Feels like a sinus infection?</t>
        </is>
      </c>
      <c r="C3666" t="inlineStr">
        <is>
          <t>I had prolonged, direct exposure to a family member that tested positive (and another one that is currently waiting on results, presumed positive). If what i am experiencing is covid, then my symptoms first appeared on Monday (10 days after my first exposure to positive family member, but i spent all of last week with her so could have gotten it anytime last week).
I have no fever, no body aches, no chills, no SOB, no GI symptoms, no fatigue. The only symptoms I feel are like a sinus infection, which I get a couple of times a year. Burning dry sinuses, small amount of drainage, scratchy throat. All of this started up high in my nasal cavities and has slowly moved down to my upper chest, which is when I developed a mild cough. This feels exactly like my normal sinus infection.
Of course I am staying hydrated and isolated at home. Did anyone else have mild symptoms like this and not even have body aches??? I don't really feel sick at all...just allergy and sinuses. I keep waiting on the ball to drop and to become deathly ill 😅</t>
        </is>
      </c>
      <c r="D3666" t="n">
        <v>1</v>
      </c>
      <c r="E3666" t="n">
        <v>16</v>
      </c>
      <c r="F3666">
        <f>HYPERLINK("https://www.reddit.com/r/COVID19positive/comments/hxnvfm/feels_like_a_sinus_infection/")</f>
        <v/>
      </c>
      <c r="G3666" t="inlineStr">
        <is>
          <t>2020-07-25 07:46:24</t>
        </is>
      </c>
      <c r="H3666" t="inlineStr">
        <is>
          <t>Presumed Positive - From Doctor</t>
        </is>
      </c>
    </row>
    <row r="3667">
      <c r="A3667" t="inlineStr">
        <is>
          <t>hxny4g</t>
        </is>
      </c>
      <c r="B3667" t="inlineStr">
        <is>
          <t>Reinfection</t>
        </is>
      </c>
      <c r="C3667" t="inlineStr">
        <is>
          <t>Good morning y'all. I have a quick question.
I found out I'm positive on Sunday the 16th. 
It's been about 7 days with no symptoms.
My girlfriend who lives with me went the day after and her results came back negative. We have been isolating and d
isinfecting surfaces.
It's possible that she she had a false negative and will come up positive in the coming days. After I am no longer positive can she reinfect me even though I'm not longer positive?
Can't find any info on this anywhere</t>
        </is>
      </c>
      <c r="D3667" t="n">
        <v>1</v>
      </c>
      <c r="E3667" t="n">
        <v>5</v>
      </c>
      <c r="F3667">
        <f>HYPERLINK("https://www.reddit.com/r/COVID19positive/comments/hxny4g/reinfection/")</f>
        <v/>
      </c>
      <c r="G3667" t="inlineStr">
        <is>
          <t>2020-07-25 07:51:31</t>
        </is>
      </c>
      <c r="H3667" t="inlineStr">
        <is>
          <t>Tested Positive - Me</t>
        </is>
      </c>
    </row>
    <row r="3668">
      <c r="A3668" t="inlineStr">
        <is>
          <t>hxo3uk</t>
        </is>
      </c>
      <c r="B3668" t="inlineStr">
        <is>
          <t>Positive and confused.</t>
        </is>
      </c>
      <c r="C3668" t="inlineStr">
        <is>
          <t>So, on July 19th, I was at work (Hospital) and started feeling like I was coming down with a cold. That Monday I was off but felt reasonably better. My husband had text me saying he went to go get tested cause he didn’t feel well. Tuesday morning I wake up for work and can’t catch my breath. After making it to work, I just felt exhausted and my boss sent me to get tested. I got a positive result on Wednesday and it was weird because I felt completely fine. Everyday after that has been up and down. One day fine, another day not fine.
What’s consistent is my fatigue. I’m always wanting to lay down.
My husband tested positive this past friday 7/24 and his symptoms went from extreme to completely fine.
I now have a stuffy/runny nose and dehydration.
I just feel like I don’t know what to do to make myself better.
They told me after 10 days I should be fine but I don’t think I’m getting better.
Anyone else feel this way?</t>
        </is>
      </c>
      <c r="D3668" t="n">
        <v>1</v>
      </c>
      <c r="E3668" t="n">
        <v>3</v>
      </c>
      <c r="F3668">
        <f>HYPERLINK("https://www.reddit.com/r/COVID19positive/comments/hxo3uk/positive_and_confused/")</f>
        <v/>
      </c>
      <c r="G3668" t="inlineStr">
        <is>
          <t>2020-07-25 08:01:38</t>
        </is>
      </c>
      <c r="H3668" t="inlineStr">
        <is>
          <t>Tested Positive - Me</t>
        </is>
      </c>
    </row>
    <row r="3669">
      <c r="A3669" t="inlineStr">
        <is>
          <t>hxongk</t>
        </is>
      </c>
      <c r="B3669" t="inlineStr">
        <is>
          <t>Anyone have their sense of smell come back after a long time?</t>
        </is>
      </c>
      <c r="C3669" t="inlineStr">
        <is>
          <t>My girlfriend, we live together, tested positive in early April after experiencing symptoms that hit her hard (no hospitalization required though).  I tested positive two weeks later, but I was completely without symptoms. She recovered fully, but during the illness she lost her sense of smell.  About a month+ later, she was able to smell only slightly (even strong smells like coffee, perfume, etc) and would have to put her nose directly up to the source only to get a hint.  Now it's almost August and she is getting hopeless that it will ever return.  Has anyone else gone months without sense of smell and had it return?  If so, did you do anything to help it (smell therapy)?</t>
        </is>
      </c>
      <c r="D3669" t="n">
        <v>1</v>
      </c>
      <c r="E3669" t="n">
        <v>3</v>
      </c>
      <c r="F3669">
        <f>HYPERLINK("https://www.reddit.com/r/COVID19positive/comments/hxongk/anyone_have_their_sense_of_smell_come_back_after/")</f>
        <v/>
      </c>
      <c r="G3669" t="inlineStr">
        <is>
          <t>2020-07-25 08:35:15</t>
        </is>
      </c>
      <c r="H3669" t="inlineStr">
        <is>
          <t>Tested Positive</t>
        </is>
      </c>
    </row>
    <row r="3670">
      <c r="A3670" t="inlineStr">
        <is>
          <t>hxorjb</t>
        </is>
      </c>
      <c r="B3670" t="inlineStr">
        <is>
          <t>Need speculation at this point.</t>
        </is>
      </c>
      <c r="C3670" t="inlineStr">
        <is>
          <t>So i'm really at a loss right now.
week 14 long hauler.  My case was completely nuero.  First couple weeks felt poisoned.  Very afraid and honestly pretty bad expereince.  But looking back it was not even as close to as bad as weeks 3 to 6 or maybe 8.  I got brain swelling, emotional issues, loss of limb function, nerve pain etc.
Then felt "ok" comparatively.  still felt bad, lots of nuero stuff but really felt like i was getting better.  had 2 days a week where I would crash but most of the time felt ok even with bad issues lingering.
Then week 13 mom dad got runny nose.  then I got runny nose.  I did have runny nose one day in week 1, first symptom, outside of stroke symptoms.
Then it hit me.  Now I have what feels like "classic" covid.  flu symptoms, muslce aches, sore throat, nose, maybe fluid in chest, SOB but not nuero SOB, it's different.
My parents are both high risk but seem to be fine so far, it's been almost a week for my mom.  I know it can change but she doesn't even have runny nose now.
I feel poisened again like I did week 1 with like 10 or 20 new symptoms.  I guess this could be a relapse?  I've had a bunch of relapses but never felt poisened or sick sick again.
So did I get reinfected?  What do you think?  I feel back to week 1. People in my long hauler group seem to think its reinfection and I do too, but people on slack which has like thousands of members seem to think it isn't super uncommon to have a "reinfection or restart" relapse at week 14.  The thing that confuses me is that wee all had runny nose, and that I have I kid you not easily 10+ maybe close to 20 new symptoms in the last several days.  It feels like an entirely fresh illness, but I guess that's possible?</t>
        </is>
      </c>
      <c r="D3670" t="n">
        <v>1</v>
      </c>
      <c r="E3670" t="n">
        <v>7</v>
      </c>
      <c r="F3670">
        <f>HYPERLINK("https://www.reddit.com/r/COVID19positive/comments/hxorjb/need_speculation_at_this_point/")</f>
        <v/>
      </c>
      <c r="G3670" t="inlineStr">
        <is>
          <t>2020-07-25 08:42:17</t>
        </is>
      </c>
      <c r="H3670" t="inlineStr">
        <is>
          <t>Presumed Positive - From Doctor</t>
        </is>
      </c>
    </row>
    <row r="3671">
      <c r="A3671" t="inlineStr">
        <is>
          <t>hxoss1</t>
        </is>
      </c>
      <c r="B3671" t="inlineStr">
        <is>
          <t>Symptom progression (25 - female)</t>
        </is>
      </c>
      <c r="C3671" t="inlineStr">
        <is>
          <t>I'm wondering how others progression has compared to mine thus far? 
I got my positive test on day 7 (Tuesday July 21).
I'm on day 11 now. No more body pain, my chest randomly will get tight then retract, just hot.
Severe Body pain: day 1-7
       (Minor body pain day 8) 
Headache: day 1-6
Loss of taste: day 4-day 11
Loss of smell: day 4-11
Fatigue: day 1-5, day 10/11
Naseua: randomly each day. Some days worse than others. 
Severe Anxiety: few days before symptoms and every day of symptoms. 
Diahhrea: day 6 and 11
Chills: day 1-6, day 10
I had the SLIGHTEST fever one day. It was 99.1 and I have not had another since. That was the end of day 6 I believe. 
I've already started generally feeling better I'm wondering, based off of other mild experiences, how much longer of this I will have to deal with? 
Isolating is really hurting me mentally and Its probably been the hardest part of being sick. 
I hope everyone gets well soon :)</t>
        </is>
      </c>
      <c r="D3671" t="n">
        <v>1</v>
      </c>
      <c r="E3671" t="n">
        <v>5</v>
      </c>
      <c r="F3671">
        <f>HYPERLINK("https://www.reddit.com/r/COVID19positive/comments/hxoss1/symptom_progression_25_female/")</f>
        <v/>
      </c>
      <c r="G3671" t="inlineStr">
        <is>
          <t>2020-07-25 08:44:27</t>
        </is>
      </c>
      <c r="H3671" t="inlineStr">
        <is>
          <t>Tested Positive - Me</t>
        </is>
      </c>
    </row>
    <row r="3672">
      <c r="A3672" t="inlineStr">
        <is>
          <t>hxp20e</t>
        </is>
      </c>
      <c r="B3672" t="inlineStr">
        <is>
          <t>Interesting turn of events</t>
        </is>
      </c>
      <c r="C3672" t="inlineStr">
        <is>
          <t>So I just got word that I have tested positive for COVID, along with my Grandma, sister, brother in law and Mother. I'm not sure how my Grandma got exposed. We don't see her very much but who knows at this point. It just blows my mind that we all have it! 
Nobody has intense symptoms or anything too scary. Just feels like a bad cold, my brother in law has such mild symptoms he's barely being held down by this virus like us. But I'm starting to feel out of breath alot so I'm a little concerned. Maybe psychosomatic?</t>
        </is>
      </c>
      <c r="D3672" t="n">
        <v>1</v>
      </c>
      <c r="E3672" t="n">
        <v>5</v>
      </c>
      <c r="F3672">
        <f>HYPERLINK("https://www.reddit.com/r/COVID19positive/comments/hxp20e/interesting_turn_of_events/")</f>
        <v/>
      </c>
      <c r="G3672" t="inlineStr">
        <is>
          <t>2020-07-25 09:00:17</t>
        </is>
      </c>
      <c r="H3672" t="inlineStr">
        <is>
          <t>Tested Positive - Family</t>
        </is>
      </c>
    </row>
    <row r="3673">
      <c r="A3673" t="inlineStr">
        <is>
          <t>hxp5ws</t>
        </is>
      </c>
      <c r="B3673" t="inlineStr">
        <is>
          <t>Nose bleeds with + diagnosis</t>
        </is>
      </c>
      <c r="C3673" t="inlineStr">
        <is>
          <t>Hey guys, recent positive diagnosis (I’m a covid ICU nurse, no surprise there). I’ve had nosebleed after nosebleed for the last few days. I haven’t had a nosebleed in YEARS. It didn’t happen after the swab, and the girl I got tested with is negative &amp;amp; no nosebleeds. Anyone else experiencing this?</t>
        </is>
      </c>
      <c r="D3673" t="n">
        <v>1</v>
      </c>
      <c r="E3673" t="n">
        <v>7</v>
      </c>
      <c r="F3673">
        <f>HYPERLINK("https://www.reddit.com/r/COVID19positive/comments/hxp5ws/nose_bleeds_with_diagnosis/")</f>
        <v/>
      </c>
      <c r="G3673" t="inlineStr">
        <is>
          <t>2020-07-25 09:06:22</t>
        </is>
      </c>
      <c r="H3673" t="inlineStr">
        <is>
          <t>Tested Positive - Me</t>
        </is>
      </c>
    </row>
    <row r="3674">
      <c r="A3674" t="inlineStr">
        <is>
          <t>hxq0en</t>
        </is>
      </c>
      <c r="B3674" t="inlineStr">
        <is>
          <t>Fly home or delay flight?</t>
        </is>
      </c>
      <c r="C3674" t="inlineStr">
        <is>
          <t>I got covid on my flight to visit a friend. My symptoms were super mild (low fever for a few days). After the fever broke I’ve been generally a bit fatigued and yesterday I had a bit of nausea. Otherwise I’m fine.
I have my flight scheduled to go back home Monday. According to the cdc website I would be ok to stop isolation by the time of my flight since it’s after 10 days onset of my symptoms (it’s 11 days so just just) and a week after my fever broke. 
However I’m worried I’m still contagious? I mean how do you really know? Also that bout of nausea last night worries me. But also I don’t want to stay here forever. I’m sleeping on my friends couch in her one bedroom and have to work from here everyday.
If I were to change my flight, how long should I stay longer? Also anyone have any experience with airlines on this? The new flights are all much more expensive and I don’t feel like I should have to pay extra since I got covid on their flight.</t>
        </is>
      </c>
      <c r="D3674" t="n">
        <v>1</v>
      </c>
      <c r="E3674" t="n">
        <v>3</v>
      </c>
      <c r="F3674">
        <f>HYPERLINK("https://www.reddit.com/r/COVID19positive/comments/hxq0en/fly_home_or_delay_flight/")</f>
        <v/>
      </c>
      <c r="G3674" t="inlineStr">
        <is>
          <t>2020-07-25 09:57:55</t>
        </is>
      </c>
      <c r="H3674" t="inlineStr">
        <is>
          <t>Tested Positive - Me</t>
        </is>
      </c>
    </row>
    <row r="3675">
      <c r="A3675" t="inlineStr">
        <is>
          <t>hxq0yh</t>
        </is>
      </c>
      <c r="B3675" t="inlineStr">
        <is>
          <t>Catching CoVid-19 Brings Unimaginable Uncertainty</t>
        </is>
      </c>
      <c r="C3675" t="inlineStr">
        <is>
          <t xml:space="preserve">  TL;DR Catching CoVid-19 Brings Unimaginable Uncertainty. 
A excruciatingly long mental hell that you should think twice about before you go out.
(I strongly urge you go to the bottom of this post, glance at the statistics, and read the final four paragraphs)
The other day, I was finally confirmed testing positive for CoVid-19 when I fell ill for the first two weeks of July, and I felt I should share my experience.
A month ago, I irresponsibly went out to the bars thinking I wouldn't get sick right away. 
Just after the second weekend of going out I was in an incredibly crowded bar and not within four days I suddenly was feeling hot and fatigued.  
That night, I fell asleep around 10pm and proceeded to have a high fever, waking repeatedly due to fever chills, fever dreams and having an immense sense of fatigue causing me to fall back to sleep right away. These symptoms lasted for about 14 hours. Afterwards, I felt weak, my fever seemed to drop and I had a seemingly mild, dry cough and I assumed I was going to be over it within a few days. 
Later, I called up my brother and told him that I got sick he then began googling and listing the statistics and symptoms of the Coronavirus which in turn left me absolutely terrified about what could potentially happen in the next two weeks. 
Not to mention, my best friends decided to troll me and tell me that people they knew who were about my age and had Coronavirus ended up dead or suffered some severe lifelong complications; which of course lead me to believe I was doomed.
I even called and spoke with my friend's mom who is a nurse and told me that if I had it there was simply not much I could do.
Basically, you're young, good luck to you and hope it passes (albeit she was being professional, but it was not at all reassuring). 
Keep in mind though at this point I only had a dry cough and a mild fever at best. 
After learning all this, I desperately was: drinking liters of hot teas with honey; drinking Tumeric Shots; Vitamin C; taking Zinc Tablets; gargling salt water, name your favorite home remedy, I was doing it. 
I was doing all this because I was under the belief that I needed to develop a productive wet cough in order to help clear my lungs; honestly though, it seemed like nothing was working, but I did it anyway. 
On day four, I developed such an intense feeling of fear and anxiety that my heart/chest began to hurt as well as feeling muscle aches around my torso. 
I broke down sobbing later to my friends in total fear that these symptoms are only going to get worse, and especially because I'm forced to experience this all alone, the fact that whoever I saw prior to getting sick was probably going to be the last time I'll see them.
The next day, I woke up with a wet cough, and this made me feel a little better mentally; however, I was feeling a constant shifting pain within my lungs and muscle aches around my chest worsened as well in combination with a loss of taste and appetite.
During the course of the following days, my cough, although productive, would feel different from one day to another, and at many times it would be so gut wrenching that it was difficult to keep composure.
I tried to keep as much contact with my friends in these very long days, staying up late into the night and even many mornings; all to hold my sanity together and calm my anxiety.
On day seven, I realized these highly animated coughs were being caused by my habit of anxious pacing around my apartment. So I decided to lay down as well as shorten my breaths as it seemed to minimize the frequency of them. However, that day I also learned that days 7-10 is the turning point for the Coronavirus, whether I'll get better or turn for the worse; let's just say I was expecting the worse and the idea of not being able to breathe properly anymore was heavily present in my mind.
Thankfully, my symptoms improved during the last week with mostly me just hacking up a lot of gunk and mild chest pains as well my appetite and taste slowly returning.
The four days prior to my first sign of symptoms, I was in contact with 7+ people and during those two weeks I couldn't help but wonder if I just jeopardized everyone around me. My brothers, my friends and their families. 
In addition, the fact that I put myself under this hellish test of morality and extreme uncertainty, potentially I've subjected everyone around me and the people closest to them the same unnerving experience.
What I’ve experienced was nothing like the Flu. 
I’ve had the flu twice last year, sick like a dog with fever and all for 3 days; afterwards straight back to work like business per usual. 
What I felt with the Coronavirus wasn’t anything like I experienced before.
I had a fever for only one day and the rest of the time the symptoms were somewhat mild that slowly progressed. Symptoms can range anywhere from none at all, mild, to severe.
Now, I want to shed a few current statistical facts on the Coronavirus from the CDC's website (emphasis on Current):  
\-The average incubation time after contracting the virus is 5-6 days, but can be anywhere from 2-14 days
\- 50% (or 1/2) Of confirmed cases are asymptomatic.
\- 30-35% (or \~1/3) Experience mild symptoms, usually with body temperatures hovering around 36.5-37・C (97.7-98.6・F).  
\- 15-20% (or \~1/6, 1/5) End up in the hospital.  
\- If you need a ventilator, assuming your body doesn't reject it, only improves your chance of survival by about 15% (or \~1/6).  
\- 3-5% (or 1/33, 1/20) pass away  
\- The survivors are likely to leave with lifelong health complications involving their respiratory system and various other organs.  
\- The people who're at risk are generally: 60 or older; have compromised immune systems; other respiratory complications (i.e. asthma); or genetically predisposed to such illnesses.
\- Although rare, the young people who're otherwise completely healthy and have no prior conditions that end up in the ICU possibly have a genetic predisposition (highly likely to be unknown to them), to a Cytokine Storm. 
This condition is where in the event your body encounters a disease that’s completely new and foreign to your immune system or ancestral lineage (i.e. CoVid-19), your immune system can overreact in attempts to rid of this foreign pathogen. 
It practically eats away at your internal organs and your body and this can occur at any stage of the illness whether it be: during the illness; the recovery period; or weeks after and being exposed to another disease during your weakened immune state.  
 Before you go out to that: crowded bar; your vacation to that crowded beach; or your trip to Vegas; you are gambling not only with your life but the lives of others.
For yourself: maybe you’re flipping a coin; picking one of three doors; or rolling a die, hoping it doesn’t land on 5 and it better not be 6. Rolling one more time and PRAYING it doesn’t land on 5 or 6 again twice in a row.
Reflect on what you thought about prior to reading my post.
Now think about my experience.
Let’s assume you did partake in one of the examples above and it’s been 3 days.
Think about your sweet little sister Katie who’s always such a brat, but you love them anyways.
Didn’t you just have lunch with her the other day?
Now think of me.
Your reliable older brother John who’s always there for you when you’re in a pinch.
Didn’t he just help you move?
Think of me.
Your kind Mother that knows how to care and love you when you’re home.
By the way, how was your Sunday with her?
Back to me again.
Your hard ass Dad and all the life lessons that he taught you.
Weren’t you experiencing car trouble, didn’t he work with you on it yesterday?
Me again.
Your S/O Jamie or Casey, the one you shared everything with.
Past couple day with them must’ve been fantastic.
You already know who you should go back to thinking about.
Your generous grandparents and they’re phenomenal cooking.
Come on.
Your best friend Jimmy or Samantha who’re always a blast to have around.
Their friends and family, think about all the people who were in contact with you and who they’ll be in contact with.
About 96% of the time you’ll survive and the odds of something bad to happen seem unlikely until you multiply it by the hundreds of people that will be involved.
Back to you, are you ready for this unimaginably long mental anguish of turmoil and this test of morality? Not to mention that you’ll subject others to this fate as well.
Can you handle the idea that this will be the last time you see anyone in the next two weeks?
Now I want to take the time and say I can’t tell you how thankful I am for my friends who stuck it out, messed up their sleep schedules all to keep me sane. It means the world to me!
And I appreciate those of you who’ve managed to read this far.
Unfortunately, with my post it’ll probably fall deaf on the ears that need to hear it most.
I beg you to share this post to your stubborn Aunts/Uncles, friends, and other family members. 
And just maybe, if they have any respect to your concerns, just maybe they’ll at least put on that damn mask the next time they go out.</t>
        </is>
      </c>
      <c r="D3675" t="n">
        <v>1</v>
      </c>
      <c r="E3675" t="n">
        <v>117</v>
      </c>
      <c r="F3675">
        <f>HYPERLINK("https://www.reddit.com/r/COVID19positive/comments/hxq0yh/catching_covid19_brings_unimaginable_uncertainty/")</f>
        <v/>
      </c>
      <c r="G3675" t="inlineStr">
        <is>
          <t>2020-07-25 09:58:56</t>
        </is>
      </c>
      <c r="H3675" t="inlineStr">
        <is>
          <t>Tested Positive - Me</t>
        </is>
      </c>
    </row>
    <row r="3676">
      <c r="A3676" t="inlineStr">
        <is>
          <t>hxqh15</t>
        </is>
      </c>
      <c r="B3676" t="inlineStr">
        <is>
          <t>I tested negative but I still feel like I was positive...I want to juggle and go back to work...</t>
        </is>
      </c>
      <c r="C3676" t="inlineStr">
        <is>
          <t>It makes me feel insanely tired and I even feel like death but should I still do light cardio?</t>
        </is>
      </c>
      <c r="D3676" t="n">
        <v>1</v>
      </c>
      <c r="E3676" t="n">
        <v>5</v>
      </c>
      <c r="F3676">
        <f>HYPERLINK("https://www.reddit.com/r/COVID19positive/comments/hxqh15/i_tested_negative_but_i_still_feel_like_i_was/")</f>
        <v/>
      </c>
      <c r="G3676" t="inlineStr">
        <is>
          <t>2020-07-25 10:24:54</t>
        </is>
      </c>
      <c r="H3676" t="inlineStr">
        <is>
          <t>Presumed Positive - From Test</t>
        </is>
      </c>
    </row>
    <row r="3677">
      <c r="A3677" t="inlineStr">
        <is>
          <t>hxr69b</t>
        </is>
      </c>
      <c r="B3677" t="inlineStr">
        <is>
          <t>Singular Monteuklast Users</t>
        </is>
      </c>
      <c r="C3677" t="inlineStr">
        <is>
          <t>My husband is waiting on the results of of his test. He’s been sick for four days now with fever headache etc. We are in a hot spot.  I was away for the first day of his onset. I have been home for the last two days. So far, I’m still ok.
I take singular when my allergies are bad. I started taking it when I got home because I read it being used to combat the cytokine storm of covid.  I have given my husband one a day too. He is improving. 
Anyone have experience with monteuklast/singular with COVID? Trying to see if I’m just wasting time trying to prevent this or of others have had any luck with it. Thanks for sharing your experiences.</t>
        </is>
      </c>
      <c r="D3677" t="n">
        <v>1</v>
      </c>
      <c r="E3677" t="n">
        <v>3</v>
      </c>
      <c r="F3677">
        <f>HYPERLINK("https://www.reddit.com/r/COVID19positive/comments/hxr69b/singular_monteuklast_users/")</f>
        <v/>
      </c>
      <c r="G3677" t="inlineStr">
        <is>
          <t>2020-07-25 11:05:16</t>
        </is>
      </c>
      <c r="H3677" t="inlineStr">
        <is>
          <t>Presumed Positive - From Doctor</t>
        </is>
      </c>
    </row>
    <row r="3678">
      <c r="A3678" t="inlineStr">
        <is>
          <t>hxraia</t>
        </is>
      </c>
      <c r="B3678" t="inlineStr">
        <is>
          <t>Retested</t>
        </is>
      </c>
      <c r="C3678" t="inlineStr">
        <is>
          <t>I tested positive on June 29.
I have been in insolation with my husband since June 20th due to a positive case at work.
Yesterday was 9 days without symptoms, so we went to get retested to see if we could see our daughter (we usually get her every other weekend) and return to work.
Unless you pay big bucks or have a referral most of the rapid testing isn't available, and most of the free sites take a week or two to get results but we were lucky and found a free site with a quick turnaround.
My husband hasn't received his results, but I have. 
I am still positive.
I am grateful we are feeling better but I can't see my family until I have a negative result.
I am pretty upset.
I miss my kid.
I miss hugging my family.</t>
        </is>
      </c>
      <c r="D3678" t="n">
        <v>1</v>
      </c>
      <c r="E3678" t="n">
        <v>2</v>
      </c>
      <c r="F3678">
        <f>HYPERLINK("https://www.reddit.com/r/COVID19positive/comments/hxraia/retested/")</f>
        <v/>
      </c>
      <c r="G3678" t="inlineStr">
        <is>
          <t>2020-07-25 11:11:55</t>
        </is>
      </c>
      <c r="H3678" t="inlineStr">
        <is>
          <t>Tested Positive - Me</t>
        </is>
      </c>
    </row>
    <row r="3679">
      <c r="A3679" t="inlineStr">
        <is>
          <t>hxrvzu</t>
        </is>
      </c>
      <c r="B3679" t="inlineStr">
        <is>
          <t>Family super symptomatic tested negative. Me only tired tested positive!</t>
        </is>
      </c>
      <c r="C3679" t="inlineStr">
        <is>
          <t>How can we trust the quick tests.  How accurate are they really?
Wife and kids cough, fevers, stomach issues - per pediatrician all got tested on the 16th. My center used a send off lab theirs were quick tests.  They all tested negative on the 16-17th 
My results were reported back to the clinic on the 20th.  They just notified me today (another problem 5 day delay to tell me!!!) positive. 
My only lingering issue is just dog tired in the morning.  I usually go to be by 1 am and by 630 I am up and ready for the day but for last 2 weeks I am just dragging myself up out of bed after 8+ hours of sleep. 
All things considered glad that’s my only issue. But I am more concerned that the rapid tests are what everyone is relying on just suck.</t>
        </is>
      </c>
      <c r="D3679" t="n">
        <v>1</v>
      </c>
      <c r="E3679" t="n">
        <v>3</v>
      </c>
      <c r="F3679">
        <f>HYPERLINK("https://www.reddit.com/r/COVID19positive/comments/hxrvzu/family_super_symptomatic_tested_negative_me_only/")</f>
        <v/>
      </c>
      <c r="G3679" t="inlineStr">
        <is>
          <t>2020-07-25 11:46:16</t>
        </is>
      </c>
      <c r="H3679" t="inlineStr">
        <is>
          <t>Tested Positive - Me</t>
        </is>
      </c>
    </row>
    <row r="3680">
      <c r="A3680" t="inlineStr">
        <is>
          <t>hxtlt2</t>
        </is>
      </c>
      <c r="B3680" t="inlineStr">
        <is>
          <t>Brain issues after week 17?</t>
        </is>
      </c>
      <c r="C3680" t="inlineStr">
        <is>
          <t>I got sick in March, male, age 30. Since then I experienced a scary array of symptoms. I had xray and cardiologist saying my organs are fine. Most of these symptoms have disappeared by now (thank god), I no longer have SOB, tightness in chest, fever, loss of smell/taste, tingling in legs and arms, and a few other symptoms. What i still have is brain fog, fatigue, tinnitus, headaches, head pressure which feels like sinus infection, ear pressure, pain behind eyes, dizziness, stiff neck and blurred vision. All of these symptoms comes and goes with exception of the tinnitus. Should I be worried? My doctor wants to see me again next week but I don't know if that's fast enough. I'm afraid I might have/had meningitis but I can't know for sure. Also I don't know what kind of help I can expect. It seems no one knows what to do at this point, other than rest, eat healthy and careful with overextenting the body. Should I get a MRI or CT scan? I have read multiple posts here from people experience similar brain symptoms, getting scans which showed normal results. Maybe this is just the cause of the virus, and what I experience now will disappear? I feel lost atm. Being sick is the new "normal" for me..</t>
        </is>
      </c>
      <c r="D3680" t="n">
        <v>1</v>
      </c>
      <c r="E3680" t="n">
        <v>32</v>
      </c>
      <c r="F3680">
        <f>HYPERLINK("https://www.reddit.com/r/COVID19positive/comments/hxtlt2/brain_issues_after_week_17/")</f>
        <v/>
      </c>
      <c r="G3680" t="inlineStr">
        <is>
          <t>2020-07-25 13:26:52</t>
        </is>
      </c>
      <c r="H3680" t="inlineStr">
        <is>
          <t>Presumed Positive - From Doctor</t>
        </is>
      </c>
    </row>
    <row r="3681">
      <c r="A3681" t="inlineStr">
        <is>
          <t>hxtu6c</t>
        </is>
      </c>
      <c r="B3681" t="inlineStr">
        <is>
          <t>How many of you were positive, certain you had it , and only tested for validation ?</t>
        </is>
      </c>
      <c r="C3681" t="inlineStr">
        <is>
          <t>I see a lot of posts here , people asking about symptoms , scared they may have it .
I see others where people are convinced they have it but get negative results .
2 days with symptoms , I was positive I had it.
I just knew because of the incredible pain.
I almost didn’t get tested because I figured there was nothing to be done that I wasn’t doing . I was isolating , fluids , rest ect 
I can’t even get out of bed for long periods , so resting isn’t hard.
 My job is flexible so I didn’t need proof for work .
The sole reason I got tested was to validate it . Nobody was doubting me, although a few said maybe it the flu ( is it even flu season ?) or allergies .
As silly as it sounds , I felt the need to validate that I was truly ill.
 Did anyone else feel this way ?</t>
        </is>
      </c>
      <c r="D3681" t="n">
        <v>1</v>
      </c>
      <c r="E3681" t="n">
        <v>16</v>
      </c>
      <c r="F3681">
        <f>HYPERLINK("https://www.reddit.com/r/COVID19positive/comments/hxtu6c/how_many_of_you_were_positive_certain_you_had_it/")</f>
        <v/>
      </c>
      <c r="G3681" t="inlineStr">
        <is>
          <t>2020-07-25 13:41:18</t>
        </is>
      </c>
      <c r="H3681" t="inlineStr">
        <is>
          <t>Tested Positive - Me</t>
        </is>
      </c>
    </row>
    <row r="3682">
      <c r="A3682" t="inlineStr">
        <is>
          <t>hxtuq8</t>
        </is>
      </c>
      <c r="B3682" t="inlineStr">
        <is>
          <t>Please help with some advice</t>
        </is>
      </c>
      <c r="C3682" t="inlineStr">
        <is>
          <t>So on July 6th I tested positive after I found out I was exposed the 3rd. I have a 4 year old that was staying with my mom from the 3rd of July till today 7/26. My doctor cleared me the 15th but I been so afraid to be around my child so I decided to wait longer. My baby is asking for me and begging to come home. Would it be a good idea? I feel fine, just loss of taste and smell and headaches when I work myself out but I feel fine. Is it safe for my baby to come home ?</t>
        </is>
      </c>
      <c r="D3682" t="n">
        <v>1</v>
      </c>
      <c r="E3682" t="n">
        <v>9</v>
      </c>
      <c r="F3682">
        <f>HYPERLINK("https://www.reddit.com/r/COVID19positive/comments/hxtuq8/please_help_with_some_advice/")</f>
        <v/>
      </c>
      <c r="G3682" t="inlineStr">
        <is>
          <t>2020-07-25 13:42:11</t>
        </is>
      </c>
      <c r="H3682" t="inlineStr">
        <is>
          <t>Tested Positive - Me</t>
        </is>
      </c>
    </row>
    <row r="3683">
      <c r="A3683" t="inlineStr">
        <is>
          <t>hxtyln</t>
        </is>
      </c>
      <c r="B3683" t="inlineStr">
        <is>
          <t>Pulse readings</t>
        </is>
      </c>
      <c r="C3683" t="inlineStr">
        <is>
          <t>Im on day 17 after catching Covid. The first week had fever chills headache really bad and the second week I had shortness of breath and oxygen levels around 90. I feel a lot better now but notice that my pulse goes to around 110 whenever I get up and walk around or even sit up after laying for awhile. It’s gone as high as 140 when I had to bring in some 5 gallon jugs of water. My normal resting pulse was around the high 60 low 70 and I can sometimes reach that laying absolutely still. I honestly feel back to normal but am worried my heart is being damaged and don’t want to even try anything strenuous. Have any of you had the same thing happen? How long did it take to recover if at all?</t>
        </is>
      </c>
      <c r="D3683" t="n">
        <v>1</v>
      </c>
      <c r="E3683" t="n">
        <v>10</v>
      </c>
      <c r="F3683">
        <f>HYPERLINK("https://www.reddit.com/r/COVID19positive/comments/hxtyln/pulse_readings/")</f>
        <v/>
      </c>
      <c r="G3683" t="inlineStr">
        <is>
          <t>2020-07-25 13:48:42</t>
        </is>
      </c>
      <c r="H3683" t="inlineStr">
        <is>
          <t>Tested Positive - Me</t>
        </is>
      </c>
    </row>
    <row r="3684">
      <c r="A3684" t="inlineStr">
        <is>
          <t>hxtzaz</t>
        </is>
      </c>
      <c r="B3684" t="inlineStr">
        <is>
          <t>My (19M) COVID Timeline</t>
        </is>
      </c>
      <c r="C3684" t="inlineStr">
        <is>
          <t>Hey everyone, I tested positive this last week for the Rona and thought I’d share my story. This is a more optimistic case and hopefully I give some optimism for those who don’t have corona but skim through this subreddit anyways and constantly see all the negatives like I did! 
Day 1: Woke up with more post nasal drip than what occurs normally with my allergies, developed slight, productive cough. Chalked it up to allergies from pets and ignored it
Day 2: Woke up feeling hungover even though I hadn’t drank the night before, at first chalked it up to lack of sleep, lack of food/water, etc. Fatigue from the morning never subsided so I decided to nap in the afternoon but when I woke up I felt even more fatigued, achy, and was feverish (mild fever, temp was never higher than 100.1), started to suspect it was possible that I was sick and stayed in the rest of the night monitoring symptoms 
Day 3: Woke up feeling the same fatigue and aches, productive cough, and slight fever (only in the 99’s this time), decided to schedule a covid test and went in, no other new symptoms. Doctor noted that my lungs sounded good
Day 4: Fatigue fading, aches pretty much gone, cough still productive but never debilitating or extreme. Fever on and off but very low (still in 99’s) 
Day 5: Fatigue gone, cough still productive. Constantly clearing throat and pulling up phlegm, temp in low 99’s max
Day 6: Just productive cough and clearing phlegm from throat, no fever 
Day 7: less coughing, phlegm starting to fade, no fever  
Day 8: Same as day 7
Day 9: Same as day 7
Day 10: Same as day 7
My case was very mild, I do take vitamin supplements every morning and night. Could very much have meant the difference between having the case I did and feeling worse. 
Stay safe everyone.</t>
        </is>
      </c>
      <c r="D3684" t="n">
        <v>1</v>
      </c>
      <c r="E3684" t="n">
        <v>7</v>
      </c>
      <c r="F3684">
        <f>HYPERLINK("https://www.reddit.com/r/COVID19positive/comments/hxtzaz/my_19m_covid_timeline/")</f>
        <v/>
      </c>
      <c r="G3684" t="inlineStr">
        <is>
          <t>2020-07-25 13:49:51</t>
        </is>
      </c>
      <c r="H3684" t="inlineStr">
        <is>
          <t>Tested Positive</t>
        </is>
      </c>
    </row>
    <row r="3685">
      <c r="A3685" t="inlineStr">
        <is>
          <t>hxuo3p</t>
        </is>
      </c>
      <c r="B3685" t="inlineStr">
        <is>
          <t>Chest plegm/mucus</t>
        </is>
      </c>
      <c r="C3685" t="inlineStr">
        <is>
          <t>Does anyone else have Phlegm/mucus in there chest/lung when they exhale at the end feels bubbly any recommendations on what to take? Btw I have asthma as well and the inhaler doesn’t really help this problem &amp;amp; yes I’ve tried mucunix MD twice a day</t>
        </is>
      </c>
      <c r="D3685" t="n">
        <v>1</v>
      </c>
      <c r="E3685" t="n">
        <v>15</v>
      </c>
      <c r="F3685">
        <f>HYPERLINK("https://www.reddit.com/r/COVID19positive/comments/hxuo3p/chest_plegmmucus/")</f>
        <v/>
      </c>
      <c r="G3685" t="inlineStr">
        <is>
          <t>2020-07-25 14:32:50</t>
        </is>
      </c>
      <c r="H3685" t="inlineStr">
        <is>
          <t>Tested Positive - Me</t>
        </is>
      </c>
    </row>
    <row r="3686">
      <c r="A3686" t="inlineStr">
        <is>
          <t>hxvw1v</t>
        </is>
      </c>
      <c r="B3686" t="inlineStr">
        <is>
          <t>I am pretty sure I have COVID</t>
        </is>
      </c>
      <c r="C3686" t="inlineStr">
        <is>
          <t>While I only have the exhaustion and the diarrhea I am getting nervous about having the virus.  Haven’t had the shits like this in as long as I can remember.  And I slept two nights ago, all day yesterday (with the exception of waiting in line for 3 hours for a COVID test), all then all night last night until 10:00 am this morning.  They say that there will be a test result emailed to me within the next few days.  I am getting really fucking nervous.</t>
        </is>
      </c>
      <c r="D3686" t="n">
        <v>1</v>
      </c>
      <c r="E3686" t="n">
        <v>5</v>
      </c>
      <c r="F3686">
        <f>HYPERLINK("https://www.reddit.com/r/COVID19positive/comments/hxvw1v/i_am_pretty_sure_i_have_covid/")</f>
        <v/>
      </c>
      <c r="G3686" t="inlineStr">
        <is>
          <t>2020-07-25 15:48:46</t>
        </is>
      </c>
      <c r="H3686" t="inlineStr">
        <is>
          <t>Presumed Positive - From Test</t>
        </is>
      </c>
    </row>
    <row r="3687">
      <c r="A3687" t="inlineStr">
        <is>
          <t>hxvxj1</t>
        </is>
      </c>
      <c r="B3687" t="inlineStr">
        <is>
          <t>My Mild Case of COVID-19</t>
        </is>
      </c>
      <c r="C3687" t="inlineStr">
        <is>
          <t>Hey everyone! I don’t see many recovery stories on here majority of the time and I’m hoping to give some of those who’ve tested positive a little bit of light. I am 21 years old, a personal trainer and group exercise instructor, dancer, and performer. I’m in very good health with no underlying health conditions. I tested positive for COVID-19 on July 16th and have recovered since! Here were my symptoms:
Day 1 Monday July 13th- headaches, mental fog, general fatigue, no fever. 
Day 2 Tuesday July 14th  - headaches, mental fog, general fatigue, no fever. 
Day 3 Wednesday July 15th - headaches, sore throat, chest pressure, mental fog, general fatigue, no fever. went to get tested.  
Day 4 Thursday July 16th - tested positive for COVID-19. Doc prescribed antibiotics and I started taking vitamin d, c, and zinc (under doctors orders). headache, chest pressure, minor sluggishness/fatigue, 99.6 degree fever at 10:45am. mild nausea after eating &amp;amp; a little bit of an upset stomach/GI tract
Day 5 Friday July 17th - chest pressure/congestion, dry mouth, achy muscles, sore/hot throat. 97 degree temp in the AM (I have a low body temp normally). upper back soreness. moderate nausea (more than yesterday. thought i was going to throw up and i only drank water and took vitamins ) but especially first thing in the morning. 98.5 temp at 1:50pm. 
Day 6 Saturday July 18th - tingling in my hands and right quad right when I woke up, chest pressure/congestion, dry mouth that went away with hydration, achy muscles right when i woke up, sore/hot throat, some nausea when taking vitamins and drinking water but only in the am. so much gas throughout the whole day. minor headache later in the day. 96.9 temp in the evening. 
Day 7 Sunday July 19th - really sore back, chest pressure/congestion, slight nausea in the morning after taking vitamins and drinking water. temp in the AM was 96.8. fatigue but usually when i’ve over exerted myself. sometimes the chest pressure is more than usual but i don’t know if it’s my anxiety or not (I have general anxiety). bought a pulse ox and mine was 99 at 2pm &amp;amp; 11:20pm
Day 8 Monday July 20th - sore back, chest pressure/congestion, sore &amp;amp; dry throat. little bit of a headache in the morning. nausea in the morning after taking vitamins and drinking water. diarrhea at 11:30am. symptoms got much better throughout the day and the more active i was. went on 2 walks both almost a mile each with my dog (i live in a very rural area so no human contact at all when on my walks).
Day 9 Tuesday July 21st - sore back, sore &amp;amp; dry throat. INTENSE nausea in the AM after taking vitamins and drinking water. diarrhea (literally liquid shit, sorry for the graphic) in the morning. thought i was going to throw up while simultaneously diarrhea-ing. chills but no fever. severe upset stomach and discomfort in the entire abdomen region. the worst of symptoms were in the AM but slowly went away as the day went on. Doctor prescribed Ivermectin - which i was told to take all 4 (3mg each) tablets of at once. 
Day 10 Wednesday July 22nd - slight headache but no symptoms, normal passing of stool. 
Day 11 Thursday July 23rd - no symptoms 
Day 12 Friday July 24th - no symptoms 
Day 13 Saturday July 25th - no symptoms 
This virus is weird. It felt like a weird cold the whole time but I quarantined and just took it easy. I am now fully recovered with the only after effect of being more tired than usual when I exert myself a little too much. Hope this provides some insight on a mild case for those who have tested positive &amp;amp; are young with no underlying conditions. I am very grateful for my body’s ability to fight off the virus!</t>
        </is>
      </c>
      <c r="D3687" t="n">
        <v>1</v>
      </c>
      <c r="E3687" t="n">
        <v>37</v>
      </c>
      <c r="F3687">
        <f>HYPERLINK("https://www.reddit.com/r/COVID19positive/comments/hxvxj1/my_mild_case_of_covid19/")</f>
        <v/>
      </c>
      <c r="G3687" t="inlineStr">
        <is>
          <t>2020-07-25 15:51:34</t>
        </is>
      </c>
      <c r="H3687" t="inlineStr">
        <is>
          <t>Tested Positive - Me</t>
        </is>
      </c>
    </row>
    <row r="3688">
      <c r="A3688" t="inlineStr">
        <is>
          <t>hxvy80</t>
        </is>
      </c>
      <c r="B3688" t="inlineStr">
        <is>
          <t>My friends (now ex) boyfriend lied about having positive results</t>
        </is>
      </c>
      <c r="C3688" t="inlineStr">
        <is>
          <t>A good friend of mine was seeing this guy for about 2 months . We could see the red flags and see he wasn’t into her but she couldn’t see it .
About a month ago, he claimed she couldn’t come over as he was self quarantined due to exposure at work.
The story sounded fishy because his brother  who works with( partners in a plumbing buisness ) and is his roomate yet he wasn’t quarantined.
 Anyway, the day before  the end of this “self quarantine “, he all of a sudden was sick with a suspected ear infection .
He told her was going to dr to her ear checked .
This was 2 pm
He messaged her back at 3:30, claiming he had an ear infection and also tested positive . ( this was before rapid testing 
We all told her he was full of it. She wanted to believe it , so we told her to ask for a picture of his positive results .
He fessed up and they are broken up now .
It bothered me then because I thought it was crazy .
 Now , a month later , I am very ill myself with this and when I think about it , I am
Livid .
Has anyone else experienced someone lying about this ?</t>
        </is>
      </c>
      <c r="D3688" t="n">
        <v>1</v>
      </c>
      <c r="E3688" t="n">
        <v>5</v>
      </c>
      <c r="F3688">
        <f>HYPERLINK("https://www.reddit.com/r/COVID19positive/comments/hxvy80/my_friends_now_ex_boyfriend_lied_about_having/")</f>
        <v/>
      </c>
      <c r="G3688" t="inlineStr">
        <is>
          <t>2020-07-25 15:52:45</t>
        </is>
      </c>
      <c r="H3688" t="inlineStr">
        <is>
          <t>Tested Positive - Me</t>
        </is>
      </c>
    </row>
    <row r="3689">
      <c r="A3689" t="inlineStr">
        <is>
          <t>hxvyur</t>
        </is>
      </c>
      <c r="B3689" t="inlineStr">
        <is>
          <t>Retested positive after 10 days</t>
        </is>
      </c>
      <c r="C3689" t="inlineStr">
        <is>
          <t>I pretty much feel fine my smell is coming back , im gonna go back in about 5 days and try again . But idk where these stomach cramps are coming from . Im probably 15 since my first symptom and now no symptoms then im having stomach pains , not a period either .</t>
        </is>
      </c>
      <c r="D3689" t="n">
        <v>1</v>
      </c>
      <c r="E3689" t="n">
        <v>2</v>
      </c>
      <c r="F3689">
        <f>HYPERLINK("https://www.reddit.com/r/COVID19positive/comments/hxvyur/retested_positive_after_10_days/")</f>
        <v/>
      </c>
      <c r="G3689" t="inlineStr">
        <is>
          <t>2020-07-25 15:53:51</t>
        </is>
      </c>
      <c r="H3689" t="inlineStr">
        <is>
          <t>Tested Positive - Me</t>
        </is>
      </c>
    </row>
    <row r="3690">
      <c r="A3690" t="inlineStr">
        <is>
          <t>hxwiv8</t>
        </is>
      </c>
      <c r="B3690" t="inlineStr">
        <is>
          <t>Lower Back Heat</t>
        </is>
      </c>
      <c r="C3690" t="inlineStr">
        <is>
          <t>I'm about 15 days in. Overall feeling better, but the fatigue is brutal. A few days ago, I started developing a heat sensation in my lower back. It's a burning sensation but not overly painful. It does not feel like muscle pain. Seems to come on in the afternoon &amp;amp; worsens into the evening. Has anyone else had this? Not sure if/when I should be concerned.</t>
        </is>
      </c>
      <c r="D3690" t="n">
        <v>1</v>
      </c>
      <c r="E3690" t="n">
        <v>4</v>
      </c>
      <c r="F3690">
        <f>HYPERLINK("https://www.reddit.com/r/COVID19positive/comments/hxwiv8/lower_back_heat/")</f>
        <v/>
      </c>
      <c r="G3690" t="inlineStr">
        <is>
          <t>2020-07-25 16:30:38</t>
        </is>
      </c>
      <c r="H3690" t="inlineStr">
        <is>
          <t>Tested Positive - Family</t>
        </is>
      </c>
    </row>
    <row r="3691">
      <c r="A3691" t="inlineStr">
        <is>
          <t>hxwnvo</t>
        </is>
      </c>
      <c r="B3691" t="inlineStr">
        <is>
          <t>Got tested today for mild symptoms</t>
        </is>
      </c>
      <c r="C3691" t="inlineStr">
        <is>
          <t>Throat dryness and a bit of sore throat and very little dry cough for the last couple of days prompted me to go get a test.
Today after the test I had a headache and pressure in my sinus and back of the eyes and feels like I have sinus infection but not nasal congestion if that makes sense. 
No dry cough today and no fever or any other symptoms. Hoping that it comes back negative since I live with my mom and grandma in an apartment and am currently isolating myself in my room.</t>
        </is>
      </c>
      <c r="D3691" t="n">
        <v>1</v>
      </c>
      <c r="E3691" t="n">
        <v>7</v>
      </c>
      <c r="F3691">
        <f>HYPERLINK("https://www.reddit.com/r/COVID19positive/comments/hxwnvo/got_tested_today_for_mild_symptoms/")</f>
        <v/>
      </c>
      <c r="G3691" t="inlineStr">
        <is>
          <t>2020-07-25 16:39:45</t>
        </is>
      </c>
      <c r="H3691" t="inlineStr">
        <is>
          <t>Presumed Positive - From Test</t>
        </is>
      </c>
    </row>
    <row r="3692">
      <c r="A3692" t="inlineStr">
        <is>
          <t>hxwr3x</t>
        </is>
      </c>
      <c r="B3692" t="inlineStr">
        <is>
          <t>Covid symptoms lingering a month later?</t>
        </is>
      </c>
      <c r="C3692" t="inlineStr">
        <is>
          <t>Hi I’m 22M and I got covid about a month ago. I had a relatively mild case with low fever, body aches, coughing and sore throat, but felt better about a week later. Then I felt relatively ok for a week. But these last two weeks (weeks 3 and 4 after I tested positive), I’ve been feeling nauseous, exhausted and feverish, but no sore throat or respiratory symptoms. I was wondering if anyone else has experienced this and how long it took to go away?</t>
        </is>
      </c>
      <c r="D3692" t="n">
        <v>1</v>
      </c>
      <c r="E3692" t="n">
        <v>9</v>
      </c>
      <c r="F3692">
        <f>HYPERLINK("https://www.reddit.com/r/COVID19positive/comments/hxwr3x/covid_symptoms_lingering_a_month_later/")</f>
        <v/>
      </c>
      <c r="G3692" t="inlineStr">
        <is>
          <t>2020-07-25 16:45:54</t>
        </is>
      </c>
      <c r="H3692" t="inlineStr">
        <is>
          <t>Tested Positive - Me</t>
        </is>
      </c>
    </row>
    <row r="3693">
      <c r="A3693" t="inlineStr">
        <is>
          <t>hxwz1g</t>
        </is>
      </c>
      <c r="B3693" t="inlineStr">
        <is>
          <t>My family's covid odyssey</t>
        </is>
      </c>
      <c r="C3693" t="inlineStr">
        <is>
          <t>I am American. My step dad and stepsisters are Swedish and live in Stockholm. My elder stepsister was diagnosed covid positive, then a few weeks later was diagnosed with cancer. She worked at an elder care facility. Even while it was known she was covid  positive. She is now covid negative and recovering from cancer surgery. 
After the cancer diagnosis, my stepdad who lives in the US, went to Sweden to be with her. 
My other stepsister and her one son was then also diagnosed with COVID with symptoms. Her husband and other son, who live in the same house, have not showed symptoms and I believe have tested negative so far.
My step dad who has been around my younger stepsister, recently got tested so he could be around my sister who is recovering from cancer. He is negative. 
What an absolutely weird, unpredictable virus.</t>
        </is>
      </c>
      <c r="D3693" t="n">
        <v>1</v>
      </c>
      <c r="E3693" t="n">
        <v>3</v>
      </c>
      <c r="F3693">
        <f>HYPERLINK("https://www.reddit.com/r/COVID19positive/comments/hxwz1g/my_familys_covid_odyssey/")</f>
        <v/>
      </c>
      <c r="G3693" t="inlineStr">
        <is>
          <t>2020-07-25 17:00:34</t>
        </is>
      </c>
      <c r="H3693" t="inlineStr">
        <is>
          <t>Tested Positive - Family</t>
        </is>
      </c>
    </row>
    <row r="3694">
      <c r="A3694" t="inlineStr">
        <is>
          <t>hxx1hd</t>
        </is>
      </c>
      <c r="B3694" t="inlineStr">
        <is>
          <t>How common is cold sensitivity?</t>
        </is>
      </c>
      <c r="C3694" t="inlineStr">
        <is>
          <t>Long ternera since April and it was particularly bad this week so I got the full test. Still waiting for that &amp;amp; a blood test from my primary care.
One issue I’ve constantly had, I’m freezing in a house that’s just a little cold. My parents feel fine but it’s unbearable for me and it causes me to have chills when I get a relapse. Anyone else develop a strong sensitivity to cold even months after infection?</t>
        </is>
      </c>
      <c r="D3694" t="n">
        <v>1</v>
      </c>
      <c r="E3694" t="n">
        <v>3</v>
      </c>
      <c r="F3694">
        <f>HYPERLINK("https://www.reddit.com/r/COVID19positive/comments/hxx1hd/how_common_is_cold_sensitivity/")</f>
        <v/>
      </c>
      <c r="G3694" t="inlineStr">
        <is>
          <t>2020-07-25 17:05:21</t>
        </is>
      </c>
      <c r="H3694" t="inlineStr">
        <is>
          <t>Presumed Positive - From Doctor</t>
        </is>
      </c>
    </row>
    <row r="3695">
      <c r="A3695" t="inlineStr">
        <is>
          <t>hxxf96</t>
        </is>
      </c>
      <c r="B3695" t="inlineStr">
        <is>
          <t>No symptoms anymore but still don’t feel good</t>
        </is>
      </c>
      <c r="C3695" t="inlineStr">
        <is>
          <t>Tested positive for covid a while ago and I’m on day 16 of not feeling good. My first week with covid I had headaches, small cough, sore throat, fatigue. Just minor things like that. They’ve all gone away but during my 2nd week I still don’t feel good. It’s hard to describe. No symptoms anymore but I don’t feel myself. I feel very warm but when I take my temperature I’m right around 98 degrees. I have no idea what’s going on with me. It feels like I’m going to feel like this forever.</t>
        </is>
      </c>
      <c r="D3695" t="n">
        <v>1</v>
      </c>
      <c r="E3695" t="n">
        <v>3</v>
      </c>
      <c r="F3695">
        <f>HYPERLINK("https://www.reddit.com/r/COVID19positive/comments/hxxf96/no_symptoms_anymore_but_still_dont_feel_good/")</f>
        <v/>
      </c>
      <c r="G3695" t="inlineStr">
        <is>
          <t>2020-07-25 17:31:51</t>
        </is>
      </c>
      <c r="H3695" t="inlineStr">
        <is>
          <t>Tested Positive - Me</t>
        </is>
      </c>
    </row>
    <row r="3696">
      <c r="A3696" t="inlineStr">
        <is>
          <t>hxxlfv</t>
        </is>
      </c>
      <c r="B3696" t="inlineStr">
        <is>
          <t>Guilt</t>
        </is>
      </c>
      <c r="C3696" t="inlineStr">
        <is>
          <t>I started feeling crappy about 3 weeks ago. I saw a friend the day before I began feeling symptoms. I got tested 3 days later at CVS and told her about it. She got tested 3-4 days after me, but has felt good since. It took me 16 days to get my positive test results and she still doesn’t have any. Thankfully, I am now 2 days symptom free. 
Yesterday her mom had a heart attack and hasn’t woken up. She was having respiratory issues so they tested her for Covid and she tested positive. Doctors do not think she is going to make it. 
I can’t help but think that I gave her Covid and killed her mom. Has anyone else possibly spread the virus to someone who isn’t doing well? How do you handle the guilt? And any advice as to what I should say/do to help my friend who is feeling very guilty?</t>
        </is>
      </c>
      <c r="D3696" t="n">
        <v>1</v>
      </c>
      <c r="E3696" t="n">
        <v>48</v>
      </c>
      <c r="F3696">
        <f>HYPERLINK("https://www.reddit.com/r/COVID19positive/comments/hxxlfv/guilt/")</f>
        <v/>
      </c>
      <c r="G3696" t="inlineStr">
        <is>
          <t>2020-07-25 17:43:35</t>
        </is>
      </c>
      <c r="H3696" t="inlineStr">
        <is>
          <t>Tested Positive - Me</t>
        </is>
      </c>
    </row>
    <row r="3697">
      <c r="A3697" t="inlineStr">
        <is>
          <t>hxxti8</t>
        </is>
      </c>
      <c r="B3697" t="inlineStr">
        <is>
          <t>Is it safe as a long termer to get a hepititis b vaccine?</t>
        </is>
      </c>
      <c r="C3697" t="inlineStr">
        <is>
          <t>My job needs me to get my third dose. But im not really a doctor to know if my body is ready for when since ive never had a virus fuck me up for this long. 4+ months now of symptoms that have gotten better with time. Prior to this i was super healthy and had no issues or immunodeficiencies. Im just not sure if my body can take a vaccine properly given how ive been feeling these last couple months. Ima call a nurse hotline to ask them this question but was wondering if anyone on here knows if its safe or not.</t>
        </is>
      </c>
      <c r="D3697" t="n">
        <v>1</v>
      </c>
      <c r="E3697" t="n">
        <v>5</v>
      </c>
      <c r="F3697">
        <f>HYPERLINK("https://www.reddit.com/r/COVID19positive/comments/hxxti8/is_it_safe_as_a_long_termer_to_get_a_hepititis_b/")</f>
        <v/>
      </c>
      <c r="G3697" t="inlineStr">
        <is>
          <t>2020-07-25 17:59:43</t>
        </is>
      </c>
      <c r="H3697" t="inlineStr">
        <is>
          <t>Presumed Positive - From Doctor</t>
        </is>
      </c>
    </row>
    <row r="3698">
      <c r="A3698" t="inlineStr">
        <is>
          <t>hxy2j0</t>
        </is>
      </c>
      <c r="B3698" t="inlineStr">
        <is>
          <t>I had no breathing issues</t>
        </is>
      </c>
      <c r="C3698" t="inlineStr">
        <is>
          <t>Here is the timeline of my illness. I’m 20F, cannabis smoker, and have had asthma my whole life, primarily induced by working out and illness, but I didn’t experience much upper respiratory symptoms at all. I live with 6 other people so have been quarantined with my boyfriend and nobody else has experienced symptoms thus far. 
Day 1: My first day of symptoms coincided with my decision to quit nicotine so my early symptoms I attributed to this. This day I only experienced some post nasal drip and headache symptoms. 
Day 2-3: Same symptoms as day 1, but add on sore throat and fatigue. At this point I still thought these were just normal symptoms of nicotine withdrawal. 
Day 4: I woke up this morning with nausea and my boyfriend having a cough. I had a really low grade fever. At this point, I realized since we were both sick it likely wasn’t due to my quitting vaping. I threw up once and called to get in for a test the same day. 
Day 5: My smell and taste had been off but by day 5, they were completely gone. My other symptoms still lingered. 
Day 6: I felt really good most of this day. Most of my symptoms seemed to go away but in the evening I had a very sudden bout of nausea which lasted for 17 hours. 
Day 7: I ended up going to the ER for heart palpitations from extreme dehydration from throwing up. I got IV fluids and anti-nausea meds and was discharged. I had very slight shortness of breath this day that I think was worse due to anxiety. 
Day 8: Only symptoms this day was diarrhea and some nausea. 
Day 9-10: Feeling a lot better with no symptoms other than loss of taste and smell; however, it’s starting to return very slowly. I feel a weird sensation in my nose as well, similar to getting water in your nose. I got my test results today that I am COVID positive.</t>
        </is>
      </c>
      <c r="D3698" t="n">
        <v>1</v>
      </c>
      <c r="E3698" t="n">
        <v>6</v>
      </c>
      <c r="F3698">
        <f>HYPERLINK("https://www.reddit.com/r/COVID19positive/comments/hxy2j0/i_had_no_breathing_issues/")</f>
        <v/>
      </c>
      <c r="G3698" t="inlineStr">
        <is>
          <t>2020-07-25 18:17:37</t>
        </is>
      </c>
      <c r="H3698" t="inlineStr">
        <is>
          <t>Tested Positive</t>
        </is>
      </c>
    </row>
    <row r="3699">
      <c r="A3699" t="inlineStr">
        <is>
          <t>hxyh2g</t>
        </is>
      </c>
      <c r="B3699" t="inlineStr">
        <is>
          <t>Tested Positive but no symptoms</t>
        </is>
      </c>
      <c r="C3699" t="inlineStr">
        <is>
          <t>Hi, i’m seeking advice as I tested positive for Covid-19 although i have not had any symptoms since I first suspected I caught it back in May. I couldn’t get tested anywhere and I quarantined for an entire month. I got my test done on July 21st as requested by my workplace, it was only an active test and not for antibodies and unfortunately received positive results. I’m not sure if it’s a false positive or if it is truly positive, what would be the next step ? keep testing until I show negative ? thank you in advance</t>
        </is>
      </c>
      <c r="D3699" t="n">
        <v>1</v>
      </c>
      <c r="E3699" t="n">
        <v>5</v>
      </c>
      <c r="F3699">
        <f>HYPERLINK("https://www.reddit.com/r/COVID19positive/comments/hxyh2g/tested_positive_but_no_symptoms/")</f>
        <v/>
      </c>
      <c r="G3699" t="inlineStr">
        <is>
          <t>2020-07-25 18:46:50</t>
        </is>
      </c>
      <c r="H3699" t="inlineStr">
        <is>
          <t>Tested Positive - Me</t>
        </is>
      </c>
    </row>
    <row r="3700">
      <c r="A3700" t="inlineStr">
        <is>
          <t>hxztqg</t>
        </is>
      </c>
      <c r="B3700" t="inlineStr">
        <is>
          <t>Exercise and fatigue</t>
        </is>
      </c>
      <c r="C3700" t="inlineStr">
        <is>
          <t>I understand rest is very important, but how do you get back into exercising after you fully recover? I’m not completely recovered yet, but my symptoms are very mild at this point and I’m doing fairly well. I went for a short walk (safely avoiding people) to clear my head, and I was pretty fatigued after not very long at all. I’m wondering if I should avoid all exercise for now? I’m also curious as to what other people’s experiences are with this after they’ve “recovered”. I saw a claim that exercise could cause relapses but it wasn’t from a reputable source, as far as I know. 
I hope you all are doing okay &amp;lt;3</t>
        </is>
      </c>
      <c r="D3700" t="n">
        <v>1</v>
      </c>
      <c r="E3700" t="n">
        <v>12</v>
      </c>
      <c r="F3700">
        <f>HYPERLINK("https://www.reddit.com/r/COVID19positive/comments/hxztqg/exercise_and_fatigue/")</f>
        <v/>
      </c>
      <c r="G3700" t="inlineStr">
        <is>
          <t>2020-07-25 20:27:51</t>
        </is>
      </c>
      <c r="H3700" t="inlineStr">
        <is>
          <t>Tested Positive - Me</t>
        </is>
      </c>
    </row>
    <row r="3701">
      <c r="A3701" t="inlineStr">
        <is>
          <t>hy0dh0</t>
        </is>
      </c>
      <c r="B3701" t="inlineStr">
        <is>
          <t>Tongue has bumps/sores, yellow coating sensitive to acidity?</t>
        </is>
      </c>
      <c r="C3701" t="inlineStr">
        <is>
          <t>Asking this for my mother.. 75yrs on day 11 doing pretty well other than gastro issues...
"...bumps, sores, yellow coating.  I've tried to brush tongue, gently, but I almost throw up every time.  All I have to do is touch tongue.  It's a challenge to try to brush my teeth...
The bumps/sores are affected by acid (applesauce, pills with orange coating, etc)"  
Any advice/info appreciated.</t>
        </is>
      </c>
      <c r="D3701" t="n">
        <v>1</v>
      </c>
      <c r="E3701" t="n">
        <v>3</v>
      </c>
      <c r="F3701">
        <f>HYPERLINK("https://www.reddit.com/r/COVID19positive/comments/hy0dh0/tongue_has_bumpssores_yellow_coating_sensitive_to/")</f>
        <v/>
      </c>
      <c r="G3701" t="inlineStr">
        <is>
          <t>2020-07-25 21:08:41</t>
        </is>
      </c>
      <c r="H3701" t="inlineStr">
        <is>
          <t>Tested Positive - Family</t>
        </is>
      </c>
    </row>
    <row r="3702">
      <c r="A3702" t="inlineStr">
        <is>
          <t>hy0h2e</t>
        </is>
      </c>
      <c r="B3702" t="inlineStr">
        <is>
          <t>Donated convalescent plasma.</t>
        </is>
      </c>
      <c r="C3702" t="inlineStr">
        <is>
          <t>Just a quick heads up lots of plasma centers and blood centers are looking for covid positive people who have recovered to help the very sick with antibody treatment from blood/plasma.  
Just search for convalescent plasma donations near me! Some places actually compensate you for your time at around $200 per donation, and you can potentially helps someone life.</t>
        </is>
      </c>
      <c r="D3702" t="n">
        <v>1</v>
      </c>
      <c r="E3702" t="n">
        <v>7</v>
      </c>
      <c r="F3702">
        <f>HYPERLINK("https://www.reddit.com/r/COVID19positive/comments/hy0h2e/donated_convalescent_plasma/")</f>
        <v/>
      </c>
      <c r="G3702" t="inlineStr">
        <is>
          <t>2020-07-25 21:16:01</t>
        </is>
      </c>
      <c r="H3702" t="inlineStr">
        <is>
          <t>Tested Positive</t>
        </is>
      </c>
    </row>
    <row r="3703">
      <c r="A3703" t="inlineStr">
        <is>
          <t>hy13is</t>
        </is>
      </c>
      <c r="B3703" t="inlineStr">
        <is>
          <t>Husband/wife, No symptoms, 7 days since test</t>
        </is>
      </c>
      <c r="C3703" t="inlineStr">
        <is>
          <t>Hi there,
My husband and I had the opportunity to take a free test last Monday. We both had no symptoms and felt fine- we just want to take advantage of any test we can take. We were super surprised to both receive positive results this past Thursday. We left directly from the house Monday morning so the latest we would have been exposed was Sunday, which is also u likely since we social distance and wear masks. That said, no symptoms have occurred at all. Before our positive results came in, we were getting ready for a run. We have been chillen and netflixing and isolating hoping we don’t have any symptoms arise in the next week but did this happen to anybody else?</t>
        </is>
      </c>
      <c r="D3703" t="n">
        <v>1</v>
      </c>
      <c r="E3703" t="n">
        <v>3</v>
      </c>
      <c r="F3703">
        <f>HYPERLINK("https://www.reddit.com/r/COVID19positive/comments/hy13is/husbandwife_no_symptoms_7_days_since_test/")</f>
        <v/>
      </c>
      <c r="G3703" t="inlineStr">
        <is>
          <t>2020-07-25 22:03:23</t>
        </is>
      </c>
      <c r="H3703" t="inlineStr">
        <is>
          <t>Tested Positive</t>
        </is>
      </c>
    </row>
    <row r="3704">
      <c r="A3704" t="inlineStr">
        <is>
          <t>hy2cav</t>
        </is>
      </c>
      <c r="B3704" t="inlineStr">
        <is>
          <t>TEST CAME BACK POSITIVE; Do any of you feel like your breath tastes/smells weird, kinda fruity or sweet?</t>
        </is>
      </c>
      <c r="C3704" t="inlineStr">
        <is>
          <t>Had my covid 19 test on wednesday; results came today positive; i'm feeling great besides from a mildly cough and a weird smell or taste coming from my own breath (maybe phlegm).... has anybody experienced something similar?</t>
        </is>
      </c>
      <c r="D3704" t="n">
        <v>1</v>
      </c>
      <c r="E3704" t="n">
        <v>4</v>
      </c>
      <c r="F3704">
        <f>HYPERLINK("https://www.reddit.com/r/COVID19positive/comments/hy2cav/test_came_back_positive_do_any_of_you_feel_like/")</f>
        <v/>
      </c>
      <c r="G3704" t="inlineStr">
        <is>
          <t>2020-07-25 23:50:26</t>
        </is>
      </c>
      <c r="H3704" t="inlineStr">
        <is>
          <t>Tested Positive - Me</t>
        </is>
      </c>
    </row>
    <row r="3705">
      <c r="A3705" t="inlineStr">
        <is>
          <t>hy2dbe</t>
        </is>
      </c>
      <c r="B3705" t="inlineStr">
        <is>
          <t>Circadian rhythm of symptoms, and other observations</t>
        </is>
      </c>
      <c r="C3705" t="inlineStr">
        <is>
          <t>To recap, I was infected in March, and am now a long-hauler with mostly neurologic symptoms. 
I'm noticing on other long-hauler forums that many people report that their symptoms are very episodic and seem to be tied to circadian rhythm- that is, they're worse at a certain time every day. Seems like for most people it's the evening that's the worst. A few people say they wake up feeling the worst and then improve over the course of the day. 
But for me, I wake up feeling like I've had a seizure (visual auras, feeling rhythmic contractions in all my muscles, hearing a strange noise emanating from the base of my skull), this feeling goes away within moments of fully awakening, and then I generally feel ok for most of the day, until about 7pm, which is the witching hour. The tinnitus gets much louder, the back of my neck starts to pulse and get stiff and warm, my feet start tingling painfully, muscles in legs start twitching, bridge of nose throbs/goes numb, pressure behind eyes, etc. ad nauseum. 
My mom has been symptomatic for a few weeks now, with mostly GI symptoms, and it seems like she's on the same schedule- she wakes up feeling good, and then in the evening she develops severe nausea/bloating/abdominal pain, weakness, dizziness, needs to burp but can't. We were in the ED the other night because the abdominal pain got so bad, they thought she had an obstruction but all tests came back normal. 
Other interesting observation, also confirmed by others on long-hauler forums: benzodiazepines seem to help most people. We're being given medications like ativan (lorazepam) and xanax (alprazolam) for "anxiety" because our doctors don't believe us, but the medications are actually helping most of our symptoms. Ativan quiets the tinnitus, helps the headaches, and calms my peripheral neuropathy and muscle twitching. 
When we got home from the ED my mom was still highly symptomatic, so I gave her a very small dose of ativan (12.5mg, or 1/4 tab) and sure enough, her nausea weakness dizziness and stomach pressure subsided within half an hour. 
I really don't think the nausea is coming from her stomach. Maybe it is, but it seems odd to me that a very small dose of what is essentially an anti-epileptic can calm almost all of her symptoms, and mine. Ativan is a very powerful anti-emetic, it's given to cancer patients undergoing chemotherapy. But it doesn't explain why it helps all of the other symptoms. 
I think it's evidence that there is inflammation or even direct viral invasion of the brain- the hypothalamus to be exact. The hypothalamus operates on a circadian rhythm, and tells organs in the body to do things on a schedule (for example- tells the adrenals to release more cortisol in the early morning to prepare you to wake up, and to release less in the evening to help you wind down for sleep). It's possible that cortisol levels are influencing symptomology, but given that there is already evidence of Sars-cov2 neurotropism for hypothalamus (that is, it's attracted to that region of the brain because of its high concentration of ACE2), I don't think it's incorrect to posit a relationship between the timing of symptoms and possible hypothalamic involvement. 
Furthermore- benzodiazepines work by slowing down electrical activity in the brain, by increasing GABA- think of GABA as a set of brakes on a car, and by increasing the brakes, it slows the car- this is how benzodiazepines work on the brain. They're given to stop epileptic seizures. They also decrease anxiety by slowing the brain down. I'm wondering if many of our symptoms are a result of neural hyperactivity in the brain (specifically the hypothalamus), and benzos help because they slow it down. 
I'm interested to hear from others- are your symptoms seemingly on a schedule? Have you tried a benzo, and if so how well did it work for your symptoms?</t>
        </is>
      </c>
      <c r="D3705" t="n">
        <v>1</v>
      </c>
      <c r="E3705" t="n">
        <v>22</v>
      </c>
      <c r="F3705">
        <f>HYPERLINK("https://www.reddit.com/r/COVID19positive/comments/hy2dbe/circadian_rhythm_of_symptoms_and_other/")</f>
        <v/>
      </c>
      <c r="G3705" t="inlineStr">
        <is>
          <t>2020-07-25 23:53:09</t>
        </is>
      </c>
      <c r="H3705" t="inlineStr">
        <is>
          <t>Tested Positive - Me</t>
        </is>
      </c>
    </row>
    <row r="3706">
      <c r="A3706" t="inlineStr">
        <is>
          <t>hy3uz5</t>
        </is>
      </c>
      <c r="B3706" t="inlineStr">
        <is>
          <t>Long Hauler - Losing Hope that I will ever recover even close to fully and I’m in a dark place</t>
        </is>
      </c>
      <c r="C3706" t="inlineStr">
        <is>
          <t>First came down with presumed Covid in early March. I had a mild case and “recovered” in about two weeks although it was unlike any illness I have ever had. After recovery, I felt great for about a week and then the typical post Covid symptoms hit me HARD. Massive fatigue, massive brain fog, body aches and pain in my leg, muscle tension, jaw pain, GI symptoms. It really hit me like a ton of bricks and knocked me on my ass for a while. Since then, some minor things have improved (jaw ache and headache) but the two most debilitating symptoms (fatigue and brain fog) have not. It’s now been 4 months, and I feel worse today than I did when this started. Every now and then I’ll have a couple of better days, but I’ll always spiral back down into extreme fatigue and fog that cripples me completely.    
I know there are others on here who are going through the same thing. How do you cope? How do you get by while you wait to recover? How long is it going to take for our damn bodies to fully get over this? Will us long haulers recover?    
I honestly don’t know how much more of this I can take. Before I got sick, I was an otherwise healthy 32 year old male. Now? Now I’m stuck in a foggy haze 24/7 and have no energy to do basic work. I now suffer from anxiety and probably depression where before I had a very strong mind. I’m resting as much as I can, but I get cabin fever after a few days and have to do something. I’m not taking any supplements because I don’t know what if any will help. I’ve tried taking steroids that did little, I’ve tried NSAIDs that help with the leg pain but do little else.   
Any advice is greatly welcomed. I would also love to hear from some long haulers who have recovered or are close to recovering.  I’m sorry for dumping this sob story on everyone.</t>
        </is>
      </c>
      <c r="D3706" t="n">
        <v>1</v>
      </c>
      <c r="E3706" t="n">
        <v>116</v>
      </c>
      <c r="F3706">
        <f>HYPERLINK("https://www.reddit.com/r/COVID19positive/comments/hy3uz5/long_hauler_losing_hope_that_i_will_ever_recover/")</f>
        <v/>
      </c>
      <c r="G3706" t="inlineStr">
        <is>
          <t>2020-07-26 02:10:14</t>
        </is>
      </c>
      <c r="H3706" t="inlineStr">
        <is>
          <t>Presumed Positive - From Doctor</t>
        </is>
      </c>
    </row>
    <row r="3707">
      <c r="A3707" t="inlineStr">
        <is>
          <t>hy4s6f</t>
        </is>
      </c>
      <c r="B3707" t="inlineStr">
        <is>
          <t>Lies About Covid19</t>
        </is>
      </c>
      <c r="C3707" t="inlineStr">
        <is>
          <t>Don't believe the the news the deaths from Corona are grossly inflated, my auntie's mother died from a stroke she had been dying since last year &amp;amp; finally past 2 months ago &amp;amp; the coroner put her cause of death as Covid19 related. Everyone who had been to see her was &amp;amp; still is fine, This next outright LIE pisses me off more so because it concerns a friend who had a heart condition his whole life, he was 46 years old &amp;amp; had a massive heart attack &amp;amp; died recently. Again the medical "geniuses" tried to say his death was also Corona related, If that was the case me along with a few of his family would be infected because I was going to his house with shopping &amp;amp; checking up on him as he had a comprimised immune system due to his condition.
&amp;amp;#x200B;
I have been doing shopping for family &amp;amp; people in my town since the beginning of this "outbreak" &amp;amp; I am fine, but have noticed a disturbing pattern of people that have died in recent months be they elderly, young or middle aged 9 times out of 10 the CDC have called most of the deaths down to COVID19 even though not one of them had these symptoms, now I know there is a virus out there but the way the media is using this to scare the public is sickening</t>
        </is>
      </c>
      <c r="D3707" t="n">
        <v>1</v>
      </c>
      <c r="E3707" t="n">
        <v>10</v>
      </c>
      <c r="F3707">
        <f>HYPERLINK("https://www.reddit.com/r/COVID19positive/comments/hy4s6f/lies_about_covid19/")</f>
        <v/>
      </c>
      <c r="G3707" t="inlineStr">
        <is>
          <t>2020-07-26 03:33:03</t>
        </is>
      </c>
      <c r="H3707" t="inlineStr">
        <is>
          <t>Tested Positive - Friends</t>
        </is>
      </c>
    </row>
    <row r="3708">
      <c r="A3708" t="inlineStr">
        <is>
          <t>hy570f</t>
        </is>
      </c>
      <c r="B3708" t="inlineStr">
        <is>
          <t>Resources and research about long-covid</t>
        </is>
      </c>
      <c r="C3708" t="inlineStr">
        <is>
          <t>Hello all,
A quick introduction, I'm a "long hauler". 28 yo, no previous health conditions and here I am, after 4 months since my first symptom, I still fighting this madness of a disease.
If you are part of the group *"this is not the flu and I've had symptoms for over 2 weeks"*, welcome, grab yourself some tea.
As I been reading info for so long and had different tests done, I would make some bullet points with information that I've found useful.
# Support groups
I do not moderate any of these groups, I'm just a member and know that the admins are okay with spreading the word, you will be welcome. 
[https://www.c19recoveryawareness.com/](https://www.c19recoveryawareness.com/)
[https://www.longcovid.org/](https://www.longcovid.org/)
[https://www.wearebodypolitic.com/covid19](https://www.wearebodypolitic.com/covid19)
# Good Quality Articles
Do you have a family member that doesn't believe you? or a doctor that dismisses your symptoms? Well, the previous links could work but here you have a selection of the best articles (in my opinion, for sure)
[CDC: One-third of COVID-19 patients who aren't hospitalized have long-term illness](https://www.nbcnews.com/health/health-news/monumental-acknowledgment-cdc-reports-long-term-covid-19-patients-n1234814)
[Covid-19 can be a prolonged illness, even for young adults, CDC report says (CNN)](https://amp.cnn.com/cnn/2020/07/24/health/covid-19-symptoms-last-long-term-study-wellness/index.html)
[Video of  Paul Garner, professor of infectious diseases at Liverpool School of Tropical Medicine, who is a long-hauler himself.](https://edition.cnn.com/videos/health/2020/07/25/paul-garner-covid19-cdc-prolonged-illness-cant-shake-symptoms-ac360-vpx.cnn)
[BBC:  Coronavirus, Thousands say debilitating symptoms last 'for weeks'](https://www.bbc.co.uk/news/health-53269391)
[Huffpost:  ‘Long Covid’ – The Under-The-Radar Coronavirus Cases Exhausting Thousands](https://www.huffingtonpost.co.uk/entry/what-is-long-covid-and-how-many-people-are-suffering_uk_5efb3487c5b612083c52d91d?guccounter=1&amp;amp;guce_referrer=aHR0cHM6Ly93d3cuZ29vZ2xlLmNvbS8&amp;amp;guce_referrer_sig=AQAAAChIWUVu6WU9cEPp310gpjSsXU7Ak5qgZudA3MdSGmk0AokA77rbc-gKxE7jSADHmBtUZpX4ZjCE4V_LKNjotfTe4sKBWklmJJD0huHanGxGVn9IQrPK0D6EEDKqJLJQsXI2eWIWPmRbTXFAMyI7S2tV3_eAa52FFTy491e0BZ4q)
[New York Times:  Whipped by the ‘Long Tail’ of the Coronavirus](https://www.nytimes.com/2020/07/13/well/live/coronavirus-lingering-symptoms.html)
# Research &amp;amp; Longer articles
[CDC: Recovery from COVID-19 can take a long time, even in young adults with no chronic conditions](https://www.cdc.gov/mmwr/volumes/69/wr/mm6930e1.htm?s_cid=mm6930e1_w)
[British Journal of Medicine:  Covid-19: What do we know about “long covid”?](https://www.bmj.com/content/370/bmj.m2815)
[The Atlantic: Covid 19 can last several months](https://www.theatlantic.com/health/archive/2020/06/covid-19-coronavirus-longterm-symptoms-months/612679/)
&amp;amp;#x200B;
Alright, now you have some links to read, to join support groups and to send to all your friends, family and doctors who don't believe you. But what can we do?
I has been already posted but I found  [this research](https://www.ncbi.nlm.nih.gov/pmc/articles/PMC7320866/) the most interesting one, as it offers some kind of treatment, lymphatic drainage.  I will start this as a treatment next week and I'll report how it goes. 
On the other hand, acupuncture [has been found effective to treat chronic fatigue](https://www.nccaom.org/wp-content/uploads/pdf/Acupuncture%20Found%20Effective%20for%20Chronic%20Fatigue%20Syndrome.pdf), so I started having some sessions a week ago. I'm not sure yet but I felt some improvements, also I'll report when I finish the treatment. 
# Supplements 
Please, after taking supplements, have a blood test done!  Some people started taking Iron, B12, Vit D, and so on, before checking their markers.... 
I've read several testimonies of "oh I just found out that actually my vitamin B12 is higher than expected". 
On the other hand, there are some supplements which value cannot be seen (easily) in blood tests, example: NAC, Turmeric, CBD Oil, and so on.  
The only supplement that I find interesting and has some research behind, [is NAC.](https://www.sciencedirect.com/science/article/pii/S0306987720308811?via%3Dihub)
# Food 
1: have a food journal. I can tell you that in MY particular case, THIS food make me have a bad reaction but hey, maybe you'll not have that problem. Track what works for you. 
2: foods with anti-viral properties and foods that help your immune system. Basically, fruits and vegetables. Since I started eating [pomegranate](https://www.ndtv.com/health/pomegranates-weight-loss-and-other-reasons-why-you-must-eat-this-fruit-daily-2091122), [pomegranate peel](https://www.healthbenefitstimes.com/health-benefits-of-pomegranate-peels/) and [manuka honey](https://www.healthline.com/nutrition/manuka-honey-uses-benefits) something changed for good. 
3: gut health, yeah you read this 1000 times. I'm sure. Well I don't like kefir or that kind of foods that much and never had luck with any probiotics supplement. What helped me in this particular situation is [chicken bone broth](https://www.healthline.com/nutrition/bone-broth), cereals and vegan yogurts. 
4: Electrolytes. I'm drinking coconut water as my values are good, but if after a blood test some of yours are weak, you can discuss adding a supplement or drinking brands like Gatorade. 
&amp;amp;#x200B;
# Vagus nerve
There's some information that points out that [Covid affects our brain](https://www.theguardian.com/world/2020/jul/08/warning-of-serious-brain-disorders-in-people-with-mild-covid-symptoms), and then, things like temperature regulation and breathing are ... well, fucked.  The vagus nerve has a crucial role:
it controls,  *the* [*parasympathetic*](https://en.wikipedia.org/wiki/Parasympathetic) *control of the* [*heart*](https://en.wikipedia.org/wiki/Heart)*, lungs, and* [*digestive tract*](https://en.wikipedia.org/wiki/Digestive_tract)*. The vagus nerves are normally referred to in the singular. It is the longest nerve of the* [*autonomic nervous system*](https://en.wikipedia.org/wiki/Autonomic_nervous_system) *in the* [*human body*](https://en.wikipedia.org/wiki/Human_body)*. The ending part of the vagus nerve is known as the* [*nucleus ambiguus*](https://en.wikipedia.org/wiki/Nucleus_ambiguus)*.*  
&amp;amp;#x200B;
And we know [that Covid affects it](https://neuronewsinternational.com/non-invasive-vagus-nerve-stimulation-covid-19/) as this research showed that some patients found vagus nerve stimulation useful. 
How can we stimulate it in our homes? Meditation, breathing exercises, yoga. 
Some exercises that I liked [are from this channel](https://www.youtube.com/watch?v=dkJDrfL90rU). 
I will book physiotherapy sessions too, as the best option it's always to see this kind of things with a health professional, but I decided to start with acupuncture and lymphatic drainage as my principal problem now is fatigue, but if yours is breathing or chest pain, maybe you can try to start your treatment with  physiotherapy.  
&amp;amp;#x200B;
Okey fellow long-haulers or lurkers, I hope this is useful to you or whoever it needs it. 
My inbox it's open if you're having a rough time. Now that my brain fog is somehow manageable I'm glad to help. 
Take care!</t>
        </is>
      </c>
      <c r="D3708" t="n">
        <v>1</v>
      </c>
      <c r="E3708" t="n">
        <v>10</v>
      </c>
      <c r="F3708">
        <f>HYPERLINK("https://www.reddit.com/r/COVID19positive/comments/hy570f/resources_and_research_about_longcovid/")</f>
        <v/>
      </c>
      <c r="G3708" t="inlineStr">
        <is>
          <t>2020-07-26 04:09:40</t>
        </is>
      </c>
      <c r="H3708" t="inlineStr">
        <is>
          <t>Presumed Positive - From Doctor</t>
        </is>
      </c>
    </row>
    <row r="3709">
      <c r="A3709" t="inlineStr">
        <is>
          <t>hy5klc</t>
        </is>
      </c>
      <c r="B3709" t="inlineStr">
        <is>
          <t>Panicking and could use some words of encouragement.</t>
        </is>
      </c>
      <c r="C3709" t="inlineStr">
        <is>
          <t>I’m 26 years old and I’m on the autism spectrum. I also have type 1 diabetes and asthma. I just got my test results in yesterday and they came back positive. I’m terrified and panicking since I don’t really have anyone to talk to about this. My wife is also positive and we stay in one bedroom together. There’s not much social distancing that can be done. My symptoms have been high fevers, body aches, headaches, cramping, sore throat and dry cough, along with loss of smell and taste. I experience shortness of breath when I get up and walk around. Finding this group does give me hope because I’m seeing others like me and it reminds me that I’m not alone in this world. I don’t have many people in my life who I can tell them that I’m positive since people isolate you if you even cough or sneeze. So I was just wondering if I can get some tips on how to get over this and some encouragement.</t>
        </is>
      </c>
      <c r="D3709" t="n">
        <v>1</v>
      </c>
      <c r="E3709" t="n">
        <v>14</v>
      </c>
      <c r="F3709">
        <f>HYPERLINK("https://www.reddit.com/r/COVID19positive/comments/hy5klc/panicking_and_could_use_some_words_of/")</f>
        <v/>
      </c>
      <c r="G3709" t="inlineStr">
        <is>
          <t>2020-07-26 04:44:04</t>
        </is>
      </c>
      <c r="H3709" t="inlineStr">
        <is>
          <t>Tested Positive - Me</t>
        </is>
      </c>
    </row>
    <row r="3710">
      <c r="A3710" t="inlineStr">
        <is>
          <t>hy5p83</t>
        </is>
      </c>
      <c r="B3710" t="inlineStr">
        <is>
          <t>Associated leg pain?</t>
        </is>
      </c>
      <c r="C3710" t="inlineStr">
        <is>
          <t>Confirmed positive 7/20/20, besides loss of smell and two day fever, I’ve been having left leg pain worse at night. Almost feels like restless leg, anyone else experiencing this ?</t>
        </is>
      </c>
      <c r="D3710" t="n">
        <v>1</v>
      </c>
      <c r="E3710" t="n">
        <v>10</v>
      </c>
      <c r="F3710">
        <f>HYPERLINK("https://www.reddit.com/r/COVID19positive/comments/hy5p83/associated_leg_pain/")</f>
        <v/>
      </c>
      <c r="G3710" t="inlineStr">
        <is>
          <t>2020-07-26 04:55:19</t>
        </is>
      </c>
      <c r="H3710" t="inlineStr">
        <is>
          <t>Tested Positive - Me</t>
        </is>
      </c>
    </row>
    <row r="3711">
      <c r="A3711" t="inlineStr">
        <is>
          <t>hy5x63</t>
        </is>
      </c>
      <c r="B3711" t="inlineStr">
        <is>
          <t>Mornings of chest pain?</t>
        </is>
      </c>
      <c r="C3711" t="inlineStr">
        <is>
          <t>Does anyone else wake up with chest pain? Mine is a tightness usually in the left side of my chest. It makes getting out of bed rather difficult. 
I do find that with exercise the symptoms seem to abate, however if I over do it with exercise it is doubly bad. This has been going on for weeks and the pain can go on for hours.</t>
        </is>
      </c>
      <c r="D3711" t="n">
        <v>1</v>
      </c>
      <c r="E3711" t="n">
        <v>9</v>
      </c>
      <c r="F3711">
        <f>HYPERLINK("https://www.reddit.com/r/COVID19positive/comments/hy5x63/mornings_of_chest_pain/")</f>
        <v/>
      </c>
      <c r="G3711" t="inlineStr">
        <is>
          <t>2020-07-26 05:13:12</t>
        </is>
      </c>
      <c r="H3711" t="inlineStr">
        <is>
          <t>Tested Positive - Me</t>
        </is>
      </c>
    </row>
    <row r="3712">
      <c r="A3712" t="inlineStr">
        <is>
          <t>hy5xe1</t>
        </is>
      </c>
      <c r="B3712" t="inlineStr">
        <is>
          <t>My dad tested positive yesterday.</t>
        </is>
      </c>
      <c r="C3712" t="inlineStr">
        <is>
          <t>I am so fucking angry at everyone in this administration who let this happen! All of this could have been prevented! We need to get everyone who’s in the White House now out come November! I’m not a religious man, but please pray for me, y’all.😢</t>
        </is>
      </c>
      <c r="D3712" t="n">
        <v>1</v>
      </c>
      <c r="E3712" t="n">
        <v>126</v>
      </c>
      <c r="F3712">
        <f>HYPERLINK("https://www.reddit.com/r/COVID19positive/comments/hy5xe1/my_dad_tested_positive_yesterday/")</f>
        <v/>
      </c>
      <c r="G3712" t="inlineStr">
        <is>
          <t>2020-07-26 05:13:44</t>
        </is>
      </c>
      <c r="H3712" t="inlineStr">
        <is>
          <t>Tested Positive - Family</t>
        </is>
      </c>
    </row>
    <row r="3713">
      <c r="A3713" t="inlineStr">
        <is>
          <t>hy6jlj</t>
        </is>
      </c>
      <c r="B3713" t="inlineStr">
        <is>
          <t>A question to those recovered (had covid from July 7th- 21st so very recent)</t>
        </is>
      </c>
      <c r="C3713" t="inlineStr">
        <is>
          <t>Im post recovery, but very early out of it. I didn’t really have trouble eating during the illness, even tho I seldom felt super hungry. But now that I’m recovering, a lot of foods sound absolutely disgusting, and I don’t have a very present appetite. I’ll feel faint feelings of hunger but I’m hardly eating. Was this something you guys went through or are? My boyfriend is worried about me but I’m trying to figure out if it’s from recently having Covid.</t>
        </is>
      </c>
      <c r="D3713" t="n">
        <v>1</v>
      </c>
      <c r="E3713" t="n">
        <v>8</v>
      </c>
      <c r="F3713">
        <f>HYPERLINK("https://www.reddit.com/r/COVID19positive/comments/hy6jlj/a_question_to_those_recovered_had_covid_from_july/")</f>
        <v/>
      </c>
      <c r="G3713" t="inlineStr">
        <is>
          <t>2020-07-26 06:01:06</t>
        </is>
      </c>
      <c r="H3713" t="inlineStr">
        <is>
          <t>Tested Positive - Me</t>
        </is>
      </c>
    </row>
    <row r="3714">
      <c r="A3714" t="inlineStr">
        <is>
          <t>hy6jmm</t>
        </is>
      </c>
      <c r="B3714" t="inlineStr">
        <is>
          <t>I Beat COVID-19 Twice</t>
        </is>
      </c>
      <c r="C3714" t="inlineStr">
        <is>
          <t>I contracted COVID-19 on June 27th and I was really sick with all mild symptoms except for nausea and diarrhea, I also didn’t have chest pains or trouble breathing, but the worst symptoms I had were muscle aches, fever, and cold chills which lasted about 3 days. I got better within a week, but I had lost my sense of smell and taste. My senses came back in about 3-4 weeks, the funny part is.. I actually ended up getting sick again with the same symptoms. This time it lasted from July 12th - 15th, but I didn’t lose my sense of taste or smell.</t>
        </is>
      </c>
      <c r="D3714" t="n">
        <v>1</v>
      </c>
      <c r="E3714" t="n">
        <v>19</v>
      </c>
      <c r="F3714">
        <f>HYPERLINK("https://www.reddit.com/r/COVID19positive/comments/hy6jmm/i_beat_covid19_twice/")</f>
        <v/>
      </c>
      <c r="G3714" t="inlineStr">
        <is>
          <t>2020-07-26 06:01:10</t>
        </is>
      </c>
      <c r="H3714" t="inlineStr">
        <is>
          <t>Tested Positive</t>
        </is>
      </c>
    </row>
    <row r="3715">
      <c r="A3715" t="inlineStr">
        <is>
          <t>hy6qbd</t>
        </is>
      </c>
      <c r="B3715" t="inlineStr">
        <is>
          <t>Was I just being dramatic?!</t>
        </is>
      </c>
      <c r="C3715" t="inlineStr">
        <is>
          <t>Yesterday I started coughing and had a headache and an upset stomach. I ended up sleeping on and off the whole day. I work in healthcare and volunteer at a dog rescue so plenty of opportunity to be exposed. I’m quick to panic so I did a virtual MD visit and he said I am presumed positive and need to quarantine and get tested. 
I woke up today feeling mostly fine, just a bit of a sore throat and some discomfort in my ears. 
I now think I was just bugging out yesterday and really don’t think this is coronavirus. Idk if I should just get tested anyway or just leave it be.</t>
        </is>
      </c>
      <c r="D3715" t="n">
        <v>1</v>
      </c>
      <c r="E3715" t="n">
        <v>13</v>
      </c>
      <c r="F3715">
        <f>HYPERLINK("https://www.reddit.com/r/COVID19positive/comments/hy6qbd/was_i_just_being_dramatic/")</f>
        <v/>
      </c>
      <c r="G3715" t="inlineStr">
        <is>
          <t>2020-07-26 06:15:06</t>
        </is>
      </c>
      <c r="H3715" t="inlineStr">
        <is>
          <t>Presumed Positive - From Doctor</t>
        </is>
      </c>
    </row>
    <row r="3716">
      <c r="A3716" t="inlineStr">
        <is>
          <t>hy76dh</t>
        </is>
      </c>
      <c r="B3716" t="inlineStr">
        <is>
          <t>COVID Long hauling similar to My Chronic Lyme Disease</t>
        </is>
      </c>
      <c r="C3716" t="inlineStr">
        <is>
          <t>I’m just going to say it: I haven’t had a relapse from lyme disease in 2 years and after experiencing nearly all of the COVID symptoms in March (chest pain, full on delirium where I thought I was talking to God that lasted 2 full months, shortness of breath/ low oxygen, weakness, etc.) Everything seemed to have returned, except the delirium and psychosis, 2-3 weeks ago. 
I am extremely familiar with all of these symptoms as I went 2 years undiagnosed with Lyme and reactivated EBV as well as having had Hepatitis A from eating bad fish a couple years back. So needless to say, I really believe in everyone’s symptoms as they are far too familiar. In my opinion, what we all need to be doing is lowering our viral load while also making sure that cytokines don’t inflame too much in the process. I’m not a doctor, this is just how I have dealt with viruses and bacteria in the past. 
Sure, some people will get better without supplements, but if some that have any genetic mutations will take a significantly longer period of time. 
I’ve been treating with TCM aka traditional chinese medicine and acupuncture which involves taking a variety of herbs purported to combat things bronchitis, influenza (flu), h1n1, etc.
My brain fog is finally lifting today, which has been my worst symptom, way worse than chest pain and weakness, because of the psychological toll it has. 
I can’t type or spell for shit right now, mind you I’m really quick on my feet usually, and my brain is pretty slow stringing things together but it’s getting better- at least I’m not all out confused anymore. Couldn’t even watch trash TV because I could not compute. 
It’ll get better but you kind of have to pay for it, sorry to say, this is exactly why we need universal healthcare. In my opinion, a lot of people are going to end up having to go out of network and look towards non-western methods. Just my two cents as someone who has dealt with invisible/unrecognized illness before.</t>
        </is>
      </c>
      <c r="D3716" t="n">
        <v>1</v>
      </c>
      <c r="E3716" t="n">
        <v>3</v>
      </c>
      <c r="F3716">
        <f>HYPERLINK("https://www.reddit.com/r/COVID19positive/comments/hy76dh/covid_long_hauling_similar_to_my_chronic_lyme/")</f>
        <v/>
      </c>
      <c r="G3716" t="inlineStr">
        <is>
          <t>2020-07-26 06:45:55</t>
        </is>
      </c>
      <c r="H3716" t="inlineStr">
        <is>
          <t>Presumed Positive - From Doctor</t>
        </is>
      </c>
    </row>
    <row r="3717">
      <c r="A3717" t="inlineStr">
        <is>
          <t>hy7940</t>
        </is>
      </c>
      <c r="B3717" t="inlineStr">
        <is>
          <t>My test from CVS came back negative after 15 days and I feel crushed emotionally</t>
        </is>
      </c>
      <c r="C3717" t="inlineStr">
        <is>
          <t>I have been showing symptoms for over 2 weeks and got tested about three days after symptoms started showing. My symptoms are all GI related now and seem to cycle on 5 days. Last Tuesday I had severe vomiting and diarrhea and since then I haven’t had a solid bowel movement. Bad nausea and stomach aches nearly every time I eat, paired with a mild headache that I have had since day 1 (it was severe then, just annoying now). Today is again another 5 days later and I’m having severe diarrhea again and horrible nausea (I’m fighting my body to not throw up because of how awful it was last time). I wake up nearly every morning with the urgent urge to go to the bathroom. I don’t know, I’m rambling but I just feel crushed that I still have so many symptoms and have felt so sick for so long and now I’m told that I’m negative. My work required 2 tests within 24 hours, so I got both back today and they’re both negative. I just wanted to get my results back to feel reassured that what I have is COVID and now I feel like a dramatic faker and feel guilty for missing so much work. This wasn’t very coherent but I’m... so sick right now and crying and frustrated and needed somewhere to vent 😭</t>
        </is>
      </c>
      <c r="D3717" t="n">
        <v>1</v>
      </c>
      <c r="E3717" t="n">
        <v>32</v>
      </c>
      <c r="F3717">
        <f>HYPERLINK("https://www.reddit.com/r/COVID19positive/comments/hy7940/my_test_from_cvs_came_back_negative_after_15_days/")</f>
        <v/>
      </c>
      <c r="G3717" t="inlineStr">
        <is>
          <t>2020-07-26 06:51:20</t>
        </is>
      </c>
      <c r="H3717" t="inlineStr">
        <is>
          <t>Presumed Positive - From Doctor</t>
        </is>
      </c>
    </row>
    <row r="3718">
      <c r="A3718" t="inlineStr">
        <is>
          <t>hy7c6z</t>
        </is>
      </c>
      <c r="B3718" t="inlineStr">
        <is>
          <t>Fatigue and insomnia?</t>
        </is>
      </c>
      <c r="C3718" t="inlineStr">
        <is>
          <t>Is long term fatigue and also insomnia a known symptom of Covid? My friend has had bad insomnia since getting Covid months ago.</t>
        </is>
      </c>
      <c r="D3718" t="n">
        <v>1</v>
      </c>
      <c r="E3718" t="n">
        <v>4</v>
      </c>
      <c r="F3718">
        <f>HYPERLINK("https://www.reddit.com/r/COVID19positive/comments/hy7c6z/fatigue_and_insomnia/")</f>
        <v/>
      </c>
      <c r="G3718" t="inlineStr">
        <is>
          <t>2020-07-26 06:56:53</t>
        </is>
      </c>
      <c r="H3718" t="inlineStr">
        <is>
          <t>Tested Positive - Friends</t>
        </is>
      </c>
    </row>
    <row r="3719">
      <c r="A3719" t="inlineStr">
        <is>
          <t>hy8utn</t>
        </is>
      </c>
      <c r="B3719" t="inlineStr">
        <is>
          <t>Getting worse every day</t>
        </is>
      </c>
      <c r="C3719" t="inlineStr">
        <is>
          <t>I have been so sick for so long that I thonk my body is finally wearing out. I had my first extreme fever 5 weeks ago I went to urgent care and got a chest x ray and while they were concerned with my 103 degree temperature it broke once they gave me a clinical dose of Tylenol so they sent me home. I have been fighting the same fever since and I am worried about my brain. Yesterday I was too out of it to stay awake for more than 20 minutes. I was too weak to lift my can of seltzer and every other breath was agony. Everytime I call my doctor he ups my Tylenol and calls it good. He said that my symptoms were still in the mild range. I am terrified because if I keep getting worse at some point I won't be mild anymore.</t>
        </is>
      </c>
      <c r="D3719" t="n">
        <v>1</v>
      </c>
      <c r="E3719" t="n">
        <v>18</v>
      </c>
      <c r="F3719">
        <f>HYPERLINK("https://www.reddit.com/r/COVID19positive/comments/hy8utn/getting_worse_every_day/")</f>
        <v/>
      </c>
      <c r="G3719" t="inlineStr">
        <is>
          <t>2020-07-26 08:31:22</t>
        </is>
      </c>
      <c r="H3719" t="inlineStr">
        <is>
          <t>Presumed Positive - From Doctor</t>
        </is>
      </c>
    </row>
    <row r="3720">
      <c r="A3720" t="inlineStr">
        <is>
          <t>hyaaqe</t>
        </is>
      </c>
      <c r="B3720" t="inlineStr">
        <is>
          <t>I feel like I'm taking crazy pills</t>
        </is>
      </c>
      <c r="C3720" t="inlineStr">
        <is>
          <t>It's been 34 days since symptom onset. I tested positive 6/22 and negative on 7/21 but this weekend I have had worsening symptoms again and am back in bed around the clock. 
The chills, aches, hot flashes, fatigue, green phlegm, feverish feeling, dizziness, airhead balloon feeling, the fizzing vibrating feeling, sore throat, all of it's back.
Should I go to the hospital? I ordered another at-home test but it will take at least a week and a half to get those results where I am, and I'm supposed to be at work at 9am tomorrow morning and nobody in my office knows how to do my job because I'm the only person in my department working currently as they assumed I would be fine and have antibodies after testing negative. So if I go to the hospital, I will likely get fired... am I overreacting? :(</t>
        </is>
      </c>
      <c r="D3720" t="n">
        <v>1</v>
      </c>
      <c r="E3720" t="n">
        <v>24</v>
      </c>
      <c r="F3720">
        <f>HYPERLINK("https://www.reddit.com/r/COVID19positive/comments/hyaaqe/i_feel_like_im_taking_crazy_pills/")</f>
        <v/>
      </c>
      <c r="G3720" t="inlineStr">
        <is>
          <t>2020-07-26 09:55:55</t>
        </is>
      </c>
      <c r="H3720" t="inlineStr">
        <is>
          <t>Tested Positive - Me</t>
        </is>
      </c>
    </row>
    <row r="3721">
      <c r="A3721" t="inlineStr">
        <is>
          <t>hyb1vm</t>
        </is>
      </c>
      <c r="B3721" t="inlineStr">
        <is>
          <t>Please help in pain</t>
        </is>
      </c>
      <c r="C3721" t="inlineStr">
        <is>
          <t>Been tested positive for covid. And right now one of my symptoms is pretty painful body aches/muscle ache. Tylenol isn’t working and I’m kind of tired of trying other OC meds. Any suggestions?</t>
        </is>
      </c>
      <c r="D3721" t="n">
        <v>1</v>
      </c>
      <c r="E3721" t="n">
        <v>3</v>
      </c>
      <c r="F3721">
        <f>HYPERLINK("https://www.reddit.com/r/COVID19positive/comments/hyb1vm/please_help_in_pain/")</f>
        <v/>
      </c>
      <c r="G3721" t="inlineStr">
        <is>
          <t>2020-07-26 10:38:34</t>
        </is>
      </c>
      <c r="H3721" t="inlineStr">
        <is>
          <t>Tested Positive - Me</t>
        </is>
      </c>
    </row>
    <row r="3722">
      <c r="A3722" t="inlineStr">
        <is>
          <t>hyb2eb</t>
        </is>
      </c>
      <c r="B3722" t="inlineStr">
        <is>
          <t>So sick of this. Help?</t>
        </is>
      </c>
      <c r="C3722" t="inlineStr">
        <is>
          <t>Had presumed positive in April. 3-4 weeks of feeling like shit. Mild, never got severe. Did end up with pneumonia but antibiotics cleared that up. 
I was fine for nearly 2 months!! 
As of end of June, I am back home in isolation. Same symptoms as previously. Terrible body aches, mild fever, exhaustion and fatigue, migraine, sore throat, occasional cough that will bring chest pain. No consistent chest pain or shortness of breath. Again, all mild symptoms but I feel like absolute garbage. 
Negative test. Spoke to doc - doc wanted a second test. Negative again. 
Is this happening to anyone else? Consistent negative test results but symptoms that mimic COVID? It’s been nearly another 4 weeks and I am just so drained. 
No real major medical history. 30s female. Healthy weight but not a healthy diet. I do have a history of chronic fatigue syndrome diagnosis 15+ yrs ago. 
I’m just... struggling. I have spoken to so many doctors. No one can tell me what’s going on. No one will see me in person. Work won’t let me return due to symptoms. All of this is understandable — I GET the precautions everyone is taking. I’m just... at the end of my rope and so, so tired. 
TL;DR: is anyone else getting negative covid tests (2x) but experiencing symptoms that are seriously impacting day-to-day life?
Thanks for the venting and hopeful answers to my question. :)</t>
        </is>
      </c>
      <c r="D3722" t="n">
        <v>1</v>
      </c>
      <c r="E3722" t="n">
        <v>8</v>
      </c>
      <c r="F3722">
        <f>HYPERLINK("https://www.reddit.com/r/COVID19positive/comments/hyb2eb/so_sick_of_this_help/")</f>
        <v/>
      </c>
      <c r="G3722" t="inlineStr">
        <is>
          <t>2020-07-26 10:39:25</t>
        </is>
      </c>
      <c r="H3722" t="inlineStr">
        <is>
          <t>Presumed Positive - From Doctor</t>
        </is>
      </c>
    </row>
    <row r="3723">
      <c r="A3723" t="inlineStr">
        <is>
          <t>hyb84s</t>
        </is>
      </c>
      <c r="B3723" t="inlineStr">
        <is>
          <t>Need help in pain</t>
        </is>
      </c>
      <c r="C3723" t="inlineStr">
        <is>
          <t>I’m having pretty severe body aches. And Tylenol isn’t working. Or any other pill similar. Any suggestions?
Had to go on another account didn’t have enough karma.</t>
        </is>
      </c>
      <c r="D3723" t="n">
        <v>1</v>
      </c>
      <c r="E3723" t="n">
        <v>9</v>
      </c>
      <c r="F3723">
        <f>HYPERLINK("https://www.reddit.com/r/COVID19positive/comments/hyb84s/need_help_in_pain/")</f>
        <v/>
      </c>
      <c r="G3723" t="inlineStr">
        <is>
          <t>2020-07-26 10:48:22</t>
        </is>
      </c>
      <c r="H3723" t="inlineStr">
        <is>
          <t>Tested Positive - Me</t>
        </is>
      </c>
    </row>
    <row r="3724">
      <c r="A3724" t="inlineStr">
        <is>
          <t>hybh8t</t>
        </is>
      </c>
      <c r="B3724" t="inlineStr">
        <is>
          <t>Phantosmia months after Covid</t>
        </is>
      </c>
      <c r="C3724" t="inlineStr">
        <is>
          <t>A friend had Covid back in the spring.  It was moderate case and she recovered.  A little while after she would smells tobacco no matter where she was and there was no tobacco present.
Cut to this week, full time work riddled with technical difficulties, funeral planning for her Mother and let's just say a bunch of stress.  She was really fatigued just from work and stress but then the smell came back.
I think the extra fatigue and the smell are just after effects of the Covid.  I suppose no one can know if they will ever go away or if they are exasperated by stress or if there are any ways to repair it.  Just wondering if anyone else experienced the phantom smell or lost it or what your doctors may have said about it.
Also, she never lost her sense of taste or smell while she was sick.
Thanks</t>
        </is>
      </c>
      <c r="D3724" t="n">
        <v>1</v>
      </c>
      <c r="E3724" t="n">
        <v>5</v>
      </c>
      <c r="F3724">
        <f>HYPERLINK("https://www.reddit.com/r/COVID19positive/comments/hybh8t/phantosmia_months_after_covid/")</f>
        <v/>
      </c>
      <c r="G3724" t="inlineStr">
        <is>
          <t>2020-07-26 11:02:21</t>
        </is>
      </c>
      <c r="H3724" t="inlineStr">
        <is>
          <t>Tested Positive</t>
        </is>
      </c>
    </row>
    <row r="3725">
      <c r="A3725" t="inlineStr">
        <is>
          <t>hybwi9</t>
        </is>
      </c>
      <c r="B3725" t="inlineStr">
        <is>
          <t>(33/M) Tracking my symptoms...</t>
        </is>
      </c>
      <c r="C3725" t="inlineStr">
        <is>
          <t>I am a 33yo male from Canada. I was last tested in May which came back negative. History of lung fibrosis which has mostly healed. Phnumonia in childhood exacerbated by the lung fibrosis. History of smoking cannabis, but I recently stopped. I don't drink, don't smoke cigarettes. 
I am being tested tomorrow (Mon July 27) at noon and expect results within 24 hours. Symptoms started Friday July 24th.
Day 1: slept for 7 hours, felt slightly fatigued all day as if I didn't have a good sleep. 
Day 2: slept for 8 hours, fatigued, napped in the afternoon which is unusual for me. Headache started to develop throughout the day and worsening towards the evening. Headache was to the sides and front, with aching behind the eyes. My eyes felt strained most of the day. Ibuprofen helped the headache but not the eye/behind the eye pain. Overall slight body aches.
&amp;lt;&amp;lt;called our health line and was told I may have COVID, booked a test&amp;gt;&amp;gt;
Day 3: slept for 10 hours, fatigued, headache is gone, eye pain is minimal. Mild body aches continue. Developed soreness in nasal passages above the throat. Felt like there was something extra going on with my lungs where I can't take a deep deep breath. It comes and goes. No fever. Overall I mainly just feel tired along with these other mild symptoms.
Currently: Nothing overly concerning. Will update in the coming days.</t>
        </is>
      </c>
      <c r="D3725" t="n">
        <v>1</v>
      </c>
      <c r="E3725" t="n">
        <v>6</v>
      </c>
      <c r="F3725">
        <f>HYPERLINK("https://www.reddit.com/r/COVID19positive/comments/hybwi9/33m_tracking_my_symptoms/")</f>
        <v/>
      </c>
      <c r="G3725" t="inlineStr">
        <is>
          <t>2020-07-26 11:26:06</t>
        </is>
      </c>
      <c r="H3725" t="inlineStr">
        <is>
          <t>Presumed Positive - From Doctor</t>
        </is>
      </c>
    </row>
    <row r="3726">
      <c r="A3726" t="inlineStr">
        <is>
          <t>hyc6xw</t>
        </is>
      </c>
      <c r="B3726" t="inlineStr">
        <is>
          <t>I am still waiting on test results 11 days later</t>
        </is>
      </c>
      <c r="C3726" t="inlineStr">
        <is>
          <t>So I am not even sure i have covid, although my doctor has said twice she thinks it likely i do have it.  I started by having a fever on a 7/13.   On 7/15 i went for testing.  I tested positive for strep that day , and was started on antibiotics. Since then i have developed leg pain, pain in my feet and hands, a feeling like i have a golf ball at the base of my throat(now gone) headaches and fatigue. Work (in hospital registration) wants me to come back saying it’s been ten days since symptoms began and i should be over it, but i am still having fever of 100-101.9. I’m miserable, between the illness, not knowing if it is covid, and work stressing me out.  I just wish i had definitive answers.</t>
        </is>
      </c>
      <c r="D3726" t="n">
        <v>1</v>
      </c>
      <c r="E3726" t="n">
        <v>4</v>
      </c>
      <c r="F3726">
        <f>HYPERLINK("https://www.reddit.com/r/COVID19positive/comments/hyc6xw/i_am_still_waiting_on_test_results_11_days_later/")</f>
        <v/>
      </c>
      <c r="G3726" t="inlineStr">
        <is>
          <t>2020-07-26 11:41:59</t>
        </is>
      </c>
      <c r="H3726" t="inlineStr">
        <is>
          <t>Presumed Positive - From Doctor</t>
        </is>
      </c>
    </row>
    <row r="3727">
      <c r="A3727" t="inlineStr">
        <is>
          <t>hyca5d</t>
        </is>
      </c>
      <c r="B3727" t="inlineStr">
        <is>
          <t>Protect yourself and others around you by knowing the facts and taking appropriate precautions</t>
        </is>
      </c>
      <c r="C3727" t="inlineStr">
        <is>
          <t>To prevent the spread of COVID-19:
Clean your hands often. Use soap and water, or an alcohol-based hand rub.
Maintain a safe distance from anyone who is coughing or sneezing.
Wear a mask when physical distancing is not possible.
Don’t touch your eyes, nose or mouth.
Cover your nose and mouth with your bent elbow or a tissue when you cough or sneeze.
Stay home if you feel unwell.
If you have a fever, cough and difficulty breathing, seek medical attention.
Calling in advance allows your healthcare provider to quickly direct you to the right health facility. This protects you, and prevents the spread of viruses and other infections.
Masks
Masks can help prevent the spread of the virus from the person wearing the mask to others. Masks alone do not protect against COVID-19, and should be combined with physical distancing and hand hygiene. Follow the advice provided by your local health authority.</t>
        </is>
      </c>
      <c r="D3727" t="n">
        <v>1</v>
      </c>
      <c r="E3727" t="n">
        <v>2</v>
      </c>
      <c r="F3727">
        <f>HYPERLINK("https://www.reddit.com/r/COVID19positive/comments/hyca5d/protect_yourself_and_others_around_you_by_knowing/")</f>
        <v/>
      </c>
      <c r="G3727" t="inlineStr">
        <is>
          <t>2020-07-26 11:46:49</t>
        </is>
      </c>
      <c r="H3727" t="inlineStr">
        <is>
          <t>Tested Positive - Family</t>
        </is>
      </c>
    </row>
    <row r="3728">
      <c r="A3728" t="inlineStr">
        <is>
          <t>hycfis</t>
        </is>
      </c>
      <c r="B3728" t="inlineStr">
        <is>
          <t>How safe is pet sitting for a Covid positive best friend?</t>
        </is>
      </c>
      <c r="C3728" t="inlineStr">
        <is>
          <t>My wife’s best friend, practically sister, was admitted to the hospital yesterday with Covid-19. We’ve been talking with her immediate family and realized her dog and cats haven’t been fed or let out of the house in over 24 hours. Of course I want to help by taking the dog to stay with us but I have my own family to worry about. The dog would be able to stay outside with our 2 dogs. 
Thank you in advance for any help!</t>
        </is>
      </c>
      <c r="D3728" t="n">
        <v>1</v>
      </c>
      <c r="E3728" t="n">
        <v>18</v>
      </c>
      <c r="F3728">
        <f>HYPERLINK("https://www.reddit.com/r/COVID19positive/comments/hycfis/how_safe_is_pet_sitting_for_a_covid_positive_best/")</f>
        <v/>
      </c>
      <c r="G3728" t="inlineStr">
        <is>
          <t>2020-07-26 11:54:34</t>
        </is>
      </c>
      <c r="H3728" t="inlineStr">
        <is>
          <t>Tested Positive - Friends</t>
        </is>
      </c>
    </row>
    <row r="3729">
      <c r="A3729" t="inlineStr">
        <is>
          <t>hycpmi</t>
        </is>
      </c>
      <c r="B3729" t="inlineStr">
        <is>
          <t>Roommate is positive</t>
        </is>
      </c>
      <c r="C3729" t="inlineStr">
        <is>
          <t>My Roommate called me and told me he is positive and heading back to the apartment we live in (says he has no choice because his parents kicked him out after finding out), luckily I am out of  town in a safe place and can stay here for a while, but he's put me in a very bad position.  When will it be safe for me to enter the apartment again and what steps do I need to take now? Thank you.</t>
        </is>
      </c>
      <c r="D3729" t="n">
        <v>1</v>
      </c>
      <c r="E3729" t="n">
        <v>13</v>
      </c>
      <c r="F3729">
        <f>HYPERLINK("https://www.reddit.com/r/COVID19positive/comments/hycpmi/roommate_is_positive/")</f>
        <v/>
      </c>
      <c r="G3729" t="inlineStr">
        <is>
          <t>2020-07-26 12:09:19</t>
        </is>
      </c>
      <c r="H3729" t="inlineStr">
        <is>
          <t>Tested Positive - Friends</t>
        </is>
      </c>
    </row>
    <row r="3730">
      <c r="A3730" t="inlineStr">
        <is>
          <t>hycqk6</t>
        </is>
      </c>
      <c r="B3730" t="inlineStr">
        <is>
          <t>Abdominal Pain</t>
        </is>
      </c>
      <c r="C3730" t="inlineStr">
        <is>
          <t>I tested positive on Thursday, and last night at 1:45am I woke up to severe stomach pains. It felt kind of like the muscles in my abdomen were being pulled off the bone. This morning the pain subsided, but my lower stomach into my pelvis feels bruised.
Has any else experienced this?
I hope everyone of you get well!</t>
        </is>
      </c>
      <c r="D3730" t="n">
        <v>1</v>
      </c>
      <c r="E3730" t="n">
        <v>7</v>
      </c>
      <c r="F3730">
        <f>HYPERLINK("https://www.reddit.com/r/COVID19positive/comments/hycqk6/abdominal_pain/")</f>
        <v/>
      </c>
      <c r="G3730" t="inlineStr">
        <is>
          <t>2020-07-26 12:10:38</t>
        </is>
      </c>
      <c r="H3730" t="inlineStr">
        <is>
          <t>Tested Positive</t>
        </is>
      </c>
    </row>
    <row r="3731">
      <c r="A3731" t="inlineStr">
        <is>
          <t>hycr0j</t>
        </is>
      </c>
      <c r="B3731" t="inlineStr">
        <is>
          <t>Frequent nose bleeds</t>
        </is>
      </c>
      <c r="C3731" t="inlineStr">
        <is>
          <t>I dont have this anymore but in the VERY beginning of my illness i had so many nose bleeds that i actually sneezed up bloody snot from my mouth.
I thought it was lung related but it wasn't and it was cause of my nose bleed.
Any1 share this? Got me curious</t>
        </is>
      </c>
      <c r="D3731" t="n">
        <v>1</v>
      </c>
      <c r="E3731" t="n">
        <v>3</v>
      </c>
      <c r="F3731">
        <f>HYPERLINK("https://www.reddit.com/r/COVID19positive/comments/hycr0j/frequent_nose_bleeds/")</f>
        <v/>
      </c>
      <c r="G3731" t="inlineStr">
        <is>
          <t>2020-07-26 12:11:16</t>
        </is>
      </c>
      <c r="H3731" t="inlineStr">
        <is>
          <t>Tested Positive - Me</t>
        </is>
      </c>
    </row>
    <row r="3732">
      <c r="A3732" t="inlineStr">
        <is>
          <t>hycwfe</t>
        </is>
      </c>
      <c r="B3732" t="inlineStr">
        <is>
          <t>Anyone lose sense of smell and tested negative?</t>
        </is>
      </c>
      <c r="C3732" t="inlineStr">
        <is>
          <t>I'm going to get tested in 2 hours. I had typical cold symptoms starting 7/22 and spent most of the afternoon of 7/22 and all of 7/23 in bed sleeping. On 7/24, I had my typical energy back but still dealing with congestion. On 7/25, I lost my sense of smell. Today (7/26) I am getting tested, but results are taking over a week to come back in my area. 
Is the loss of smell a pretty definite covid sign? Has anyone lost their sense of smell yet tested negative?</t>
        </is>
      </c>
      <c r="D3732" t="n">
        <v>1</v>
      </c>
      <c r="E3732" t="n">
        <v>9</v>
      </c>
      <c r="F3732">
        <f>HYPERLINK("https://www.reddit.com/r/COVID19positive/comments/hycwfe/anyone_lose_sense_of_smell_and_tested_negative/")</f>
        <v/>
      </c>
      <c r="G3732" t="inlineStr">
        <is>
          <t>2020-07-26 12:19:39</t>
        </is>
      </c>
      <c r="H3732" t="inlineStr">
        <is>
          <t>Presumed Positive - From Doctor</t>
        </is>
      </c>
    </row>
    <row r="3733">
      <c r="A3733" t="inlineStr">
        <is>
          <t>hycwvc</t>
        </is>
      </c>
      <c r="B3733" t="inlineStr">
        <is>
          <t>Definition of Rest for Neurological Issues</t>
        </is>
      </c>
      <c r="C3733" t="inlineStr">
        <is>
          <t>I am three weeks in dealing with debilitating brain fog, concentration issues and fatigue. For those of you who have similar symptoms, how do you define mental rest and/or what strategies do you have for mental rest? I tried to read a book and watch tv yesterday and I appeared to have relapsed forcing me to lay in my bed with no mental strain today.</t>
        </is>
      </c>
      <c r="D3733" t="n">
        <v>1</v>
      </c>
      <c r="E3733" t="n">
        <v>7</v>
      </c>
      <c r="F3733">
        <f>HYPERLINK("https://www.reddit.com/r/COVID19positive/comments/hycwvc/definition_of_rest_for_neurological_issues/")</f>
        <v/>
      </c>
      <c r="G3733" t="inlineStr">
        <is>
          <t>2020-07-26 12:20:20</t>
        </is>
      </c>
      <c r="H3733" t="inlineStr">
        <is>
          <t>Tested Positive - Me</t>
        </is>
      </c>
    </row>
    <row r="3734">
      <c r="A3734" t="inlineStr">
        <is>
          <t>hyd2pe</t>
        </is>
      </c>
      <c r="B3734" t="inlineStr">
        <is>
          <t>Do you recover faster in the hospital?</t>
        </is>
      </c>
      <c r="C3734" t="inlineStr">
        <is>
          <t>Hi, my father went to the hospital last weekend due to COVID but was only there for a night, thinking he could recover at home fine. A week goes by and he has no symptoms besides fever/loss of taste+smell/major fatigue. Noticed his breathing began to become heavy, bought a pulse odometer and realized his O levels were reading 85-90%. We took him to the hospital yesterday and the doctors say he has bilateral pneumonia, has anyone experienced this? Also, can I become hopeful for his recovery now that he is at a hospital with trained medical professionals? Any information is helpful during this super scary + stressful time. He also has no underlying conditions and is pretty healthy for his age</t>
        </is>
      </c>
      <c r="D3734" t="n">
        <v>1</v>
      </c>
      <c r="E3734" t="n">
        <v>11</v>
      </c>
      <c r="F3734">
        <f>HYPERLINK("https://www.reddit.com/r/COVID19positive/comments/hyd2pe/do_you_recover_faster_in_the_hospital/")</f>
        <v/>
      </c>
      <c r="G3734" t="inlineStr">
        <is>
          <t>2020-07-26 12:29:04</t>
        </is>
      </c>
      <c r="H3734" t="inlineStr">
        <is>
          <t>Tested Positive - Family</t>
        </is>
      </c>
    </row>
    <row r="3735">
      <c r="A3735" t="inlineStr">
        <is>
          <t>hydro6</t>
        </is>
      </c>
      <c r="B3735" t="inlineStr">
        <is>
          <t>Chances of heart failure with this virus? Read an article about a 9 year old girl passing away from it.</t>
        </is>
      </c>
      <c r="C3735" t="inlineStr">
        <is>
          <t>Like the title says I read an article about a little girl with no underlying conditions passing away from heart failure after just having a fever due to Covid. After reading that It’s been on my mind a lot, I’ve been having chest pain and my EKG came back clear. Are there any other tests I can request from a cardiologist to ease my mind and make sure my heart is fine? (19 year old male, 177 pounds.)</t>
        </is>
      </c>
      <c r="D3735" t="n">
        <v>1</v>
      </c>
      <c r="E3735" t="n">
        <v>3</v>
      </c>
      <c r="F3735">
        <f>HYPERLINK("https://www.reddit.com/r/COVID19positive/comments/hydro6/chances_of_heart_failure_with_this_virus_read_an/")</f>
        <v/>
      </c>
      <c r="G3735" t="inlineStr">
        <is>
          <t>2020-07-26 13:08:08</t>
        </is>
      </c>
      <c r="H3735" t="inlineStr">
        <is>
          <t>Tested Positive - Me</t>
        </is>
      </c>
    </row>
    <row r="3736">
      <c r="A3736" t="inlineStr">
        <is>
          <t>hydujq</t>
        </is>
      </c>
      <c r="B3736" t="inlineStr">
        <is>
          <t>My experience with Covid for someone who works in healthcare now.</t>
        </is>
      </c>
      <c r="C3736" t="inlineStr">
        <is>
          <t>I work as a tech on a designated covid floor. My experience was on this floor is horrible. I feel inadequate taking care of Covid patients because I dont have any of the PPE the nurses have. PAPR and N95 mask. I knew it was just one of these days that I was going to get Covid. I hate my place of work. We are overworked and we never have enough staff, the patient to worker ratios is high. (Mainly due to patient that required a sitter at bedside) thus pulling techs off the floor. I also have to deal with Covid and non-Covid patients at the. I just we wish we would just be a covid floor. 
My symptoms are mild and I’ve only had one day where I was completely bedrest and immovable. but I’ve recovered quicker than most people I’ve seen. I lost my sense of taste for 5 days and it’s back. I just want to ask everyone to not go outside and give us healthcare workers a break.</t>
        </is>
      </c>
      <c r="D3736" t="n">
        <v>1</v>
      </c>
      <c r="E3736" t="n">
        <v>12</v>
      </c>
      <c r="F3736">
        <f>HYPERLINK("https://www.reddit.com/r/COVID19positive/comments/hydujq/my_experience_with_covid_for_someone_who_works_in/")</f>
        <v/>
      </c>
      <c r="G3736" t="inlineStr">
        <is>
          <t>2020-07-26 13:12:42</t>
        </is>
      </c>
      <c r="H3736" t="inlineStr">
        <is>
          <t>Tested Positive - Me</t>
        </is>
      </c>
    </row>
    <row r="3737">
      <c r="A3737" t="inlineStr">
        <is>
          <t>hye83e</t>
        </is>
      </c>
      <c r="B3737" t="inlineStr">
        <is>
          <t>I think I’m recovered. Thanks all for the support!</t>
        </is>
      </c>
      <c r="C3737" t="inlineStr">
        <is>
          <t>Day 0 and prior - had a funny feeling in my nose for a few days. Had a soreness in my eyes that I’ve never experience.  Eventually turned into allergy congestion and then I started having a sensation of smelling chlorine.  A little diarrhea.  
Day 1 - woke up with sweating and body’s aches.  No fever.  But developed a low grade fever later in the day.  A little bit of productive cough and chest tightness.  
Day 2&amp;amp;3 - more of the same.  Lost sense of smell and taste completely.  Still have mild diarrhea.  Got a test from the health department.  
Day 4 - started having anxiety that made me feel short of breath.  Got a chest X-ray and it was normal.  Pulse ox was normal.  Coughing up dark and bloody phlegm.  
Day 5&amp;amp;6 - low grade fever but not as achey. Felt fine but a little sweaty at night.  Coughing worse.  Still have bloody phlegm.  Liquid diarrhea.  Dizzy/ lightheaded.  
Day 7&amp;amp;8 - this was the worst I felt.  Body aches and Nausea and abdominal pain to the point of not eating and could barely move all day.  Fever up to 101 even with Tylenol.  Liquid diarrhea.  Couldn’t force myself to eat anything.  
Day 9 - Relief from nausea.  Still had fever, anxiety, cough, diarrhea.  Test finally came back positive.  They called and told me it sounded mild and to tough it out.  No contact tracing was offered.  
Day 10-12 - Fatigue but feeling slightly better.  Still had fever and cough with bloody phlegm.  Chest tightness was started to release.   Appetite returned slightly.  Soreness in my eyes finally went away.  
Day 13-15 - Fever gone.  Cough subsiding. No more bloody phlegm.  Diarrhea gone.   Normal appetite.  Had a couple of bad headaches.  Still about 60% on taste and smell.  
The whole time I monitored pulse ox and it never dipped below 96 and always came back to 98/99.  Tested blood pressure and it was all over the place 100-130/70-90.  I lost 10 lbs.  I took Tylenol whenever fever went up to 101 and I tested several times per day.  It always rose in the afternoon and evening.  I took mucinex DM twice a day from the beginning.  I have always taken supplements - omega 3, vitamin D3, multi vitamin.  Saw my Doc twice via FaceTime and he started me on low dose aspirin around Day 6.  He told me to tough it out as well.  I drank tons of water and fluids.   Still sweating through my sheets every night even without fever.  The mental part was definitely the worst with the uncertainty and freaking out about every symptom.  If you can keep your mind distracted, that will help more than anything!  
Good luck to everyone who is battling now and in future.  You can do it!</t>
        </is>
      </c>
      <c r="D3737" t="n">
        <v>1</v>
      </c>
      <c r="E3737" t="n">
        <v>10</v>
      </c>
      <c r="F3737">
        <f>HYPERLINK("https://www.reddit.com/r/COVID19positive/comments/hye83e/i_think_im_recovered_thanks_all_for_the_support/")</f>
        <v/>
      </c>
      <c r="G3737" t="inlineStr">
        <is>
          <t>2020-07-26 13:33:10</t>
        </is>
      </c>
      <c r="H3737" t="inlineStr">
        <is>
          <t>Tested Positive</t>
        </is>
      </c>
    </row>
    <row r="3738">
      <c r="A3738" t="inlineStr">
        <is>
          <t>hyepkk</t>
        </is>
      </c>
      <c r="B3738" t="inlineStr">
        <is>
          <t>Everyone in my family (10 people) has covid but my mom doesn't have it, complete negative. How is this possible??</t>
        </is>
      </c>
      <c r="C3738" t="inlineStr">
        <is>
          <t>im 16 and i hang out with my mom all the time, play fight w her, lay all over her, you get it. We all started showing symptoms around the same time (me first, woohoo) but shes fine?? Its really weird, doc said she isnt a carrier or asymptomatic. Its bizarre.</t>
        </is>
      </c>
      <c r="D3738" t="n">
        <v>1</v>
      </c>
      <c r="E3738" t="n">
        <v>13</v>
      </c>
      <c r="F3738">
        <f>HYPERLINK("https://www.reddit.com/r/COVID19positive/comments/hyepkk/everyone_in_my_family_10_people_has_covid_but_my/")</f>
        <v/>
      </c>
      <c r="G3738" t="inlineStr">
        <is>
          <t>2020-07-26 14:00:51</t>
        </is>
      </c>
      <c r="H3738" t="inlineStr">
        <is>
          <t>Tested Positive - Family</t>
        </is>
      </c>
    </row>
    <row r="3739">
      <c r="A3739" t="inlineStr">
        <is>
          <t>hyewt8</t>
        </is>
      </c>
      <c r="B3739" t="inlineStr">
        <is>
          <t>But did they tell you about the rash?</t>
        </is>
      </c>
      <c r="C3739" t="inlineStr">
        <is>
          <t>So I started having symptoms 7 days ago. I was exposed at work due to a company I work for encouraging unsafe PPE and decon practices (FF/EMT-B). I ended up working a shift with a person on the ambulance who didn't know they were positive yet. I then tested positive (just got my results). Everybody knows about the most common symptoms, such as fever, digestive issues, loss of taste and smell, etc. However, what no one is talking about is that 20% of cases also get a rash. And boy oh boy did I get a rash. It's on my knees, elbows, hands, feet, arms, legs.... Hot dang, did I get a hell of a rash. And oh my gosh it is itchy!!! I had to Google to even figure out that some people get a rash. I guess I'm just one of the lucky ones that got EVERY SINGLE SYMPTOM. Anynody else out there cursed with this itch from hell? What did you use to make the itchies stop? My first go to is Benadryl, which will knock me into oblivion within 30 min of swallowing.</t>
        </is>
      </c>
      <c r="D3739" t="n">
        <v>1</v>
      </c>
      <c r="E3739" t="n">
        <v>17</v>
      </c>
      <c r="F3739">
        <f>HYPERLINK("https://www.reddit.com/r/COVID19positive/comments/hyewt8/but_did_they_tell_you_about_the_rash/")</f>
        <v/>
      </c>
      <c r="G3739" t="inlineStr">
        <is>
          <t>2020-07-26 14:12:36</t>
        </is>
      </c>
      <c r="H3739" t="inlineStr">
        <is>
          <t>Tested Positive - Me</t>
        </is>
      </c>
    </row>
    <row r="3740">
      <c r="A3740" t="inlineStr">
        <is>
          <t>hyfk3b</t>
        </is>
      </c>
      <c r="B3740" t="inlineStr">
        <is>
          <t>Horrible muscle pain as chief symptom?</t>
        </is>
      </c>
      <c r="C3740" t="inlineStr">
        <is>
          <t>So I have been quarantining for five-six days now, called out of work, etc. Still waiting for test results (9 days and counting).   
My first and foremost symptom is this horrible muscle ache and pain I get, especially around my joints, whenever I perform any extraneous activity. It's like what you feel after a good work out without having the good workout.  
I'm 26 years old. A couple weeks back I started skateboarding again because I needed something to do to feel active that I could do alone without going to the gym. I spent about two weeks skating every day, just trying to get the basics back (ollie, 180, shove, kick, etc.) and was really feeling some progression. Come monday I was skating to work, and my knees buckled as I approached the first hill. I couldn't skate at all. I have been dealing with this pain ever since.   
I tried just now to go out and land a few ollies and frontside 180s after five days of no skating, and I couldn't last five minutes. I'm in horrible pain again. Immediately. Is anyone else having this issue? At this point I'm almost more worried that it's not COVID and that I developed something more sinister to my long term health.   
Any athletes/skaters that are having similar issues? Besides this pain, which I can feel in any muscle I've exerted, I am only experiencing a mild sore throat. I don't really know what to make of it.</t>
        </is>
      </c>
      <c r="D3740" t="n">
        <v>1</v>
      </c>
      <c r="E3740" t="n">
        <v>5</v>
      </c>
      <c r="F3740">
        <f>HYPERLINK("https://www.reddit.com/r/COVID19positive/comments/hyfk3b/horrible_muscle_pain_as_chief_symptom/")</f>
        <v/>
      </c>
      <c r="G3740" t="inlineStr">
        <is>
          <t>2020-07-26 14:49:07</t>
        </is>
      </c>
      <c r="H3740" t="inlineStr">
        <is>
          <t>Presumed Positive - From Test</t>
        </is>
      </c>
    </row>
    <row r="3741">
      <c r="A3741" t="inlineStr">
        <is>
          <t>hyfp54</t>
        </is>
      </c>
      <c r="B3741" t="inlineStr">
        <is>
          <t>When Your Oxygen Levels Drop, Do You Feel Any Different?</t>
        </is>
      </c>
      <c r="C3741" t="inlineStr">
        <is>
          <t>I am having a video appointment with my cardiologist soon, and I want to tell him about what I call some form of silent hypoxia that I might have.  But before I start diagnosing myself and losing his respect, I want to know if I really have something different than the average longhauler.
I feel exactly the same whether my levels are at 99 or 80.  I don't feel out of breath or dizzy.  I don't wake up at night gasping.  I sleep right through the drops.  I would never know it was happening without a pulse oximeter.  What about for you?</t>
        </is>
      </c>
      <c r="D3741" t="n">
        <v>1</v>
      </c>
      <c r="E3741" t="n">
        <v>19</v>
      </c>
      <c r="F3741">
        <f>HYPERLINK("https://www.reddit.com/r/COVID19positive/comments/hyfp54/when_your_oxygen_levels_drop_do_you_feel_any/")</f>
        <v/>
      </c>
      <c r="G3741" t="inlineStr">
        <is>
          <t>2020-07-26 14:56:43</t>
        </is>
      </c>
      <c r="H3741" t="inlineStr">
        <is>
          <t>Presumed Positive - From Doctor</t>
        </is>
      </c>
    </row>
    <row r="3742">
      <c r="A3742" t="inlineStr">
        <is>
          <t>hyha4f</t>
        </is>
      </c>
      <c r="B3742" t="inlineStr">
        <is>
          <t>Question</t>
        </is>
      </c>
      <c r="C3742" t="inlineStr">
        <is>
          <t>Can it be possible that after two weeks you still can’t really smell, and still test negative?
Does that make sense?
How long did it take for y’all to smell again. 
*today makes two weeks since symptoms started. The only symptom is I can’t really smell. Ughhhsaukj</t>
        </is>
      </c>
      <c r="D3742" t="n">
        <v>1</v>
      </c>
      <c r="E3742" t="n">
        <v>4</v>
      </c>
      <c r="F3742">
        <f>HYPERLINK("https://www.reddit.com/r/COVID19positive/comments/hyha4f/question/")</f>
        <v/>
      </c>
      <c r="G3742" t="inlineStr">
        <is>
          <t>2020-07-26 16:35:27</t>
        </is>
      </c>
      <c r="H3742" t="inlineStr">
        <is>
          <t>Tested Positive - Me</t>
        </is>
      </c>
    </row>
    <row r="3743">
      <c r="A3743" t="inlineStr">
        <is>
          <t>hyhey4</t>
        </is>
      </c>
      <c r="B3743" t="inlineStr">
        <is>
          <t>Got my test results that I’m positive today</t>
        </is>
      </c>
      <c r="C3743" t="inlineStr">
        <is>
          <t>I’m a 24 year old female, no prior health conditions. Got results saying I tested positive today. I got tested because I was exposed to a coworker who had it. I started randomly feeling very tired and had trouble breathing only with my mask on (which was never a problem for me prior) that was 6 days ago. 4 days ago I developed a cough and a bad headache. Besides that I really don’t even feel that bad. Never had a fever, runny nose or even a sore throat. If my coworker wasn’t exposed, I would of thought it was just a normal mild cold. I’ve been way more sick in the past.</t>
        </is>
      </c>
      <c r="D3743" t="n">
        <v>1</v>
      </c>
      <c r="E3743" t="n">
        <v>23</v>
      </c>
      <c r="F3743">
        <f>HYPERLINK("https://www.reddit.com/r/COVID19positive/comments/hyhey4/got_my_test_results_that_im_positive_today/")</f>
        <v/>
      </c>
      <c r="G3743" t="inlineStr">
        <is>
          <t>2020-07-26 16:43:51</t>
        </is>
      </c>
      <c r="H3743" t="inlineStr">
        <is>
          <t>Tested Positive - Me</t>
        </is>
      </c>
    </row>
    <row r="3744">
      <c r="A3744" t="inlineStr">
        <is>
          <t>hyieud</t>
        </is>
      </c>
      <c r="B3744" t="inlineStr">
        <is>
          <t>Lung pain after two weeks?</t>
        </is>
      </c>
      <c r="C3744" t="inlineStr">
        <is>
          <t>I caught the virus the 11 of july. My symptoms were mild, but my lungs haven't been the same since. I feel some sharp pains and some loss of breath, although the pain comes and goes randomly. I'm scared that my lungs are damaged permanently. When should i visit the doctor about this? Currently waiting for the results of the second test. I was a smoker of tobacco and weed, obviously i left both, and tobacco forever. But i'm really scared that i can't smoke/vape anymore in my life. How long this will last? Any positive stories or reassurance? Thank you.</t>
        </is>
      </c>
      <c r="D3744" t="n">
        <v>1</v>
      </c>
      <c r="E3744" t="n">
        <v>12</v>
      </c>
      <c r="F3744">
        <f>HYPERLINK("https://www.reddit.com/r/COVID19positive/comments/hyieud/lung_pain_after_two_weeks/")</f>
        <v/>
      </c>
      <c r="G3744" t="inlineStr">
        <is>
          <t>2020-07-26 17:48:31</t>
        </is>
      </c>
      <c r="H3744" t="inlineStr">
        <is>
          <t>Tested Positive - Me</t>
        </is>
      </c>
    </row>
    <row r="3745">
      <c r="A3745" t="inlineStr">
        <is>
          <t>hyiw7z</t>
        </is>
      </c>
      <c r="B3745" t="inlineStr">
        <is>
          <t>I need a miracle!! Is there any hope?</t>
        </is>
      </c>
      <c r="C3745" t="inlineStr">
        <is>
          <t>It's been a rough way this month for us due to Covid19, first we lost my husband's grandmother 3 days later we lost his aunt and now another aunt the one who took care of him when he was a baby that he calls his mother has been in a ventilator since yesterday and today we got the news that her kidneys are falling I dont know if they are thinking of pulling the plug. I just have this ugly feeling inside like I'm scare of the phone ringing.
This feeling like I can't do anything to comfort my husband and explain to my kids what is happening.
If I'm feeling like this I can't imagine how he's feeling, I have prayed I have cried and it feels like we dont deserve God to hear our voices I'm loosing hope.</t>
        </is>
      </c>
      <c r="D3745" t="n">
        <v>1</v>
      </c>
      <c r="E3745" t="n">
        <v>10</v>
      </c>
      <c r="F3745">
        <f>HYPERLINK("https://www.reddit.com/r/COVID19positive/comments/hyiw7z/i_need_a_miracle_is_there_any_hope/")</f>
        <v/>
      </c>
      <c r="G3745" t="inlineStr">
        <is>
          <t>2020-07-26 18:20:53</t>
        </is>
      </c>
      <c r="H3745" t="inlineStr">
        <is>
          <t>Tested Positive - Family</t>
        </is>
      </c>
    </row>
    <row r="3746">
      <c r="A3746" t="inlineStr">
        <is>
          <t>hyj2pj</t>
        </is>
      </c>
      <c r="B3746" t="inlineStr">
        <is>
          <t>My Girlfriend's Dad Tested Positive For COVID-19 a few days ago. Was sick for about 4-5 days, then had 3 days where he recovered and felt well. Admitted to hospital today with hypoxia (90% oxygen levels).</t>
        </is>
      </c>
      <c r="C3746" t="inlineStr">
        <is>
          <t>So I'm not gonna lie, I'm scared.
My girlfriend's dad was just admitted to the hospital with 90% oxygen levels after testing positive for COVID-19, which is a bit below what's considered the normal range. He was largely recovering and showed no more symptoms until he checked his oxygen levels today and noticed they were low. I've heard of COVID-19 causing silent hypoxia before and I heard of it decimating lungs. He's currently on remdesivir and being closely monitored.
I was wondering if anyone else has had a similar experience with hypoxia from COVID-19 and how you recovered. I'm scared that it'll get progressively worse with no way to help. I'm not knowledgeable in this area and would love as much information as possible to educate me better. My girlfriend's dad is pretty much one of her only safe havens, and he's an amazing guy as well, so I absolutely would be distraught if any bad complications arise as a result of this nasty horrible disease.</t>
        </is>
      </c>
      <c r="D3746" t="n">
        <v>1</v>
      </c>
      <c r="E3746" t="n">
        <v>39</v>
      </c>
      <c r="F3746">
        <f>HYPERLINK("https://www.reddit.com/r/COVID19positive/comments/hyj2pj/my_girlfriends_dad_tested_positive_for_covid19_a/")</f>
        <v/>
      </c>
      <c r="G3746" t="inlineStr">
        <is>
          <t>2020-07-26 18:32:53</t>
        </is>
      </c>
      <c r="H3746" t="inlineStr">
        <is>
          <t>Tested Positive - Friends</t>
        </is>
      </c>
    </row>
    <row r="3747">
      <c r="A3747" t="inlineStr">
        <is>
          <t>hyjbc8</t>
        </is>
      </c>
      <c r="B3747" t="inlineStr">
        <is>
          <t>Faint pulse</t>
        </is>
      </c>
      <c r="C3747" t="inlineStr">
        <is>
          <t>Did anyone who tested positive have a very weak pulse at night?</t>
        </is>
      </c>
      <c r="D3747" t="n">
        <v>1</v>
      </c>
      <c r="E3747" t="n">
        <v>4</v>
      </c>
      <c r="F3747">
        <f>HYPERLINK("https://www.reddit.com/r/COVID19positive/comments/hyjbc8/faint_pulse/")</f>
        <v/>
      </c>
      <c r="G3747" t="inlineStr">
        <is>
          <t>2020-07-26 18:48:59</t>
        </is>
      </c>
      <c r="H3747" t="inlineStr">
        <is>
          <t>Tested Positive - Me</t>
        </is>
      </c>
    </row>
    <row r="3748">
      <c r="A3748" t="inlineStr">
        <is>
          <t>hyjjoo</t>
        </is>
      </c>
      <c r="B3748" t="inlineStr">
        <is>
          <t>I feel like I'm having kidney problems due to covid and hypoxia</t>
        </is>
      </c>
      <c r="C3748" t="inlineStr">
        <is>
          <t>It's hard to breathe and my kidneys are in severe pain for some reason</t>
        </is>
      </c>
      <c r="D3748" t="n">
        <v>1</v>
      </c>
      <c r="E3748" t="n">
        <v>27</v>
      </c>
      <c r="F3748">
        <f>HYPERLINK("https://www.reddit.com/r/COVID19positive/comments/hyjjoo/i_feel_like_im_having_kidney_problems_due_to/")</f>
        <v/>
      </c>
      <c r="G3748" t="inlineStr">
        <is>
          <t>2020-07-26 19:04:21</t>
        </is>
      </c>
      <c r="H3748" t="inlineStr">
        <is>
          <t>Presumed Positive - From Test</t>
        </is>
      </c>
    </row>
    <row r="3749">
      <c r="A3749" t="inlineStr">
        <is>
          <t>hyjriv</t>
        </is>
      </c>
      <c r="B3749" t="inlineStr">
        <is>
          <t>Shocked/amazed: a medication worked for me!</t>
        </is>
      </c>
      <c r="C3749" t="inlineStr">
        <is>
          <t>I’ve been struggling with relapses and had two in quick succession. My dr prescribed prednisone to take next time, and I guess my expectations are low at this point - I’ve tried so many different supplements, regimens etc with limited success - I assumed it wouldn’t work. 
I had another relapse today - extreme fatigue, faster than usual heart rate standing up, joint pain - and popped a pill. Lo and behold, I feel better 4 hours later. Am in SHOCK! I can’t believe it worked! Maybe it will work next time too! I don’t want to get too excited...but I’m very excited!</t>
        </is>
      </c>
      <c r="D3749" t="n">
        <v>1</v>
      </c>
      <c r="E3749" t="n">
        <v>9</v>
      </c>
      <c r="F3749">
        <f>HYPERLINK("https://www.reddit.com/r/COVID19positive/comments/hyjriv/shockedamazed_a_medication_worked_for_me/")</f>
        <v/>
      </c>
      <c r="G3749" t="inlineStr">
        <is>
          <t>2020-07-26 19:19:02</t>
        </is>
      </c>
      <c r="H3749" t="inlineStr">
        <is>
          <t>Presumed Positive - From Doctor</t>
        </is>
      </c>
    </row>
    <row r="3750">
      <c r="A3750" t="inlineStr">
        <is>
          <t>hyjw4r</t>
        </is>
      </c>
      <c r="B3750" t="inlineStr">
        <is>
          <t>Question about tracing.</t>
        </is>
      </c>
      <c r="C3750" t="inlineStr">
        <is>
          <t>Hello. First time here. My wife had a headache at work(grocery) yesterday and mentioned it to her boss. About 2 hours into her shift she starts coughing every time she speaks, so her boss sends her home. 
She sleeps on it to see if she feels better and doesn't, feels worse in the morning. She called first then went to our local ER. She said the initial doctor she spoke with was rude as soon as she mentioned Covid. 
"Are you sure you want this test? It hurts. Why do you think you need it?" This is after she has already said she has headache, cough, fatigue, muscle pain and nausea. She said it felt like he was trying to talk her out of it, but she said she needed it for work. 
Due to her symptoms and severity they gave her a test with results in 15 min and she tested positive. I now have mild headache and fatigue as does my oldest daughter. 6 year old is fine, 4 year old is fine. I'm not too worried about us, my wife doesn't feel good but she said she's felt worse. They gave her a chest x ray and said her lungs look good. 
My question is...will someone contact us about tracing? Does no one care? They gave her a note for work saying she was positive but asked her zero questions about where she worked, who she came into contact with etc. Do we contact someone? Just curious. Thank you.</t>
        </is>
      </c>
      <c r="D3750" t="n">
        <v>1</v>
      </c>
      <c r="E3750" t="n">
        <v>20</v>
      </c>
      <c r="F3750">
        <f>HYPERLINK("https://www.reddit.com/r/COVID19positive/comments/hyjw4r/question_about_tracing/")</f>
        <v/>
      </c>
      <c r="G3750" t="inlineStr">
        <is>
          <t>2020-07-26 19:27:49</t>
        </is>
      </c>
      <c r="H3750" t="inlineStr">
        <is>
          <t>Tested Positive - Family</t>
        </is>
      </c>
    </row>
    <row r="3751">
      <c r="A3751" t="inlineStr">
        <is>
          <t>hyjwfs</t>
        </is>
      </c>
      <c r="B3751" t="inlineStr">
        <is>
          <t>How many days did your fever last? What about your other symptoms?</t>
        </is>
      </c>
      <c r="C3751" t="inlineStr">
        <is>
          <t>Have been battling a fever for 8 straight days. Temperature has been hovering between 100-102°F (37.7-38.9°C). Have been treating it with Tylenol every 4 hours. Trying to gauge whether 8 days of fever is unusual.
**How many days did your fever last?**
Also experiencing the following symptoms:
\- fatigue
\- body aches/chills
\- nausea
\- diarrhea
\- loss of appetite
**If you had any of the above symptoms, how many days did it last?**</t>
        </is>
      </c>
      <c r="D3751" t="n">
        <v>1</v>
      </c>
      <c r="E3751" t="n">
        <v>11</v>
      </c>
      <c r="F3751">
        <f>HYPERLINK("https://www.reddit.com/r/COVID19positive/comments/hyjwfs/how_many_days_did_your_fever_last_what_about_your/")</f>
        <v/>
      </c>
      <c r="G3751" t="inlineStr">
        <is>
          <t>2020-07-26 19:28:23</t>
        </is>
      </c>
      <c r="H3751" t="inlineStr">
        <is>
          <t>Tested Positive - Me</t>
        </is>
      </c>
    </row>
    <row r="3752">
      <c r="A3752" t="inlineStr">
        <is>
          <t>hykz11</t>
        </is>
      </c>
      <c r="B3752" t="inlineStr">
        <is>
          <t>Sinus symptoms</t>
        </is>
      </c>
      <c r="C3752" t="inlineStr">
        <is>
          <t>Hi all. Hope everyone is doing the best they can. I was exposed 7/17, and begun to have sinus symptoms soon after. I have seasonal allergies and just assumed it was that. After a couple days I called my doctor and was placed on antibiotics for a possible sinus infection. I got tested on the 23rd and I’m now a confirmed positive case. Is anyone else having extreme sinus pressure or bloody noses? If so, have you found anything to help with either? Thank you all so much.</t>
        </is>
      </c>
      <c r="D3752" t="n">
        <v>1</v>
      </c>
      <c r="E3752" t="n">
        <v>9</v>
      </c>
      <c r="F3752">
        <f>HYPERLINK("https://www.reddit.com/r/COVID19positive/comments/hykz11/sinus_symptoms/")</f>
        <v/>
      </c>
      <c r="G3752" t="inlineStr">
        <is>
          <t>2020-07-26 20:45:01</t>
        </is>
      </c>
      <c r="H3752" t="inlineStr">
        <is>
          <t>Tested Positive</t>
        </is>
      </c>
    </row>
    <row r="3753">
      <c r="A3753" t="inlineStr">
        <is>
          <t>hylnz1</t>
        </is>
      </c>
      <c r="B3753" t="inlineStr">
        <is>
          <t>I just need HELP!</t>
        </is>
      </c>
      <c r="C3753" t="inlineStr">
        <is>
          <t xml:space="preserve">
My teenager works for Chick-fil-A... this is just SOME of the proof I have. I have made 5 other posts on my Facebook profile and have over 2,000 shares. I have verbal and physical evidence. I know who, when, where each employee tested and how they are traceable to each other . I have other parents. I have sooooooo much! These owners are sneaky manipulative people. I just found out they received money (a lot) to pay the sick employees.... that no employee ever saw. All employees were told the would be no compensation and no possibility of unemployment . My name is Melissa Nasworthy, my # (912)387-6501 . I have no interest in staying anonymous. Please feel free to see other post starting 7/14. No lawyer in my small town will take the case because the owners are community charitable and “truly gods servants” and big leaders in their church. I have a contact at the health department and they have told me owner is getting away with it because of all the “power people” he has in his pocket. The DA here told him to just “wait it out” because people would just move on eventually. They have not sent me cease &amp;amp; desist or even contacted me at all! Because they know I can prove it! I need help please! 
This is my latest post. 
🆘🆘🆘🆘🆘🆘🆘🆘🆘🆘
Chick-fil-A——Waycross, Ga 
ANOTHER employee test Positive YESTERDAY!!!!! Wake up People!! PLEASE SHARE &amp;amp; READ all my other posts on my Home page!
** edited to add- “ALL the friends of the owners sending me friend requests..... I accepted  it. I have nothing to hide or be ashamed of! “ 🤬
A public place that serves our area food has had at least- one employee test positive for Covid - every week of the past month. The KNOWN (to Owners) positive cases(at the VERY latest) started June 25th of 2020. I called them out but realized I had a couple of things wrong. So now I supply you with this.
-The FIRST week a FEW employees were told personally “....That there was a Positive Case,but they hadn’t worked in a week, so there was NO need for ANYONE to get tested. No reason to worry. Unemployment or any kind of compensation will NOT be available because they are an “ESSENTIAL business”.”
-The SECOND week there was a mention to a FEW employees and a couple of phone calls to a FEW employees that there was.... “An employee testing positive and Still no need for anyone to get tested or worry because the person hadn’t worked for about a week. If an employee felt like the may have been exposed or were uncomfortable working with this knowledge they would have to get a test on their own dime and MAKE SURE TO GET ALL THEIR SHIFTS COVERED.  No matter if it was  -/+  OR if they just didn’t want  to risk working, They would get written up if the employee didn’t make sure their shifts were covered. Also made known that they can’t get unemployment or any compensation BECAUSE they (the business itself) have “been told this business is essential so no closings needed.”
-The THIRD week a couple of calls were made to a FEW employees  about...  “Postive test results from another employee. Theat employee hasn’t worked in about a week so Still NO NEED to get tested or worry, BUT if you start feeling bad/uncomfortable, let us know and we can give you time off BUT make sure you pay for test and bring us a Drs note and don’t forget to get YOUR Shifts covered.  “
-The FOURTH Week an Email(#1) went out to SOME employees on July 13th stating ...“They had learned that an employee tested Covid-19 +.... BUT DONT worry, there’s no need to get tested, the employee hasn’t worked in about a week.”
              The company gets called out by a parent or two and they send another Email (#2)  TO ALL EMPLOYEES on July 14th that gets shared all over Facebook. email says...“Don’t worry, don’t talk about the situation to anyone or we MAy have to fire you.  THERE IS STILL NO NEED TO GET TESTED. Make sure to wash your hands once an hour and there won’t be any problems. We will get sprayed in the next 30 days and we were sprayed in May soots all good here.” (This is the email that has been posted in its entirety on social media by parent who is not happy.)
        Facebook posts are being shared everywhere and the community and other parents are angry. ANOTHER EMAIL (#3) (July 16th)is sent out explaining that...”There was a GLITCH in all previous emails- sorry if you didn’t know or receive information ofWhat was going on at work.  Don’t worry the employee that tested positive this week hasn’t worked for a week so it’s still ALL good! Please do be careful and if you already paid for a test we will compensate you and are Excited to announce we will pay for any employee that CHOOSES to get tested. You are all so awesome for the work you do and I will always have the employees best interest at heart. If you happen to know the the employees that have tested positive do not share their names or personal health.” (Notice how everything changed when people were angry?)
-Week FIVE another Email (#4) (July 21st) is sent to say....  “UNFORTUNATELY another employee has tested positive yesterday. They last worked July 16th. We appreciate all of y’alls hard work. If you need a test we will pay for it. WE are an ESSENTIAL Business and cannot close our doors. Please wash and sanitize frequently. We had GERMINATOR spray on 7/16 and back in May. Be aware of spreading germs in/out of work because Covid-19 cases are on the rise here in our area. I will always make sure your best interest is my first priority. Don’t say name, because HIPPA.”  (No more telling the over and over not to share ANY information whatsoever... just names.)
At LEAST 5 EMPLOYEES in 5 weeks. There are 1-2 more confirmed at some point that I don’t know dates of. That are around the same age (young) and all work at the same normal sized food joint that doesn’t have an open dining room. 
So aren’t we glad they are finally doing better at this? Absolutely! All it took was my reputation, integrity, refusal to backdown, and being made fun of for acting like a “Karen”. 
        It also took its toll on my kid that has no idea how she will be treated IF IF IF  she even  back to work. (She’s still off schedule due to medical appointments that were caused by a “hit and run” at this same business. Where she was also told by manager “Yes file an incident report no matter what” but then told “There was no need for one” by the owner who was present at the time.) But hey two days after I got angry all of a sudden a workman’s comp claim offer came to us! (We have someone on that so.. more on that later)
        Lastly it took its toll on the employees (and their families) that were mislead and passively intimidated to not “ask questions”. All of these Covid Positive employees worked a shift with the person who tested positive previously to them.... about a week before they tested positive. So folks we have a pattern of  Negligence and we have a pattern of manipulation of us all. 
DISCLAIMER:  I’ve been told  these owners are TRUE Good Christians that have awesome fundraisers and do so much publicly for their community. So all of the above must be untrue.... right? I must not also be a Good Christian. I must not know how a restaurant works.
PS- I am NOT a member of a big Church here. I am NOT in a position to have fundraisers or donate big money to this community. I’m NOT a lifelong local girl. I DON’T  have friends that do have OFFICIAL IMPORTANT TITLES/ROLES in  this area/town/county to take up for me on Facebook.  (Yeah I see you Lady!😉)
     What I do have is the ability to not think any of those things are “What makes a person”. I also have a strong resolve to NOT backing down. I’m also making sure MY kid (and anyone that is being treated like this) will NEVER feel intimidated by anyone no matter their “position of power” over them. Oh and I happen to have 25 YEARS or restaurant experience 😉
Here is my latest
Sent from my iPhone</t>
        </is>
      </c>
      <c r="D3753" t="n">
        <v>1</v>
      </c>
      <c r="E3753" t="n">
        <v>21</v>
      </c>
      <c r="F3753">
        <f>HYPERLINK("https://www.reddit.com/r/COVID19positive/comments/hylnz1/i_just_need_help/")</f>
        <v/>
      </c>
      <c r="G3753" t="inlineStr">
        <is>
          <t>2020-07-26 21:37:35</t>
        </is>
      </c>
      <c r="H3753" t="inlineStr">
        <is>
          <t>Tested Positive</t>
        </is>
      </c>
    </row>
    <row r="3754">
      <c r="A3754" t="inlineStr">
        <is>
          <t>hyqyjm</t>
        </is>
      </c>
      <c r="B3754" t="inlineStr">
        <is>
          <t>My experience with Covid-19</t>
        </is>
      </c>
      <c r="C3754" t="inlineStr">
        <is>
          <t>Hey, i got my test results yesterday, i was feeling sick with mild symptoms on the 23rd of July. i decided to get tested for Covid-19 because my symptoms were a headache and a runny nose and a slight fever and diarrhea and loss of smell and taste, i was %70 i have Covid-19 .i quarantined myself before i even had Covid-19 symptoms for the safety of me and others. Now it’s the 27th of July and I absolutely have 0 symptoms apart for loss of smell and taste, however the government calls me daily to check up on me and stated that I’m not allowed to go out just yet, i have to stay home for 10 days and i will be personally adding 10 more days of quarantine because i want to make sure I’m not going to infect anyone with it. I honestly had worse colds than Covid-19 however I’m young and healthy but still be careful out there guys. Right now I’m healthy as ever it only took my body 2 days to get rid of Covid-19 symptoms and that’s my experience thank you for reading.</t>
        </is>
      </c>
      <c r="D3754" t="n">
        <v>1</v>
      </c>
      <c r="E3754" t="n">
        <v>92</v>
      </c>
      <c r="F3754">
        <f>HYPERLINK("https://www.reddit.com/r/COVID19positive/comments/hyqyjm/my_experience_with_covid19/")</f>
        <v/>
      </c>
      <c r="G3754" t="inlineStr">
        <is>
          <t>2020-07-27 05:01:17</t>
        </is>
      </c>
      <c r="H3754" t="inlineStr">
        <is>
          <t>Tested Positive - Me</t>
        </is>
      </c>
    </row>
    <row r="3755">
      <c r="A3755" t="inlineStr">
        <is>
          <t>hysq49</t>
        </is>
      </c>
      <c r="B3755" t="inlineStr">
        <is>
          <t>To those wondering if smell/taste return fully</t>
        </is>
      </c>
      <c r="C3755" t="inlineStr">
        <is>
          <t>I am a healthy 36/m. I lost my sense of smell and taste on June 20th and 5 days later I tested positive for covid. For around a week straight it was 100% gone, not to mention the other symptoms I had. The following week I would challenge my senses as I felt they were beginning to return, but they were very muted. I would go on Reddit and YouTube and constantly read stories of people who’s senses were permanently reduced or affected. Today I am happy to say I can smell and taste 100%. So if you are worried like I was, that you would forever miss good food or whisky or whatever... I am living proof that it can return to normal.</t>
        </is>
      </c>
      <c r="D3755" t="n">
        <v>1</v>
      </c>
      <c r="E3755" t="n">
        <v>68</v>
      </c>
      <c r="F3755">
        <f>HYPERLINK("https://www.reddit.com/r/COVID19positive/comments/hysq49/to_those_wondering_if_smelltaste_return_fully/")</f>
        <v/>
      </c>
      <c r="G3755" t="inlineStr">
        <is>
          <t>2020-07-27 06:57:08</t>
        </is>
      </c>
      <c r="H3755" t="inlineStr">
        <is>
          <t>Tested Positive - Me</t>
        </is>
      </c>
    </row>
    <row r="3756">
      <c r="A3756" t="inlineStr">
        <is>
          <t>hyt13m</t>
        </is>
      </c>
      <c r="B3756" t="inlineStr">
        <is>
          <t>What are my odds of being infected right now?</t>
        </is>
      </c>
      <c r="C3756" t="inlineStr">
        <is>
          <t>For context, my mother developed symptoms on July 12th, and had a positive test, had a few days of fever, body pains, and fatigue, but is now coming back to her normal self with only a bit of fatigue left (made 2 weeks yesterday). Father is presumed positive at the moment and is being treated with doxycycline and a corticosteroid (can’t remember at the moment which one it was). He currently has pretty moderate pneumonia, mild shortness of breath, coughs here and there, and mild fever here and there at night. O2 saturation tends to hover around 94%, the hospital sent him home after checking him out and deeming he didn’t have to be there. My younger brother (17) also seems to have caught it a bit over a week ago, but had a fever and heavy fatigue for 3-4 days and that was the end of his symptoms. 
Throughout all this, I tested negative on July 22nd, and will have another test done this week. I have been totally asymptomatic, have disinfected everything in my room, ate in my room, and pretty much been the one isolating myself. I wear a P100 reusable cartridge respirator anytime I’m outside of my room and sanitize and wash my hands religiously. 
Do you guys think I might be infected? Today marks the 15th day I’ve been asymptomatic since the first person in my house had symptoms. The anxiety is kinda getting to me...</t>
        </is>
      </c>
      <c r="D3756" t="n">
        <v>1</v>
      </c>
      <c r="E3756" t="n">
        <v>4</v>
      </c>
      <c r="F3756">
        <f>HYPERLINK("https://www.reddit.com/r/COVID19positive/comments/hyt13m/what_are_my_odds_of_being_infected_right_now/")</f>
        <v/>
      </c>
      <c r="G3756" t="inlineStr">
        <is>
          <t>2020-07-27 07:14:50</t>
        </is>
      </c>
      <c r="H3756" t="inlineStr">
        <is>
          <t>Tested Positive - Family</t>
        </is>
      </c>
    </row>
    <row r="3757">
      <c r="A3757" t="inlineStr">
        <is>
          <t>hyt1m7</t>
        </is>
      </c>
      <c r="B3757" t="inlineStr">
        <is>
          <t>What even are these symptoms?!</t>
        </is>
      </c>
      <c r="C3757" t="inlineStr">
        <is>
          <t>Hi! I started feeling symptoms on the 23rd of July. I work as a barista in a coffee shop that’s located in a rehabilitation hospital connected to a main hospital. I’m always masked and generally careful when I’m at work but still wound up getting covid. 
7/23: I woke with a 101 fever and chills. Had a headache and a sore throat.
7/24: was tested and came back positive. Low 100.5 fever itchy throat, headache.
7/25: 100.6 fever, congestion, itchy throat, coughing, phlegm, diarrhea, evening temp 99.6
7/26:  loss of smell, 100.5 low fever, fatigue, aches, mild diarrhea, 98.7 temperature 
Today: still no smell, body temp is 99.5, and it full fledge feels like a stomach bug now(nausea, gurgling stomach, mild diarrhea.
I’m 31 at 5’11 280+lbs and I miss my wife and my cat.(they’re in the other room)</t>
        </is>
      </c>
      <c r="D3757" t="n">
        <v>1</v>
      </c>
      <c r="E3757" t="n">
        <v>13</v>
      </c>
      <c r="F3757">
        <f>HYPERLINK("https://www.reddit.com/r/COVID19positive/comments/hyt1m7/what_even_are_these_symptoms/")</f>
        <v/>
      </c>
      <c r="G3757" t="inlineStr">
        <is>
          <t>2020-07-27 07:15:35</t>
        </is>
      </c>
      <c r="H3757" t="inlineStr">
        <is>
          <t>Tested Positive - Me</t>
        </is>
      </c>
    </row>
    <row r="3758">
      <c r="A3758" t="inlineStr">
        <is>
          <t>hyt8q3</t>
        </is>
      </c>
      <c r="B3758" t="inlineStr">
        <is>
          <t>Asymptomatic... Sort of</t>
        </is>
      </c>
      <c r="C3758" t="inlineStr">
        <is>
          <t>Posting my experience in case it is relevant to anyone else out there.
7/10 - Went to get a test, found out 2 days later it was a positive test. 
This was a surprise to me as I felt 100% but I wanted to get a test before I was supposed to travel on a plane to see my family. I likely got it from someone I was intimate with, which I knew was a risk.
Symptoms: daily headache (maybe for the first 5 days)
I was able to do workouts at home and felt completely fine. 
7/16 - Began to feel nauseated and so tired at night. Went to sleep and was feverish and had chills in the night. Sweated it out. 
A doctor I spoke with reiterated I should stay home for 10 days from this day of symptoms.
Felt basically fine for all the remaining 10 days. The last 3-5 I felt a pain in the top middle of my stomach and my upper back/shoulders/neck/spine ached a whole lot. I do workout but nothing that would make me feel like that for days. It was weird to have my spine hurt? It sort of felt like I got punched in the spine and back. I could still walk or exercise but I knew my body didn’t feel quite right. 
7/24 - Got another test, no results yet. The doctor told me it could be positive if I get another test but that I would no longer be contagious at this stage. It could show positive due to shedding of dead virus. I just want to see the negative before I consider travel for my peace of mind. 
7/26 - Went to bed with body aches and woke up in the night with a low grade fever and chills. It broke after a couple hours.
7/27 - Supposed to be my day of freedom after 17 days of self isolation. CDC says I need 24 hours with no fever so I guess it’s another day at home for me.
I find the whole experience very confusing and exhausting. I have exhausted myself with anxiety a lot, especially on the 2 nights with the fevers, worrying about potentially taking a turn for the worse. Also after stretches of days feeling fine it is confusing to then have body aches come on and then a fever. Am I going to get a fever every 10 days? Was that it? I wish I knew as I have actually not seen anyone I know in over 3 weeks and I would like to see friends (outside, distance, mask). It takes a toll on mental health for sure. 
I also am exhausted by the way everyone I know is dealing with things differently and has varied reactions to what I am going through and when they would be comfortable being around me again. I get it, but it’s still tiring. At what point would I no longer need to tell people I may want to see (maybe for hanging in the park or outdoor dining) that I had the virus recently? I want to be transparent but when can I stop explaining this to death and reassuring people that I am not going to infect them?
Will update with my test results when I receive.</t>
        </is>
      </c>
      <c r="D3758" t="n">
        <v>1</v>
      </c>
      <c r="E3758" t="n">
        <v>11</v>
      </c>
      <c r="F3758">
        <f>HYPERLINK("https://www.reddit.com/r/COVID19positive/comments/hyt8q3/asymptomatic_sort_of/")</f>
        <v/>
      </c>
      <c r="G3758" t="inlineStr">
        <is>
          <t>2020-07-27 07:26:59</t>
        </is>
      </c>
      <c r="H3758" t="inlineStr">
        <is>
          <t>Tested Positive - Me</t>
        </is>
      </c>
    </row>
    <row r="3759">
      <c r="A3759" t="inlineStr">
        <is>
          <t>hyu00n</t>
        </is>
      </c>
      <c r="B3759" t="inlineStr">
        <is>
          <t>Quick theory</t>
        </is>
      </c>
      <c r="C3759" t="inlineStr">
        <is>
          <t>So I’m in Maine. Covid been spreading like crazy. I was or am still positive after almost 21 days with no symptoms. But I see a bunch of seagulls, raccoons, and skunks all over the roads. Anyone think this theory is legit? The animals are getting into people’s trash or littered areas and getting infected with covid and feeling confused so they don’t know that their walking into traffic or flying into traffic. And now all this road kill is probably infected and what if they get moldy and spores of the infection fly around in the air getting more people sick?</t>
        </is>
      </c>
      <c r="D3759" t="n">
        <v>1</v>
      </c>
      <c r="E3759" t="n">
        <v>9</v>
      </c>
      <c r="F3759">
        <f>HYPERLINK("https://www.reddit.com/r/COVID19positive/comments/hyu00n/quick_theory/")</f>
        <v/>
      </c>
      <c r="G3759" t="inlineStr">
        <is>
          <t>2020-07-27 08:08:50</t>
        </is>
      </c>
      <c r="H3759" t="inlineStr">
        <is>
          <t>Tested Positive - Me</t>
        </is>
      </c>
    </row>
    <row r="3760">
      <c r="A3760" t="inlineStr">
        <is>
          <t>hyuldv</t>
        </is>
      </c>
      <c r="B3760" t="inlineStr">
        <is>
          <t>Timeline of symptoms</t>
        </is>
      </c>
      <c r="C3760" t="inlineStr">
        <is>
          <t>Thursday the 23rd I got the worst blinding headache at work accompanied by nausea so I went home around 2pm for medicine and a nap. I assumed it was a migraine because of the nausea.
Friday the 24th I went to work with a slight headache and made it through the day. I felt exhausted.
Saturday the 25th I sat around watching Netflix with the same headache. My back and neck started hurting and I thought it was from sitting in the recliner too long. I took Aleve and it didn’t help my head or back.
Sunday the 26th I woke up at 3am with heartburn (this happens as a side effect of one of my meds) so I took tums and Pepcid and tried to sleep. I couldn’t get comfortable. My entire body ached. I finally went downstairs around 11am for a banana and V-8 juice drink.
The rest of Sunday I stayed in bed and watched TV. I started a low grade fever in the afternoon and took Advil to help with the aches and temperature. Sunday night was rough. My fever went up to 102 at one point, heart rate was 150! I felt awful. But the fever broke and I woke up sweaty.
Monday the 27th I took Tylenol at 7:30am so I could shower and call my doctor. They got me scheduled for a virtual visit at 10am and with headache, nausea, diarrhea, body aches and high fever she said I am presumed positive. I can be tested at a facility 35 minutes away and wait 7 days for results but I asked her if it was necessary because I honestly feel too weak to drive that much today. She said no, just quarantine 14 days and treat all the symptoms, she said only Tylenol and she sent zofran Rx to my pharmacy. Call back if anything changes.
I’m exhausted. But if I don’t get worse I can handle this. The big problem is that my husband has lung damage and he’s got to stay out of my room!</t>
        </is>
      </c>
      <c r="D3760" t="n">
        <v>1</v>
      </c>
      <c r="E3760" t="n">
        <v>16</v>
      </c>
      <c r="F3760">
        <f>HYPERLINK("https://www.reddit.com/r/COVID19positive/comments/hyuldv/timeline_of_symptoms/")</f>
        <v/>
      </c>
      <c r="G3760" t="inlineStr">
        <is>
          <t>2020-07-27 08:40:37</t>
        </is>
      </c>
      <c r="H3760" t="inlineStr">
        <is>
          <t>Presumed Positive - From Doctor</t>
        </is>
      </c>
    </row>
    <row r="3761">
      <c r="A3761" t="inlineStr">
        <is>
          <t>hyw4mj</t>
        </is>
      </c>
      <c r="B3761" t="inlineStr">
        <is>
          <t>Boyfriend and I tested positive after quarantining since 4th of July- please do not let your guards down!</t>
        </is>
      </c>
      <c r="C3761" t="inlineStr">
        <is>
          <t>My boyfriend (29 M) and I (26 F) got our results back Friday- both positive. We live in an area with not that many cases. 
His symptoms started last Friday (headache and congestion), mine started on Tuesday. I woke up and felt like there was an elephant sitting on my head.. could barely open my eyes. I got a fever I’m the middle of the day- got up to 101. This is what prompted us to get tested. 
We were supposed to go visit my family on Saturday. We have been careful throughout this whole thing.. but did let up a little to see our friends outside and stuff. The last time we did this was July 4th. None of our friends have it- all got tested. My bf has been working from home since July 1st. I nanny for an infant, parents got tested as soon as I got a fever and they were both negative as well. 
The only places we have been are our apartment and the grocery store and to pick up food. Wearing our masks every time we leave the apartment.. to get mail or anything. We already couldn’t go fee his family in Cyprus in beginning of the pandemic and we were devastated we couldn’t go see mine a few hours away. However.. we are so thankful we got strong enough symptoms to get tested so that we didn’t infect anybody on our trip. Would have been a nightmare. If I never got a fever I would have just thought this was bad allergies.
I hope this is the worst I have to deal with. I know people are dealing with a lot more devastating consequences of this fucking virus. I beg of you.. do not look to your friends who are traveling, not wearing masks, going to packed bars and restaurant who are “okay”. I have friends who do that to and it was such a slap in the face that we still got it after being so careful. 
Our symptoms are pretty much entirely gone as of now. I’m on day 7. I only had a fever one day, never got a cough or shortness of breathe. Did have fatigue and muscle soreness. Weirdest symptom I had was a splitting headache and heart palpitations. As of today I literally feel 100% fine but can’t taste or smell anything. 
Literally stuck pieces of garlic in my nostril. 
Let me know if anyone has any questions.</t>
        </is>
      </c>
      <c r="D3761" t="n">
        <v>1</v>
      </c>
      <c r="E3761" t="n">
        <v>239</v>
      </c>
      <c r="F3761">
        <f>HYPERLINK("https://www.reddit.com/r/COVID19positive/comments/hyw4mj/boyfriend_and_i_tested_positive_after/")</f>
        <v/>
      </c>
      <c r="G3761" t="inlineStr">
        <is>
          <t>2020-07-27 10:00:24</t>
        </is>
      </c>
      <c r="H3761" t="inlineStr">
        <is>
          <t>Tested Positive</t>
        </is>
      </c>
    </row>
    <row r="3762">
      <c r="A3762" t="inlineStr">
        <is>
          <t>hyw84c</t>
        </is>
      </c>
      <c r="B3762" t="inlineStr">
        <is>
          <t>My exp with Covid 19.</t>
        </is>
      </c>
      <c r="C3762" t="inlineStr">
        <is>
          <t>one day 2 weeks ago I was eating lunch and noticed I had lost all taste and smell. Finished work, got swabbed at cvs, they told me expect results in 5-7 days. Went to another clinic to get a rapid swab test and was confirmed positive right there. Symptoms were mild. Smell and taste loss and very mild behind the eye headache. No fevers, chills, caughs, nothing. 4 days later my smell and taste returned, headache went away and felt fine. I passed it onto my wife who had the same symptoms as well and same recovery no problems. I wear a face mask daily at work for 8 hours a day, I wash my hands regularly and try not to touch my face. Sanitizer in my car, at home, in my locker always and I still caught it somehow. I go to work and the grocery store and thats it and have been doing so for the last 4 months because we have a 4 month old at home. Everyone is now symptom free, wife and I are swab confirmed negative and both back to work.</t>
        </is>
      </c>
      <c r="D3762" t="n">
        <v>1</v>
      </c>
      <c r="E3762" t="n">
        <v>18</v>
      </c>
      <c r="F3762">
        <f>HYPERLINK("https://www.reddit.com/r/COVID19positive/comments/hyw84c/my_exp_with_covid_19/")</f>
        <v/>
      </c>
      <c r="G3762" t="inlineStr">
        <is>
          <t>2020-07-27 10:05:15</t>
        </is>
      </c>
      <c r="H3762" t="inlineStr">
        <is>
          <t>Tested Positive</t>
        </is>
      </c>
    </row>
    <row r="3763">
      <c r="A3763" t="inlineStr">
        <is>
          <t>hyxu7g</t>
        </is>
      </c>
      <c r="B3763" t="inlineStr">
        <is>
          <t>Employer wants me to return to work August 3rd</t>
        </is>
      </c>
      <c r="C3763" t="inlineStr">
        <is>
          <t>I tested positive in early July and am still experiencing some of the lingering effects of COVID. My employer wants to to return to work August 3rd, but I don’t feel safe being around an office full of people. I expressed this and now they are asking for a note from a doctor stating the need to work from home. 
What’s the best way to go about this? Would I need to go to urgent care and just ask for a note? Any advice is appreciated.</t>
        </is>
      </c>
      <c r="D3763" t="n">
        <v>1</v>
      </c>
      <c r="E3763" t="n">
        <v>10</v>
      </c>
      <c r="F3763">
        <f>HYPERLINK("https://www.reddit.com/r/COVID19positive/comments/hyxu7g/employer_wants_me_to_return_to_work_august_3rd/")</f>
        <v/>
      </c>
      <c r="G3763" t="inlineStr">
        <is>
          <t>2020-07-27 11:27:35</t>
        </is>
      </c>
      <c r="H3763" t="inlineStr">
        <is>
          <t>Tested Positive - Me</t>
        </is>
      </c>
    </row>
    <row r="3764">
      <c r="A3764" t="inlineStr">
        <is>
          <t>hyxvd7</t>
        </is>
      </c>
      <c r="B3764" t="inlineStr">
        <is>
          <t>How long before it’s safe to interact??</t>
        </is>
      </c>
      <c r="C3764" t="inlineStr">
        <is>
          <t>My mom just tested positive for COVID. She was exposed 11 days ago and only had super mild symptoms so far.. so mild that she was convinced that she didn’t have it at all. The worst of it was a tickle in her throat that started 9 days ago and has since resolved. 
I’m happy that it’s been mild so far, but there’s something that complicates it: her father (my grandpa) died a few days ago and the funeral is a week from now. She is hoping she can go. 
In our country, they say that if you test positive, you can come out of isolation if you haven’t had any symptoms for 24 hours. She has had no symptoms for two days now. 
However, I’m worried that she is still infectious and will infect everyone at the funeral. 24 hours seems way too soon! What’s the right thing for her to do? Is there anyone here who had super mild symptoms that seemed to resolve but later turned severe? Or knows anyone like this? Any advice would be welcome.</t>
        </is>
      </c>
      <c r="D3764" t="n">
        <v>1</v>
      </c>
      <c r="E3764" t="n">
        <v>6</v>
      </c>
      <c r="F3764">
        <f>HYPERLINK("https://www.reddit.com/r/COVID19positive/comments/hyxvd7/how_long_before_its_safe_to_interact/")</f>
        <v/>
      </c>
      <c r="G3764" t="inlineStr">
        <is>
          <t>2020-07-27 11:29:13</t>
        </is>
      </c>
      <c r="H3764" t="inlineStr">
        <is>
          <t>Tested Positive - Family</t>
        </is>
      </c>
    </row>
    <row r="3765">
      <c r="A3765" t="inlineStr">
        <is>
          <t>hyy0gq</t>
        </is>
      </c>
      <c r="B3765" t="inlineStr">
        <is>
          <t>Is it concerning if you’re on Remdesivir?</t>
        </is>
      </c>
      <c r="C3765" t="inlineStr">
        <is>
          <t>My father has been in the hospital for three days now, still getting oxygen and feels a lot better than when he was at home. Doctor said they would think about putting him on Remdesivir to get better+help him improve but I’ve also heard that you don’t get put on this drug unless your case is super severe + I’ve also seen people in ICU being put on this. Family and I are just a little concerned from so many horror stories but have also heard that it has helped many people. Anyone have any experiences with this/insight?? Thank you!!</t>
        </is>
      </c>
      <c r="D3765" t="n">
        <v>1</v>
      </c>
      <c r="E3765" t="n">
        <v>8</v>
      </c>
      <c r="F3765">
        <f>HYPERLINK("https://www.reddit.com/r/COVID19positive/comments/hyy0gq/is_it_concerning_if_youre_on_remdesivir/")</f>
        <v/>
      </c>
      <c r="G3765" t="inlineStr">
        <is>
          <t>2020-07-27 11:36:17</t>
        </is>
      </c>
      <c r="H3765" t="inlineStr">
        <is>
          <t>Tested Positive - Family</t>
        </is>
      </c>
    </row>
    <row r="3766">
      <c r="A3766" t="inlineStr">
        <is>
          <t>hyyhzf</t>
        </is>
      </c>
      <c r="B3766" t="inlineStr">
        <is>
          <t>Tested positive today</t>
        </is>
      </c>
      <c r="C3766" t="inlineStr">
        <is>
          <t>I am 20 year old and I tested positive my only symptoms were loss or smell and taste I went to get tested last week on Wednesday I’m feeling  fine now I still don’t get my taste back completely I just hope I didn’t infect my family I do live in 2 bedroom apartment anyone have similar symptoms ?</t>
        </is>
      </c>
      <c r="D3766" t="n">
        <v>1</v>
      </c>
      <c r="E3766" t="n">
        <v>3</v>
      </c>
      <c r="F3766">
        <f>HYPERLINK("https://www.reddit.com/r/COVID19positive/comments/hyyhzf/tested_positive_today/")</f>
        <v/>
      </c>
      <c r="G3766" t="inlineStr">
        <is>
          <t>2020-07-27 12:01:22</t>
        </is>
      </c>
      <c r="H3766" t="inlineStr">
        <is>
          <t>Tested Positive - Me</t>
        </is>
      </c>
    </row>
    <row r="3767">
      <c r="A3767" t="inlineStr">
        <is>
          <t>hyzpss</t>
        </is>
      </c>
      <c r="B3767" t="inlineStr">
        <is>
          <t>Smell and taste still has not completely come back after 4 months</t>
        </is>
      </c>
      <c r="C3767" t="inlineStr">
        <is>
          <t>Hey everyone. I had covid the first couple of weeks of March. I lost smell and taste completely for 3 weeks. I’m talking couldn’t even smell peppermint essential oil stuffed up my nose. After 3 weeks it started slowly returning. It’s been 4 months and is not completely back to normal. It has also made my taste change for a few things. I now hate certain foods I used to love. For example I loved cilantro and now I can’t stand it! Processed food like chips smell very bad to me now. Does anyone have an experience like this? I’m not sure what to do.</t>
        </is>
      </c>
      <c r="D3767" t="n">
        <v>1</v>
      </c>
      <c r="E3767" t="n">
        <v>4</v>
      </c>
      <c r="F3767">
        <f>HYPERLINK("https://www.reddit.com/r/COVID19positive/comments/hyzpss/smell_and_taste_still_has_not_completely_come/")</f>
        <v/>
      </c>
      <c r="G3767" t="inlineStr">
        <is>
          <t>2020-07-27 13:04:23</t>
        </is>
      </c>
      <c r="H3767" t="inlineStr">
        <is>
          <t>Tested Positive - Me</t>
        </is>
      </c>
    </row>
    <row r="3768">
      <c r="A3768" t="inlineStr">
        <is>
          <t>hyzuth</t>
        </is>
      </c>
      <c r="B3768" t="inlineStr">
        <is>
          <t>Anyone else experience leg pain with covid?</t>
        </is>
      </c>
      <c r="C3768" t="inlineStr">
        <is>
          <t>My right leg near the hip joint has been hurting.</t>
        </is>
      </c>
      <c r="D3768" t="n">
        <v>1</v>
      </c>
      <c r="E3768" t="n">
        <v>6</v>
      </c>
      <c r="F3768">
        <f>HYPERLINK("https://www.reddit.com/r/COVID19positive/comments/hyzuth/anyone_else_experience_leg_pain_with_covid/")</f>
        <v/>
      </c>
      <c r="G3768" t="inlineStr">
        <is>
          <t>2020-07-27 13:11:43</t>
        </is>
      </c>
      <c r="H3768" t="inlineStr">
        <is>
          <t>Tested Positive - Me</t>
        </is>
      </c>
    </row>
    <row r="3769">
      <c r="A3769" t="inlineStr">
        <is>
          <t>hz02ns</t>
        </is>
      </c>
      <c r="B3769" t="inlineStr">
        <is>
          <t>Haven't gotten results yet!</t>
        </is>
      </c>
      <c r="C3769" t="inlineStr">
        <is>
          <t>Girl I hanged with 10 days ago came out positive on Sunday she tested friday so far I dont have any symptoms. Doctor at the clinic on base listed me as presumed positive till my results get back so far all I've had is diarrhea but I think its because I ate some chipotle after gym havent eaten there in months so probably didn't sit right ontop of my paranoia! Been checking my temp regularly and nothing still hovering at 96-97 will update when results get back probably Thursday or Friday.</t>
        </is>
      </c>
      <c r="D3769" t="n">
        <v>1</v>
      </c>
      <c r="E3769" t="n">
        <v>2</v>
      </c>
      <c r="F3769">
        <f>HYPERLINK("https://www.reddit.com/r/COVID19positive/comments/hz02ns/havent_gotten_results_yet/")</f>
        <v/>
      </c>
      <c r="G3769" t="inlineStr">
        <is>
          <t>2020-07-27 13:23:04</t>
        </is>
      </c>
      <c r="H3769" t="inlineStr">
        <is>
          <t>Presumed Positive - From Doctor</t>
        </is>
      </c>
    </row>
    <row r="3770">
      <c r="A3770" t="inlineStr">
        <is>
          <t>hz0vfy</t>
        </is>
      </c>
      <c r="B3770" t="inlineStr">
        <is>
          <t>How long to quarantine?</t>
        </is>
      </c>
      <c r="C3770" t="inlineStr">
        <is>
          <t>My story: I woke up on July 14th with a huge headache. Being precautious I called into work and called my dr, was seen virtually and tested on the 15th. On the 16th I was confirmed positive. 
Dr called me in the 16th and explained I have to quarantine for 10 days but will still be required a mask after the 10 days.
All my symptoms are gone and feel ready to return to work but worried that I may still be contagious. Called drs office but they won’t have any return calls for 72hrs</t>
        </is>
      </c>
      <c r="D3770" t="n">
        <v>1</v>
      </c>
      <c r="E3770" t="n">
        <v>4</v>
      </c>
      <c r="F3770">
        <f>HYPERLINK("https://www.reddit.com/r/COVID19positive/comments/hz0vfy/how_long_to_quarantine/")</f>
        <v/>
      </c>
      <c r="G3770" t="inlineStr">
        <is>
          <t>2020-07-27 14:05:46</t>
        </is>
      </c>
      <c r="H3770" t="inlineStr">
        <is>
          <t>Tested Positive</t>
        </is>
      </c>
    </row>
    <row r="3771">
      <c r="A3771" t="inlineStr">
        <is>
          <t>hz0vrr</t>
        </is>
      </c>
      <c r="B3771" t="inlineStr">
        <is>
          <t>My timeline of symptoms</t>
        </is>
      </c>
      <c r="C3771" t="inlineStr">
        <is>
          <t>Hello all, 
Just here to lay out my timeline of symptoms for comparison purposes. I am lucky as I've not been very ill and have had mild symptoms so far.
July 15-17: Exhaustion/lethargic, muscle soreness (lower back), mild sinus congestion or what I thought were allergies- sniffles, itchy eyes, sneezing, ears won't pop, etc.  I attribute the exhaustion and muscle soreness to PMS. Checked my temp just in case, no fever. \*went to work\*
July 18: Normal temperature when I check that morning, same mild "allergy" symptoms.  My nose isn't congested but I'm noticing my taste/smell are starting to be affected as the day progresses. \*went to work\* 
July 19: Complete loss of smell and taste despite no nasal congestion. My upper nasal cavity feels irritated like I inhaled something strong like ammonia. I can feel sinus pressure behind my eyes and a slight headache. My face also feels hot &amp;amp; looks flushed but my temperature is still below 99F.  At this point I assume I have Covid-19 as the symptoms are too specific. I make my employer aware of my condition as well as my housemate. I begin isolating myself at this time. 
July 20- 23: Smell and taste still gone, sleeping alot, not much energy but don't necessarily feel sick or like I have to lie down. No shortness of breath or cough.  I continue to have what feel like hot flashes just in my face. No other aches or bodily changes. Periodic temp check varies from 98 to 99.8 throughout.
July 24: My senses are coming &amp;amp; going throughout the day- I notice some taste &amp;amp; smell returning but very muted. Sleeping 12-14 hours,  no other issues, temp &amp;lt;99F. 
July 25 - present:  I tested positive for Covid-19 on 7/25. This was a same day, rapid test. 
Sense of taste and smell have returned about 75%. I have yet to notice any shortness of breath, cough or worsening symptoms. I am less tired and I am feeling better for the most part.  Last night I checked my heart rate &amp;amp; SPO2 with a finger sensor- 64 resting and 97% respectively. I heard reports of folks not suffering from shortness of breath/dyspnea yet having low blood oxygen levels and/or high resting heart rates so I just wanted to make sure that isn't the case for me. 
So far, no one from my work has shown symptoms. It has been 10+ days since anyone was potentially exposed. To my knowledge, only 1 of those coworkers has gotten tested since exposure and she is negative thankfully. She elected to test because her &amp;amp; I were in very close proximity and even shared food on July 17th for perspective. My housemate is not experiencing symptoms so far. She is going to continue to isolate until August 1st, which will be 2 weeks since my test, 3+ weeks since my symptoms began. Her doctor did not recommend testing unless she develops symptoms.
All in all it's been a strange experience. I am so grateful I have not fallen more ill, this has been an inconvenience mostly. I don't know where I would have contracted the virus other than work or at a gas station or to-go restaurant as those are the only places I have gone in the weeks prior to getting sick.  I diligently wear a mask in public, but that doesn't mean I didn't touch my face or forget to use sanitizer immediately after touching an outside surface, etc. Who knows! It's a crapshoot. It doesn't help that I live in Dallas, TX which is one of the major USA hotspots right now.
Supposedly the mild symptoms are indicative of a "smaller" virus load meaning that I was exposed to less amount of virus. I can almost certainly attribute that to mask-wearing and adhering to social distancing practices.  Stay safe everyone and WEAR A MASK! Thanks for reading.</t>
        </is>
      </c>
      <c r="D3771" t="n">
        <v>1</v>
      </c>
      <c r="E3771" t="n">
        <v>7</v>
      </c>
      <c r="F3771">
        <f>HYPERLINK("https://www.reddit.com/r/COVID19positive/comments/hz0vrr/my_timeline_of_symptoms/")</f>
        <v/>
      </c>
      <c r="G3771" t="inlineStr">
        <is>
          <t>2020-07-27 14:06:16</t>
        </is>
      </c>
      <c r="H3771" t="inlineStr">
        <is>
          <t>Tested Positive - Me</t>
        </is>
      </c>
    </row>
    <row r="3772">
      <c r="A3772" t="inlineStr">
        <is>
          <t>hz1vi9</t>
        </is>
      </c>
      <c r="B3772" t="inlineStr">
        <is>
          <t>Test came back positive today and my mom has terminal cancer</t>
        </is>
      </c>
      <c r="C3772" t="inlineStr">
        <is>
          <t>Found out today I’m covid positive as is one of my siblings which means our mother, who now doesn’t feel well, and whom we take care of probably has it, too. Right now none of our symptoms are too bad but my mom has terminal metastatic breast cancer that spread to her lungs and I’m driving myself crazy wanting to check on her and make sure she’s okay. She’s currently in the basement which is finished and has its own kitchen and bathroom while we are quarantined upstairs but I’m sooo scared she has it and that it may get worse for her. I feel devastated that I could have been the one to pass this sickness onto her. Has anyone else on here been in a similar situation? Any advice or feedback would be greatly appreciated.</t>
        </is>
      </c>
      <c r="D3772" t="n">
        <v>1</v>
      </c>
      <c r="E3772" t="n">
        <v>9</v>
      </c>
      <c r="F3772">
        <f>HYPERLINK("https://www.reddit.com/r/COVID19positive/comments/hz1vi9/test_came_back_positive_today_and_my_mom_has/")</f>
        <v/>
      </c>
      <c r="G3772" t="inlineStr">
        <is>
          <t>2020-07-27 14:59:22</t>
        </is>
      </c>
      <c r="H3772" t="inlineStr">
        <is>
          <t>Tested Positive - Me</t>
        </is>
      </c>
    </row>
    <row r="3773">
      <c r="A3773" t="inlineStr">
        <is>
          <t>hz2v6e</t>
        </is>
      </c>
      <c r="B3773" t="inlineStr">
        <is>
          <t>Entire family tested positive</t>
        </is>
      </c>
      <c r="C3773" t="inlineStr">
        <is>
          <t>My entire family - Mom (55), Sister (21), Brother (33) and Sister-in-law (30) tested positive 10 days back. 
Background - Brother and sister in law are doctors who treat patients in rural areas. 
Brother got it from a patient - He is the most affected. He is hospitalised from a week. First 7 days he was alright, mild symptoms like low fever and head ache. After 8th day he started having problems with breathing. On oxygen for 3 days. Loss of taste and smell. Body ache. Sever cough. Unable to even speak. Internals ache while talking. He is being given 6 injections of Remdisivir. (4 done) 
Apart from brother everyone else had mild symptoms- 1-2 days of fever, sore throat, severe loss of taste (even sugar tastes bitter. Apart from loss of taste all Symptoms vanished within 2 days. 
Strange thing is Dad didn’t test positive and not developed any symptoms. Even though everyone stays together. My theory is either test results were wrong but he hasn’t developed any symptoms. 
Luckily everyone is recovering well. Stay safe and away from the virus.</t>
        </is>
      </c>
      <c r="D3773" t="n">
        <v>1</v>
      </c>
      <c r="E3773" t="n">
        <v>23</v>
      </c>
      <c r="F3773">
        <f>HYPERLINK("https://www.reddit.com/r/COVID19positive/comments/hz2v6e/entire_family_tested_positive/")</f>
        <v/>
      </c>
      <c r="G3773" t="inlineStr">
        <is>
          <t>2020-07-27 15:55:06</t>
        </is>
      </c>
      <c r="H3773" t="inlineStr">
        <is>
          <t>Tested Positive - Family</t>
        </is>
      </c>
    </row>
    <row r="3774">
      <c r="A3774" t="inlineStr">
        <is>
          <t>hz3lkp</t>
        </is>
      </c>
      <c r="B3774" t="inlineStr">
        <is>
          <t>'Light' case and long term issues</t>
        </is>
      </c>
      <c r="C3774" t="inlineStr">
        <is>
          <t>Back in May, I got sick.  It was, for me, a relatively minor illness at first.  Muscle pain, coughing, sneezing, sleeping for long hours.  Then the exhaustion hit.  I found that I could be active - that is, moving - for no more than a few minutes at a time, and if I didn't get a solid 15 hours of sleep I wasn't worth anything.  After that, the bar across my chest.  That was when I panicked and called a doctor, even though I wasn't having severe trouble breathing - I'm asthmatic, I know what that feels like.
The doctor told me that I was 'likely' positive for COVID, but that since the test available locally had such a high false negative rate it probably wasn't worth testing unless I needed proof that I had it - that, if it was an option for me, I should simply quarantine in place for about 30 days.  So I quarantined in place.  I used my inhaler regularly (which is unusual; they usually expire almost full, since I have asthma attacks once or twice a year), and felt better overall.
But the exhaustion stuck around, as did my sleeping issues.  Not as bad as it was then, but I've found it virtually impossible to establish and maintain a normal sleep schedule (mine is closer to 16 hours awake 10 hours asleep), and I still get exhausted after about half an hour of doing things more strenuous than walking - 5 to ten minutes if I'm bending over.
Now, I'll be the first to admit that I'm out of shape, and I am getting old (I turned 40 just before I got sick), and I have some issues (chronic pain, asthma as mentioned, and arthritis) but they're relatively minor.
Have other people had to deal with long-term issues?</t>
        </is>
      </c>
      <c r="D3774" t="n">
        <v>1</v>
      </c>
      <c r="E3774" t="n">
        <v>17</v>
      </c>
      <c r="F3774">
        <f>HYPERLINK("https://www.reddit.com/r/COVID19positive/comments/hz3lkp/light_case_and_long_term_issues/")</f>
        <v/>
      </c>
      <c r="G3774" t="inlineStr">
        <is>
          <t>2020-07-27 16:37:46</t>
        </is>
      </c>
      <c r="H3774" t="inlineStr">
        <is>
          <t>Presumed Positive - From Doctor</t>
        </is>
      </c>
    </row>
    <row r="3775">
      <c r="A3775" t="inlineStr">
        <is>
          <t>hz4e3q</t>
        </is>
      </c>
      <c r="B3775" t="inlineStr">
        <is>
          <t>Mother sick with fever still waiting for test results to come back</t>
        </is>
      </c>
      <c r="C3775" t="inlineStr">
        <is>
          <t>My mother (57) came home from work this afternoon claiming to have a low grade fever of 100.5 degrees. She instantly closed herself away from the rest of our family and called to find a testing spot in our small town. Evidently when she went to our local testing location they said that she has similar symptoms but that we should have the results in the next 3-5 days to be absolutely sure. 
Now I’m just trying to be as helpful as possible without exposing myself (23) more than I already have. What steps if any should I take to help with her recovery? Also what can I expect if she is positive and this gets worse than a fever? And final question if she is positive and I have been around her does that mean  I also am positive and will eventually get sick too or should I seek testing?
Thank you to all on this subreddit. Right now is fucky for all of us and subreddits like this one make it a little easier for us to figure out just what the hell is going on.</t>
        </is>
      </c>
      <c r="D3775" t="n">
        <v>1</v>
      </c>
      <c r="E3775" t="n">
        <v>9</v>
      </c>
      <c r="F3775">
        <f>HYPERLINK("https://www.reddit.com/r/COVID19positive/comments/hz4e3q/mother_sick_with_fever_still_waiting_for_test/")</f>
        <v/>
      </c>
      <c r="G3775" t="inlineStr">
        <is>
          <t>2020-07-27 17:26:00</t>
        </is>
      </c>
      <c r="H3775" t="inlineStr">
        <is>
          <t>Presumed Positive - From Doctor</t>
        </is>
      </c>
    </row>
    <row r="3776">
      <c r="A3776" t="inlineStr">
        <is>
          <t>hz4h94</t>
        </is>
      </c>
      <c r="B3776" t="inlineStr">
        <is>
          <t>For those who couldn't smell or taste, were there some cases where you could?</t>
        </is>
      </c>
      <c r="C3776" t="inlineStr">
        <is>
          <t>I have lost my smell and taste but there are some things I can still smell and taste like products with menthol, onions and ginger 
For people who experienced the same thing, how severe was the loss of taste/smell</t>
        </is>
      </c>
      <c r="D3776" t="n">
        <v>1</v>
      </c>
      <c r="E3776" t="n">
        <v>8</v>
      </c>
      <c r="F3776">
        <f>HYPERLINK("https://www.reddit.com/r/COVID19positive/comments/hz4h94/for_those_who_couldnt_smell_or_taste_were_there/")</f>
        <v/>
      </c>
      <c r="G3776" t="inlineStr">
        <is>
          <t>2020-07-27 17:31:22</t>
        </is>
      </c>
      <c r="H3776" t="inlineStr">
        <is>
          <t>Presumed Positive - From Doctor</t>
        </is>
      </c>
    </row>
    <row r="3777">
      <c r="A3777" t="inlineStr">
        <is>
          <t>hz4tn3</t>
        </is>
      </c>
      <c r="B3777" t="inlineStr">
        <is>
          <t>my covid experience</t>
        </is>
      </c>
      <c r="C3777" t="inlineStr">
        <is>
          <t>Seeing a lot of posts about experiences with COVID...decided to post mine.
My entire family got the virus due to an extremely reckless family member (my uncle) who decided to take a Postmates job at the height of the pandemic. This family member visited us only to sleep and shower. My parents were generous enough to offer him our home. 
He infected my grandmother first. She started showing symptoms (fever, chest pains, cough). Keep in mind she is an 85 year old with a pacemaker and soooo many health issues. She has had open heart surgery two times, and several other surgeries. 
At first, we thought it was just a cold, or she was manifesting stress physically (the whole pandemic has left us on edge). The symptoms went on for two days, so we started getting worried. I had to start sleeping in the living room since her and I share a room.  She was quarantined in our room, and my mom (50) would bring her food and medicine with a mask on. Later, my mom started feeling sick as well. Then, my dad (58). Then...me! (17) Apparently, my uncle didn’t tell us he had symptoms, which was the shittiest thing someone could’ve done.
My mom had muscle pains and headaches, chest pains, a slight fever, fatigue, loss of smell and taste. My dad had a fever, chest pains, SOB, slight cough, fatigue, loss of smell and taste. I was very lucky. I only had a fever for a day, rare chest tightness, and loss of smell (but not taste, lucky me). We fortunately did not get hit with a bad cough. My brother (25) was asymptomatic, pretty sure because his immune system is that of a robot. 
We all had tea with vitamin C supplements, lots of water, plenty of rest, and pills for the headaches. We recovered in two weeks, even after my grandma and dad had to go to the hospital. My smell is coming back, probably like 70% right now. 
Life is extremely unfair, but please hang in there. We will get through this together.</t>
        </is>
      </c>
      <c r="D3777" t="n">
        <v>1</v>
      </c>
      <c r="E3777" t="n">
        <v>13</v>
      </c>
      <c r="F3777">
        <f>HYPERLINK("https://www.reddit.com/r/COVID19positive/comments/hz4tn3/my_covid_experience/")</f>
        <v/>
      </c>
      <c r="G3777" t="inlineStr">
        <is>
          <t>2020-07-27 17:53:13</t>
        </is>
      </c>
      <c r="H3777" t="inlineStr">
        <is>
          <t>Tested Positive - Family</t>
        </is>
      </c>
    </row>
    <row r="3778">
      <c r="A3778" t="inlineStr">
        <is>
          <t>hz5flx</t>
        </is>
      </c>
      <c r="B3778" t="inlineStr">
        <is>
          <t>Nose feels like it’s burning. Lungs acting strange. Mild case so far.</t>
        </is>
      </c>
      <c r="C3778" t="inlineStr">
        <is>
          <t>I started having mild covid symptoms 8 days ago (nasal congestion, extreme fatigue, headache, swollen lymph nodes, sore throat, loss of smell and taste). 
I tested positive yesterday. 
My sinuses feel like my epithelial cells were burnt with acid. Every nasal inhalation of air feels like aspirating salt water into your skull. Anyone share similar symptoms?
On another level, I have managed to go without cough or fever for 8 days, but woke up today with a terrible irritation in my upper respiratory tract, as if I’ve been coughing for weeks on end. Is this a sign of things to come? Is the virus preparing to wreak havoc on my lungs 8 days after onset of symptoms?
I’m a reasonably healthy 26 year old male.</t>
        </is>
      </c>
      <c r="D3778" t="n">
        <v>1</v>
      </c>
      <c r="E3778" t="n">
        <v>4</v>
      </c>
      <c r="F3778">
        <f>HYPERLINK("https://www.reddit.com/r/COVID19positive/comments/hz5flx/nose_feels_like_its_burning_lungs_acting_strange/")</f>
        <v/>
      </c>
      <c r="G3778" t="inlineStr">
        <is>
          <t>2020-07-27 18:31:54</t>
        </is>
      </c>
      <c r="H3778" t="inlineStr">
        <is>
          <t>Tested Positive - Me</t>
        </is>
      </c>
    </row>
    <row r="3779">
      <c r="A3779" t="inlineStr">
        <is>
          <t>hz5ggb</t>
        </is>
      </c>
      <c r="B3779" t="inlineStr">
        <is>
          <t>Presumed positive, but no cough?</t>
        </is>
      </c>
      <c r="C3779" t="inlineStr">
        <is>
          <t>Hey everyone, I am a 20-year-old female and I have been experiencing some mild/moderate covid-19 symptoms over the past 3 days. I was just tested for covid today and I’m due to get my results in 1-3 days. Even though I’m feeling crappy and I haven’t felt this ill since I was a kid, I find it weird that I have no cough whatsoever (especially since I had childhood asthma and other breathing/sinus problems in my life). I was wondering if anyone here has tested positive without having a cough (but still felt ill)? Here’s a daily rundown of my symptoms- sorry if it’s a little TMI.
Day 1: Woke up pretty early feeling muscle pains and extreme with a really sore throat. I was unable to fall back asleep even though I only managed to get 3.5 hours of sleep that night. The sore throat was the thing that concerned me, and I considered calling sick from work, but I figured my throat was just sore because I was dehydrated or something. I drank a ton of liquids and made sure I was eating well, but nothing worked. I went to work, but I ended up leaving 3 hours into my shift because of severe fatigue, muscle aches, my sore throat, shortness of breath and queasy stomach. Normal temp. 
Day 2: Woke up again with a sore throat, and the entire day I was extremely exhausted (even though I ended up sleeping 17/24 hours this day) and had annoying dull muscle aches. I could barely walk across my bedroom without getting short of breath, but it was mild. I also developed some ear pain, which I found odd. By nighttime, I was starting to feel a little bit better so I did some cleaning around my house, but I still scheduled a covid test for the next day just to be safe. Normal temp. 
Day 3 (today): I slept another 10 hours and woke up at around 12:30pm, feeling like crap and I’ve had some pretty bad mental fog all day. I drank some coffee and I took my covid test at about 1:30pm. I figured the coffee would help me to wake up, but it didn’t at all. I’m currently laying in bed still exhausted. My sore throat is almost completely gone, but I have a gnarly migraine and nausea, eye pain, ear pain, shakes, and diarrhea. I feel somewhat short of breath even while I’m just laying here. I took my temp about an hour ago and it went from being my normal 98.3 to a 99.4, and I look/feel very flushed. I’ve been trying to reduce my body temp by sucking on some ice, but if that doesn’t work I’m going to try some Tylenol.
I’ll post updates as the days go on and I’ll share my test results when I get them, but did anyone have a covid experience that was similar to mine (with no cough)? I’m super curious to see if I could just be an odd case, or if it’s impossible for me to have covid at all? Could this be something else? Please let me know your thoughts and share your experiences if you are willing!❤️
(And sorry if this is hard to read. My mind is very foggy.)</t>
        </is>
      </c>
      <c r="D3779" t="n">
        <v>1</v>
      </c>
      <c r="E3779" t="n">
        <v>14</v>
      </c>
      <c r="F3779">
        <f>HYPERLINK("https://www.reddit.com/r/COVID19positive/comments/hz5ggb/presumed_positive_but_no_cough/")</f>
        <v/>
      </c>
      <c r="G3779" t="inlineStr">
        <is>
          <t>2020-07-27 18:33:27</t>
        </is>
      </c>
      <c r="H3779" t="inlineStr">
        <is>
          <t>Presumed Positive - From Doctor</t>
        </is>
      </c>
    </row>
    <row r="3780">
      <c r="A3780" t="inlineStr">
        <is>
          <t>hz5mli</t>
        </is>
      </c>
      <c r="B3780" t="inlineStr">
        <is>
          <t>Still positive on Day 15. When am I going to be negative ??</t>
        </is>
      </c>
      <c r="C3780" t="inlineStr">
        <is>
          <t>I tested positive on July 13. I went in for a test after 3 days of symptoms which were headache on first day, fever and congestion on second day. By July 14 (day 4) I noticed I lost my sense of taste and smell. I’m slowly getting that back. I would say I’m at 75% now. My symptoms have been super mild with congestion being the only consistent thing. 
I went to get tested on July 25 (day 15) and I’m still positive. My congestion hadn’t gone away completely so I wasn’t too surprised. But I thought after two weeks I’d be clear. My question for others who have recovered is how long did it take to test negative? Am I still contagious if my symptoms haven’t disappeared? I’m on day 17 now. Going to get another test on Sunday (day 22) but I’m worried I’m going to test positive again.</t>
        </is>
      </c>
      <c r="D3780" t="n">
        <v>1</v>
      </c>
      <c r="E3780" t="n">
        <v>4</v>
      </c>
      <c r="F3780">
        <f>HYPERLINK("https://www.reddit.com/r/COVID19positive/comments/hz5mli/still_positive_on_day_15_when_am_i_going_to_be/")</f>
        <v/>
      </c>
      <c r="G3780" t="inlineStr">
        <is>
          <t>2020-07-27 18:44:30</t>
        </is>
      </c>
      <c r="H3780" t="inlineStr">
        <is>
          <t>Tested Positive - Me</t>
        </is>
      </c>
    </row>
    <row r="3781">
      <c r="A3781" t="inlineStr">
        <is>
          <t>hz5n5g</t>
        </is>
      </c>
      <c r="B3781" t="inlineStr">
        <is>
          <t>Intermittent symptoms in teenager (15M)?</t>
        </is>
      </c>
      <c r="C3781" t="inlineStr">
        <is>
          <t>My son and I have tested positive this past week.  My (36F) symptoms are extreme body aches, low grade fever, sore throat, fatigue, shortness of breath, loss of taste/smell, and minor dry cough.  I do feel like I’m improving. 
My son’s symptoms seem to be waxing and waning.  He first got sick last Monday, severe body aches and leg pain, fever, fatigue, headaches, slept for most of the first 72 hours initially.  By the time he tested positive on Thursday he seemed to be on the mend for a day or two. But then he had sudden fatigue on Saturday and slept for over 24 hours.  Today he was up for most of the day and feeling great until he was blindsided by a debilitating headache that still has him out of it. 
I don’t really know what to do for him to help him other than just wait it out, and am not sure if it’s normal for the progression of the virus to start feeling better then feel much worse.  He has a history of asthma and has fortunately not had respiratory symptoms, but I’m watching carefully for any sudden development. Has anybody experienced up and down symptoms like this?</t>
        </is>
      </c>
      <c r="D3781" t="n">
        <v>1</v>
      </c>
      <c r="E3781" t="n">
        <v>5</v>
      </c>
      <c r="F3781">
        <f>HYPERLINK("https://www.reddit.com/r/COVID19positive/comments/hz5n5g/intermittent_symptoms_in_teenager_15m/")</f>
        <v/>
      </c>
      <c r="G3781" t="inlineStr">
        <is>
          <t>2020-07-27 18:45:30</t>
        </is>
      </c>
      <c r="H3781" t="inlineStr">
        <is>
          <t>Tested Positive - Family</t>
        </is>
      </c>
    </row>
    <row r="3782">
      <c r="A3782" t="inlineStr">
        <is>
          <t>hz5tsx</t>
        </is>
      </c>
      <c r="B3782" t="inlineStr">
        <is>
          <t>My entire family has COVID-19 and we live in a small 2 bedroom apartment.</t>
        </is>
      </c>
      <c r="C3782" t="inlineStr">
        <is>
          <t>My dad is 66 yrs old and tested positive on the 23rd of this month and has been in the hospital. He will be there for a whole week. 
I found out I tested positive yesterday and I’ve been in isolation in my bedroom. 
My mom also tested positive and is isolating herself. 
The thing is, we all share the same 1 bathroom and shower. 
Once my dad comes home, he will have an oxygen tank and he’s gonna sleep in the living room because we don’t have enough rooms for all of us to quarantine. 
I have no idea what I’m supposed to do to help our family. Any suggestions? And no, we don’t have any friends or relatives to help us.</t>
        </is>
      </c>
      <c r="D3782" t="n">
        <v>1</v>
      </c>
      <c r="E3782" t="n">
        <v>9</v>
      </c>
      <c r="F3782">
        <f>HYPERLINK("https://www.reddit.com/r/COVID19positive/comments/hz5tsx/my_entire_family_has_covid19_and_we_live_in_a/")</f>
        <v/>
      </c>
      <c r="G3782" t="inlineStr">
        <is>
          <t>2020-07-27 18:57:26</t>
        </is>
      </c>
      <c r="H3782" t="inlineStr">
        <is>
          <t>Tested Positive - Family</t>
        </is>
      </c>
    </row>
    <row r="3783">
      <c r="A3783" t="inlineStr">
        <is>
          <t>hz6gm5</t>
        </is>
      </c>
      <c r="B3783" t="inlineStr">
        <is>
          <t>Finally Covid Free!</t>
        </is>
      </c>
      <c r="C3783" t="inlineStr">
        <is>
          <t>Happy to say that after my dad and I tested positive, we now tested negative. It's such a relief but also scary knowing that we can get it again.
It seems my father was asymptomatic, he never suspected he had covid until I tested positive and then he got tested. I on the other hand did get some symptoms such as:
Headaches
Sore throat
Hot flashes
Loss of Taste/appetite
Dizziness
Lack of energy
I only experienced this for about 2 weeks, I honestly didn't do much to get better. I just did some salt gargles, took some zinc tablets, drank many fluids and that's about it. I'm just glad I didn't get the worst of it for now, but I am afraid on how this could possibly affect my health in the future. 
Hope the rest of you get better!</t>
        </is>
      </c>
      <c r="D3783" t="n">
        <v>1</v>
      </c>
      <c r="E3783" t="n">
        <v>18</v>
      </c>
      <c r="F3783">
        <f>HYPERLINK("https://www.reddit.com/r/COVID19positive/comments/hz6gm5/finally_covid_free/")</f>
        <v/>
      </c>
      <c r="G3783" t="inlineStr">
        <is>
          <t>2020-07-27 19:38:21</t>
        </is>
      </c>
      <c r="H3783" t="inlineStr">
        <is>
          <t>Tested Positive</t>
        </is>
      </c>
    </row>
    <row r="3784">
      <c r="A3784" t="inlineStr">
        <is>
          <t>hz7m3j</t>
        </is>
      </c>
      <c r="B3784" t="inlineStr">
        <is>
          <t>My brother tested positive today for Covid and he's not feeling too well. Can anyone share some relatively unknown tips?</t>
        </is>
      </c>
      <c r="C3784" t="inlineStr">
        <is>
          <t>Hi all, as title might infer, I'm a bit worried. High fever, body aches, extreme fatigue, blood O2 is normal. No medical history, in great shape. Doc prescribed z pack, vitamin c, promethazine. He's drinking green juices with tumeric and ginger etc. Soup.
Any advice would be most helpful.</t>
        </is>
      </c>
      <c r="D3784" t="n">
        <v>1</v>
      </c>
      <c r="E3784" t="n">
        <v>4</v>
      </c>
      <c r="F3784">
        <f>HYPERLINK("https://www.reddit.com/r/COVID19positive/comments/hz7m3j/my_brother_tested_positive_today_for_covid_and/")</f>
        <v/>
      </c>
      <c r="G3784" t="inlineStr">
        <is>
          <t>2020-07-27 20:58:10</t>
        </is>
      </c>
      <c r="H3784" t="inlineStr">
        <is>
          <t>Tested Positive - Family</t>
        </is>
      </c>
    </row>
    <row r="3785">
      <c r="A3785" t="inlineStr">
        <is>
          <t>hz8fvs</t>
        </is>
      </c>
      <c r="B3785" t="inlineStr">
        <is>
          <t>Tested positive for the 2nd time after being healed</t>
        </is>
      </c>
      <c r="C3785" t="inlineStr">
        <is>
          <t>Hello , i am a 20 years old guy from Switzerland, i was tested positive back in mid June , i was about to return to my parents house as i study in another city, before i leave my roommate advised me to take a test just in case so i did , the other day the doctor told me I'm positive. I had a period of panic because i had some breathing allergies when i was a kid but generally I'm used to play sports, my roommate took a test too and she came back positive too , we didn't know who infected the other and we kinda didn't care but later she told me that someone at the company she works in is sick too , they told us to stay home as we didn't have any symptoms after a week i started to feel lazy and i had a terrible headache i told the doc and later i was given hydrochloroquine, the next two nights were awful , i barely could've eat , i even barely could open my eyes , i didn't experience lack of breathing though, and fever jeez , fever was the worst thing , in the day it was normal fever but at the night my head was like the desert in the summer. A tough week past back i was getting better and i choose not go to the hospital , after another week i was still testing positive until the third week that i was tested negative, i was told to stay in the house for another 14 days .... last week i finally visited my parents but the other day i felt that terrible laziness again, i immediately tested again and rented a room to stay away from my parents, yesterday results came in , positive again and my parents tested too but it was negative, so here we go again ....</t>
        </is>
      </c>
      <c r="D3785" t="n">
        <v>1</v>
      </c>
      <c r="E3785" t="n">
        <v>18</v>
      </c>
      <c r="F3785">
        <f>HYPERLINK("https://www.reddit.com/r/COVID19positive/comments/hz8fvs/tested_positive_for_the_2nd_time_after_being/")</f>
        <v/>
      </c>
      <c r="G3785" t="inlineStr">
        <is>
          <t>2020-07-27 21:58:32</t>
        </is>
      </c>
      <c r="H3785" t="inlineStr">
        <is>
          <t>Tested Positive - Me</t>
        </is>
      </c>
    </row>
    <row r="3786">
      <c r="A3786" t="inlineStr">
        <is>
          <t>hz9jr0</t>
        </is>
      </c>
      <c r="B3786" t="inlineStr">
        <is>
          <t>A question for other long haulers</t>
        </is>
      </c>
      <c r="C3786" t="inlineStr">
        <is>
          <t>I am 34 year old previously active and healthy male. I am at day 132 now and without getting to too much detail about my progression peaked at about day 40 where I felt like I might actually die to very slowly getting better and better. Its been very cyclical though as in I always seem to relapse every few days but each relapse is about  1% less severe than the last one.
I am at the point now where my heart palpitation are extremely mild and I have had any SOB for weeks but instead just feel a bit heavy in the chest. As well my hands still fall asleep very easily but that is also slowly improving. I recently was able to start exercising about 2 and a half weeks ago and without getting a major relapse and SOB. 
My question is for those in a similar boat as me. One thing I have noticed is that knees have become very swollen and painful. Seems to a lot of fluid build up and even extends down to my feet at times. I wondering if anyone else is experiencing this?
I have stopped activity before, for example one and a half months when I had infectious mononucleosis but I have never experienced this sort of swelling before.</t>
        </is>
      </c>
      <c r="D3786" t="n">
        <v>1</v>
      </c>
      <c r="E3786" t="n">
        <v>14</v>
      </c>
      <c r="F3786">
        <f>HYPERLINK("https://www.reddit.com/r/COVID19positive/comments/hz9jr0/a_question_for_other_long_haulers/")</f>
        <v/>
      </c>
      <c r="G3786" t="inlineStr">
        <is>
          <t>2020-07-27 23:27:36</t>
        </is>
      </c>
      <c r="H3786" t="inlineStr">
        <is>
          <t>Presumed Positive - From Doctor</t>
        </is>
      </c>
    </row>
    <row r="3787">
      <c r="A3787" t="inlineStr">
        <is>
          <t>hz9tje</t>
        </is>
      </c>
      <c r="B3787" t="inlineStr">
        <is>
          <t>My unusual experience with COVID19. Please get tested even if you are showing no symptoms!</t>
        </is>
      </c>
      <c r="C3787" t="inlineStr">
        <is>
          <t>I got my first test done on 20th May even though I had no symptoms due to an office formality. My results didn't come for i don’t know what reason and I got tested again on the 1st June. The hospital told me I was positive in both the tests which was a huge shock for me since I was absolutely sure I didn’t have it. I think I got it from my work since few of my co-workers were also positive at the same time as me but we were all maintaining very strict rules given by the government. The only symptom which I had was that after a few days of my first test I couldn't smell and taste for about 5 days. I was not convinced I had coronavirus since this was my only symptom. I do still live in my home with my family and I was feeling really worried that I could have transmitted the virus to them all and especially my dad who is a diabetes patient. After I was transferred to a hotel for my quarantine period provided by the government and all my family got their tests done and they were all negative! I am grateful that they were all safe but I was confused as well since I lived in the home for so many days with the virus inside of me. It was a long journey in the hotel I stayed there for about 17 days. After that I was transferred to a field hospital and I was discharged after 5 days when I finally got two of my tests negative. So in total I was in a quarantine period for 22 days.
The thing that I am most grateful for was that I didn't get much of the symptoms and that it wasn’t as scary as I thought it would be. I kind of enjoyed my time in quarantine, it was like a retreat for me. My experience was somewhat unusual for me since my co-workers were all having symptoms like fever,throat pain, chest pain and all but they were negative after a week. Some said I could have a weak immune system but I'm the type of person who gets sick once a year. I was asymptomatic and I could have transmitted to idk how many people if i wasn't so cautious .Please get checked even if you are showing no symptoms! Stay safe and stay home!</t>
        </is>
      </c>
      <c r="D3787" t="n">
        <v>1</v>
      </c>
      <c r="E3787" t="n">
        <v>22</v>
      </c>
      <c r="F3787">
        <f>HYPERLINK("https://www.reddit.com/r/COVID19positive/comments/hz9tje/my_unusual_experience_with_covid19_please_get/")</f>
        <v/>
      </c>
      <c r="G3787" t="inlineStr">
        <is>
          <t>2020-07-27 23:50:26</t>
        </is>
      </c>
      <c r="H3787" t="inlineStr">
        <is>
          <t>Tested Positive</t>
        </is>
      </c>
    </row>
    <row r="3788">
      <c r="A3788" t="inlineStr">
        <is>
          <t>hza9qz</t>
        </is>
      </c>
      <c r="B3788" t="inlineStr">
        <is>
          <t>My dad died yesterday from COVID</t>
        </is>
      </c>
      <c r="C3788" t="inlineStr">
        <is>
          <t>He was 76 years old. He was on dialysis, end stage renal disease, diabetic, high blood pressure, physically disabled, the list went on and on of all these odds stacked against him. 
We (my sisters and I, his caregivers) tried to be careful around him and socially distance even in the home. I was scared of him getting Covid. He was really scared of getting Covid, because I think he knew it would be a fight for his life. 
He threw up phlegm on 7/4 and it didn’t fully register like flu/cold. And to be honest, that evening my mind was preoccupied with my dog panicking over the fireworks (stupid I know). I just got my dad cleaned up. Kept checking on him and my dog. He had a cough, but he’s had a cough for a long time before corona. My sister had talked to the doctor about it. I asked about shortness of breath, because at some point I did wonder about flu symptoms. But he kept denying shortness of breath. He had diarrhea, but i thought it was because he had actually been constipated and he taken laxatives that weekend. 
On 7/6, was “really cold” and I didn’t find out until after he was hospitalized that he was having really bad chills. He was really weak that night and fell at some point. I heard it while I was in the living room. He was so weak. I couldn’t get him up. He had fallen before, but I could usually get him up with his using his strength to help me. This time he couldn’t. It had happened once before too where he was so weak that I had to call someone. My sisters came over and helped pick up and put him in bed for the night. 
On 7/7, in the morning, he lost his balance again and fell. Somebody had to come over to help me get him up because he was still so weak. We got him into bed. My sister who was his caregiver that day came. We thought maybe he was dehydrated and were debating on taking him to the hospital, but he didn’t want to go. We think he was scared of going in, and finding out it was corona and not making it. We called his doctor and a doctor recommended on just getting our dad tested for COVID. My dad began having diarrhea and incontinence. At that point, we were getting more and more concerned. We convinced him to go saying “we don’t think it’s corona. You are probably just dehydrated.” We dropped him off at the emergency room and he was admitted. We really didn’t think it was corona.
7/7, the night he was admitted I was told that he had pneumonia and were still pending his test results. On 7/8, I found out he tested positive for COVID. He got placed in a COVID wing. I don’t remember at what point he got placed on oxygen (probably fro the get go). And as the days continued his oxygen needs just kept going up. Until eventually, he maxed out on the oxygen masks, and needed higher level of oxygen treatments from the ICU. At some point, he was doing a bit better. But then his oxygen needs kept going up. Blood pressure being unstable. Difficulty tolerating dialysis. Until what we feared happened. He needed to go on a ventilator. On 7/15, he was placed on a ventilator. His oxygen needs continued to go up and he was reaching the point of making out the settings on the ventilator. And his blood pressure continued to go all over the map. His heart rate too. And he was still struggling with tolerating dialysis. 
On 7/25, we were told that he was actively dying and they talked to us about the option of transitioning to comfort care, and not resuscitating. It was a really tough decision but we decided to transition to comfort care, change to DNR. We just didn’t know when to have that transition - let him pass. Because we were told that if they removed the ventilator he would probably go quick. On 7/26, yesterday I was informed that he was continuing to worsen and that they expected him to pass in the next 24 hours. We thought about letting him continue to receive life support until his body gave up. But I didn’t want him to die holding a strangers hand. The nurses and medical staff were super compassionate. But I felt he deserved to have our loved ones present, holding space, and bearing witness to his passing. 
I talked to the nurse and agreed we would present at 5pm to spend an hour with him and then transition him to comfort care at 6pm. The days leading up to this felt like a dream and like I wasn’t in my body. Like a nightmare that I wanted to wake up from. Get so much anxiety before 5pm. But my sister and I presented to the hospital. We held his hand, told him we loved him and had our other siblings on a video call. We played music for him. An hour flies so quick. They began his morphine drip. And removed the intubation for the ventilator. 
I was with my mom before she died but she was so heavily sedated that she just went peacefully and we didn’t see any body reactions. 
My dads eyes opened. And sorry to be so descriptive but it shocked me and was difficult to watch. We could see the whites of his eyes, until his eyes moved down and his corneas were visible. He moved his mouth several times but wasn’t gasping for air. The nurse said he wasn’t in pain, but was taking his last breaths. Soon after, his heart stopped. And just like that, he was gone. 
This feels like a nightmare. I know he is resting and no longer in any pain. I know we were lucky to have him as long as we did. He lasted 12 years on dialysis. But it’s still fucking hard losing my old man. And this is like the longest post ever, but I just had to share.</t>
        </is>
      </c>
      <c r="D3788" t="n">
        <v>1</v>
      </c>
      <c r="E3788" t="n">
        <v>102</v>
      </c>
      <c r="F3788">
        <f>HYPERLINK("https://www.reddit.com/r/COVID19positive/comments/hza9qz/my_dad_died_yesterday_from_covid/")</f>
        <v/>
      </c>
      <c r="G3788" t="inlineStr">
        <is>
          <t>2020-07-28 00:28:52</t>
        </is>
      </c>
      <c r="H3788" t="inlineStr">
        <is>
          <t>Tested Positive - Family</t>
        </is>
      </c>
    </row>
    <row r="3789">
      <c r="A3789" t="inlineStr">
        <is>
          <t>hzb3jm</t>
        </is>
      </c>
      <c r="B3789" t="inlineStr">
        <is>
          <t>After potentially infecting me my roommate kicked me out</t>
        </is>
      </c>
      <c r="C3789" t="inlineStr">
        <is>
          <t>I’m your regular college student on break from Zoom university. I haven’t been almost anywhere but essential places since the beginning of covid. I’ve mainly been to work, the dentist, and the pharmacy.I’ll admit I did bend the rules twice to see my professor/ father figure and college best friend. I know those were slip ups in the long run but my mental health was failing and I needed human interaction.  When I met them we wore mask, had no symptoms, and hung out outside. 
Before the shut downs I moved in with my roommate/ extended family member in March. I paid her rent and utilities with no formal contract ( never again). I thought this was going to be a great decision. I got a job in the area and I was closer to school. The neighborhood wasn’t the best and I basically rented the futon in her office. But I was happy. I felt like  I was adulting and making grown up decisions. However I soon realized our personalities were very opposite and her two middle school age children were difficult for me to connect with. They’re very drawn to reality star culture and street culture. I was raised in the suburbs and I’m a huge weed. Also I’m an introvert and they were all extroverts. I dealt with these  difficulties by working harder. 
I began to pick up 40 -45 hours at my job which was considered an essential business. Meanwhile my family on the other hand started summer vacation early.  She began hosting events, bringing men over when her children’s custody visits were in order, and allowing her kids to have friends over or to go to their friends homes. When other people were not over she and the children stayed up till 4am most nights. Our schedules were total opposites. Working was a distraction for me. It became fun for me. Ironically my jobs department was fulfillment and I felt like I was fulfilling orders for those who couldn’t come in store. I felt like I was an everyday hero (corny I know). 
Life stayed stagnant for almost 5 months. Until two weeks ago. My family members went on vacation to LA, The Grand Canyon and Las Vegas. They promised to use ppe the whole trip and said the venues they were going to took extensive measures to limit contact. I didn’t comment much on their trip because my opinion honestly did not matter. My family member had a huge fireworks booth from mid-June to the Fourth of July and had been working her side hustle to save for this trip. She was dead set on making this summer special for her children despite the travel advisories. The two weeks they were gone was the most peaceful weeks I had ever experienced since living there. No loud music, loud sex, or constant noise until 4am. They returned on Thursday. I began to to feel sick Saturday afternoon while at work. I had a dry sore throat (like when you sleep with your mouth closed). I knew something was wrong. I felt fine previous to their return. Paranoia began to set in. Two other employees at my job tested positive 4 weeks before me. I knew they couldn’t of infected me but the thought of covid was in my mind. Sunday morning I started to lose my appetite and knew I needed to go to find a place to get tested. I called out from my job to a very disappointed and reluctant sigh from my boss. I immediately went to the hospital. It may seem extreme but the hospital was the only place giving covid tests on a Sunday. I was tested for strep and covid. The physician told me it would take 24-48 hours to get my covid results. I revived a call I tested negative for strep. I became very nervous at this point and self isolated after returning home. I ordered food took,a shower,  and stayed in my room the rest of the day. 
I awaken Monday morning to a call saying I tested positive for covid 19. I cried. Frantically I called my mom and dad in tears. Scared because I’m 20 years old and was afraid this diagnosis could be my cause of death. My parents said to relax and I probably wouldn’t die from this. Besides being a bit overweight for my height I’m healthy. My mom called my sister who’s a nurse for advice on what to do. In the mean time my parents said to tell my family member about my diagnosis. I was terrified. She is extremely aggressive and tries to pass it off due to her hormones or “Alpha” nature. To be honest she can be verbally abusive. I’ve seen both of her kids breakdown from her comments. I knew she was going to be really upset. I told her I tested positive from covid and took the test yesterday. She became irrational. She began to call me every derogatory word in the book. She began to throw things at me. She threatened to beat me up. She told me I was selfish for not telling her I took a test. She told me to pack my stuff and leave immediately. 
My boss called me in the middle of barrage to give me information on moving forward . But when I answered the phone she accused me of calling the cops. She basically told me it would be worse if I called the police. So told her I’d talk later and quickly hung up. Petrified I called my mom because I was now having a panic attack with a respiratory virus and it became extremely difficult and painful to breath. Barely able understand me she told my sister to come pick me up immediately. I called my dad after calming down a bit and he said he’d call my mom to decide what I should do. In about 45 minutes my sister arrived and we packed up the majority of my things and stuffed it in her car. My family member was still saying sly comments and physically intimidating me while my sister was present. But overall left me alone. She began to lie to my sister and say the date of their return didn’t match up with my infection and that I infected her kids. She said I was selfish and cold hearted and that I put her kids in harms danger. At this point her children had been gone for two days to visit with their friends. We packed up and left. Before leaving she told me to leave the house key. 
My mom called and told me she’d get me two days in a extended stay hotel. After telling my dad he got me 3 more days at the hotel. My sister takes me to the extended stay, got me a late lunch because I hadn’t eaten all day, and went to the grocery store for me. I’m really appreciate of her and hope I didn’t infect her. I’m really appreciate my parents helping me get a hotel because honestly after leaving her house I didn’t know where I’d go.my mom lives 5 hours away, my dad lives in another state, my sisters home life is very hectic. Financially I feel blessed. I have only 2 weeks of expenses I’m my checking account. I would of blown through all my money in under a week paying for a hotel on my own. After being at this hotel for 4 more days I’m not sure what I’ll do. My family not I can afford me staying here my whole quarantine. I don’t really have anywhere else to go. I could return to my mom temporarily but she lives with my centenarian grandfather and grandma. I’m not trying to think that far ahead currently though. Until then I’m resting as much as I can. I think the worst is yet to come. Currently my chest paid and sore throat/cough are getting worse but manageable.
.
TLDR: my roommate/family member kicked me out after testing positive for COVID-19.</t>
        </is>
      </c>
      <c r="D3789" t="n">
        <v>1</v>
      </c>
      <c r="E3789" t="n">
        <v>0</v>
      </c>
      <c r="F3789">
        <f>HYPERLINK("https://www.reddit.com/r/COVID19positive/comments/hzb3jm/after_potentially_infecting_me_my_roommate_kicked/")</f>
        <v/>
      </c>
      <c r="G3789" t="inlineStr">
        <is>
          <t>2020-07-28 01:44:27</t>
        </is>
      </c>
      <c r="H3789" t="inlineStr">
        <is>
          <t>Tested Positive - Me</t>
        </is>
      </c>
    </row>
    <row r="3790">
      <c r="A3790" t="inlineStr">
        <is>
          <t>hzbmam</t>
        </is>
      </c>
      <c r="B3790" t="inlineStr">
        <is>
          <t>Tested positive for Covid again.</t>
        </is>
      </c>
      <c r="C3790" t="inlineStr">
        <is>
          <t>I’m a RN and work in a Detroit area hospital. I tested positive back in April and have since had a few serology tests done which were positive. 
I had to get swabbed to send my child to daycare because of the type of work I do. I was “inconclusive” last month and I swabbed again last week and I’m positive. No symptoms.
3 months after my first infection my hair started falling out. A weeks worth of hair coming out in a day. It’s slowed down but the diameter of my pony tail is dramatically thinner. I’ve seen many posts about hair loss, and no, it’s not stress related. This is different. It’s almost like a neurotoxin. Doctors I work with can’t explain it.
6 more days of quarantine. A lot of Americans are mingling while I decline outdoor parties with staff. I don’t try to risk it since I live in Canada.
Is it possible I was reinfected or is this the dead virus lingering in my nose?</t>
        </is>
      </c>
      <c r="D3790" t="n">
        <v>1</v>
      </c>
      <c r="E3790" t="n">
        <v>11</v>
      </c>
      <c r="F3790">
        <f>HYPERLINK("https://www.reddit.com/r/COVID19positive/comments/hzbmam/tested_positive_for_covid_again/")</f>
        <v/>
      </c>
      <c r="G3790" t="inlineStr">
        <is>
          <t>2020-07-28 02:32:06</t>
        </is>
      </c>
      <c r="H3790" t="inlineStr">
        <is>
          <t>Tested Positive - Me</t>
        </is>
      </c>
    </row>
    <row r="3791">
      <c r="A3791" t="inlineStr">
        <is>
          <t>hzc84e</t>
        </is>
      </c>
      <c r="B3791" t="inlineStr">
        <is>
          <t>most likely positive, waiting for results</t>
        </is>
      </c>
      <c r="C3791" t="inlineStr">
        <is>
          <t>I had a bad fever and extreme pain everywhere, then I got a bad cough but I really didn’t pay much attention to it. I woke up one night and I can’t taste or smell anything. I completely lost it, I didn’t want to believe it. I started drinking milk, then juice, then soda, which I don’t drink anymore because I’ve been avoiding sugar because I’ve been losing weight and was strictly drinking water. I just wanted to taste something. I chugged hot sauce and vinegar. Just to try and taste something and I got nothing. I went to the ER because I was so scared. They told me I most likely have it since I lost my sense of smell and taste. Next day, I took a test and the doctor also said I’m most likely positive but I’m healthy enough to survive it. I’m only a 19 year old male and I’m legit terrified. I hate the idea of sickness and death, I mean who doesn’t? It’s scary. I can’t eat properly and I can’t enjoy the smell of outside. I can’t smell a nice air freshener and tea just feels like spicy water. Everything feels dull and I can’t relax. I live in Florida where these nut bars don’t want to wear masks and be safe. I work at a grocery store where I most likely contracted it because people come in coughing up a storm and being inconsiderate. I just want my smell and taste back. Two days ago, I was enjoying fruits and vegetables. I smelled how nice the rain was on asphalt. Now I feel like I have water in my nose and everything I ate taste like water. Please be safe you guys. This sucks. It really does.</t>
        </is>
      </c>
      <c r="D3791" t="n">
        <v>1</v>
      </c>
      <c r="E3791" t="n">
        <v>5</v>
      </c>
      <c r="F3791">
        <f>HYPERLINK("https://www.reddit.com/r/COVID19positive/comments/hzc84e/most_likely_positive_waiting_for_results/")</f>
        <v/>
      </c>
      <c r="G3791" t="inlineStr">
        <is>
          <t>2020-07-28 03:24:32</t>
        </is>
      </c>
      <c r="H3791" t="inlineStr">
        <is>
          <t>Presumed Positive - From Doctor</t>
        </is>
      </c>
    </row>
    <row r="3792">
      <c r="A3792" t="inlineStr">
        <is>
          <t>hzevve</t>
        </is>
      </c>
      <c r="B3792" t="inlineStr">
        <is>
          <t>Was supposed to get off quarantine tomorrow, but now my fiance tested positive. I'm at my wits end.</t>
        </is>
      </c>
      <c r="C3792" t="inlineStr">
        <is>
          <t>I tested positive two weeks ago. My fiance and I had to rent an efficiency to quarantine since we live with my 75 year old dad who has severe COPD and emphysema. We just couldn't risk being in the house even if I stayed in the bedroom. We were supposed to be going back home tomorrow, but my fiance just got a call this morning that he tested positive. So now we have to find another place to stay for another two weeks as this place isn't available after tomorrow. To top it all off my fiance was supposed to have knee surgery in 5 days. That's been canceled till he has two negative tests. He just had shoulder surgery 6 weeks ago and was supposed to start physical therapy in two days. Everything has been turned upside down. 
We are broke. I don't know how we are gonna swing this for another two weeks. Excuse my French, but fuck Covid. And the assholes who refuse to wear masks.</t>
        </is>
      </c>
      <c r="D3792" t="n">
        <v>1</v>
      </c>
      <c r="E3792" t="n">
        <v>12</v>
      </c>
      <c r="F3792">
        <f>HYPERLINK("https://www.reddit.com/r/COVID19positive/comments/hzevve/was_supposed_to_get_off_quarantine_tomorrow_but/")</f>
        <v/>
      </c>
      <c r="G3792" t="inlineStr">
        <is>
          <t>2020-07-28 06:43:36</t>
        </is>
      </c>
      <c r="H3792" t="inlineStr">
        <is>
          <t>Tested Positive - Family</t>
        </is>
      </c>
    </row>
    <row r="3793">
      <c r="A3793" t="inlineStr">
        <is>
          <t>hzgv4o</t>
        </is>
      </c>
      <c r="B3793" t="inlineStr">
        <is>
          <t>Got Tested Today</t>
        </is>
      </c>
      <c r="C3793" t="inlineStr">
        <is>
          <t>Hey all! Thanks for sharing your stories. I’ve been experiencing mostly respiratory symptoms like fatigue/ exhaustion and short of breathe on everyday tasks. I can’t even shower without seeming like I ran a half marathon. 
I also noticed headaches and light lung pressure with a light cough. Due to this, I got tested today and hoping for the best. I still have fatigue/ muscle aches/ short of breathe but the fluish symptoms have seem to gone away. 
Anyone else have a similar experience? Hopefully my test comes back negative. 
Wishing you all the best!</t>
        </is>
      </c>
      <c r="D3793" t="n">
        <v>1</v>
      </c>
      <c r="E3793" t="n">
        <v>2</v>
      </c>
      <c r="F3793">
        <f>HYPERLINK("https://www.reddit.com/r/COVID19positive/comments/hzgv4o/got_tested_today/")</f>
        <v/>
      </c>
      <c r="G3793" t="inlineStr">
        <is>
          <t>2020-07-28 08:39:05</t>
        </is>
      </c>
      <c r="H3793" t="inlineStr">
        <is>
          <t>Presumed Positive - From Doctor</t>
        </is>
      </c>
    </row>
    <row r="3794">
      <c r="A3794" t="inlineStr">
        <is>
          <t>hzgxt7</t>
        </is>
      </c>
      <c r="B3794" t="inlineStr">
        <is>
          <t>Positive 20-Year-Old F</t>
        </is>
      </c>
      <c r="C3794" t="inlineStr">
        <is>
          <t>I'm an almost-21-year-old-female who recently tested positive for COVID 19. I got tested Thursday I think and got my results back yesterday on Monday. 
I really have no idea how I got it. I work as a dog bather with a few other woman who have not shown any symptoms, I'm mostly in a back room with the dogs and typically don't interact with customers. I've been to the store like one or two times. I've hung out with my boyfriend quite a lot who didn't show any symptoms either. I'm very much an introvert and prefer keeping to myself and being alone and only have a few friends, most of which I haven't really seen.
It started about a week ago, kind of all last weekend I just felt "bleh." Suspected it was COVID when one night I got a massive "band-around-the-head" headache along with intense leg pain. Then my taste and smell went away 100% - it's still not back which is probably my worst symptom. I don't have any sort of respiratory symptoms as of yet - just no taste, smell, headaches, fatigue, body aches, what have you. I genuinely feel like I've been hit by a bus as far as body aches go but understand I'm lucky to have such "minor" symptoms. Definitely isn't as bad as the few times I've had the flu.
Has anyone else experienced intense guilt? I got tested as soon as my symptoms showed up but would hate to have infected anyone at my workplace. Both of my parents are feeling sick which means I probably gave it to them, too. I'm definitely the one who goes out the least in my family so I'd be surprised if I was the "true" first one to get it in the first place. I just feel terrible for bringing this onto other people even though I know it's not my fault. 
I'm just waiting for the day I feel better, or the day my taste / smell finally comes back because that will be beautiful. Also the body aches seem to be getting increasingly more painful. I feel like I just ran a marathon at times, like all of my joints and muscles are exhausted. Anyway, I hope that all of my fellow positives are doing well and I'd love to hear how your journeys are going.</t>
        </is>
      </c>
      <c r="D3794" t="n">
        <v>1</v>
      </c>
      <c r="E3794" t="n">
        <v>2</v>
      </c>
      <c r="F3794">
        <f>HYPERLINK("https://www.reddit.com/r/COVID19positive/comments/hzgxt7/positive_20yearold_f/")</f>
        <v/>
      </c>
      <c r="G3794" t="inlineStr">
        <is>
          <t>2020-07-28 08:43:16</t>
        </is>
      </c>
      <c r="H3794" t="inlineStr">
        <is>
          <t>Tested Positive - Me</t>
        </is>
      </c>
    </row>
    <row r="3795">
      <c r="A3795" t="inlineStr">
        <is>
          <t>hzh2kw</t>
        </is>
      </c>
      <c r="B3795" t="inlineStr">
        <is>
          <t>Long Hauler and Early Covid Patient Appreciation post</t>
        </is>
      </c>
      <c r="C3795" t="inlineStr">
        <is>
          <t>I just want to say that I am incredibly thankful for all of the resources you guys have provided through your experiences. I honestly cannot imagine how difficult and terrifying it must have been going through this around Feb-April, especially with so little known about the virus, its initial effects or even the relapses. The information that you've documented in your experiences has proven invaluable in treating my own illness, managing my mental health, making life decisions and giving me hope. Those of us after you are truly standing on the shoulders of giants. Thank you so much for everything you've done and continue to do. I don't know what I can do to help but if you think of something let me know.</t>
        </is>
      </c>
      <c r="D3795" t="n">
        <v>1</v>
      </c>
      <c r="E3795" t="n">
        <v>8</v>
      </c>
      <c r="F3795">
        <f>HYPERLINK("https://www.reddit.com/r/COVID19positive/comments/hzh2kw/long_hauler_and_early_covid_patient_appreciation/")</f>
        <v/>
      </c>
      <c r="G3795" t="inlineStr">
        <is>
          <t>2020-07-28 08:50:49</t>
        </is>
      </c>
      <c r="H3795" t="inlineStr">
        <is>
          <t>Tested Positive - Me</t>
        </is>
      </c>
    </row>
    <row r="3796">
      <c r="A3796" t="inlineStr">
        <is>
          <t>hzh2xi</t>
        </is>
      </c>
      <c r="B3796" t="inlineStr">
        <is>
          <t>Anyone else have everything taste too sweet?</t>
        </is>
      </c>
      <c r="C3796" t="inlineStr">
        <is>
          <t>Like in a disgusting way. Like water tastes like there's sugar in it. Crackers. Meat. I can take one bite, roll the disgusting too-sweet taste around in my mouth, and then that's it. I eat one bite per meal. Will it always be like this? Will I get my sense of taste back or does it stay like this?
Also, is anyone else here a seizure COVID case? I had three grand mals at the hospital yesterday.</t>
        </is>
      </c>
      <c r="D3796" t="n">
        <v>1</v>
      </c>
      <c r="E3796" t="n">
        <v>5</v>
      </c>
      <c r="F3796">
        <f>HYPERLINK("https://www.reddit.com/r/COVID19positive/comments/hzh2xi/anyone_else_have_everything_taste_too_sweet/")</f>
        <v/>
      </c>
      <c r="G3796" t="inlineStr">
        <is>
          <t>2020-07-28 08:51:22</t>
        </is>
      </c>
      <c r="H3796" t="inlineStr">
        <is>
          <t>Presumed Positive - From Doctor</t>
        </is>
      </c>
    </row>
    <row r="3797">
      <c r="A3797" t="inlineStr">
        <is>
          <t>hzis3f</t>
        </is>
      </c>
      <c r="B3797" t="inlineStr">
        <is>
          <t>Passed COVID19 with flying colors!</t>
        </is>
      </c>
      <c r="C3797" t="inlineStr">
        <is>
          <t>The silly state I live in had a backlog of tens of thousands of tests. I received my results 2 weeks after I tested. 
I was POSITIVE.
I didn't die!
I have asthma, and get pneumonia at least once a year, and I survived!
My illness was very mild. 
Angry bowels, broken sniffer, congested ears, tight chest sometimes, the weirdest bruises, light-headed, 2 days of elevated temp, chills, fatigued upon standing/talking, no appetite, extreme back/ neck pain.
I wasn't coughing, gasping for air or had a fever.
I thought I had bad allergies on top of depressed/stressed since my mom was in the hospital.
I took vitamins C, D, and zinc. As well as a couple Tylenol for the temperature. Along with the occasional Albuterol breathing treatment.
I have not noticed any weird after effects from this virus as of yet.
I'm still trying to crawl out of depression though.
RIP Mom sorry you couldn't make it.</t>
        </is>
      </c>
      <c r="D3797" t="n">
        <v>1</v>
      </c>
      <c r="E3797" t="n">
        <v>41</v>
      </c>
      <c r="F3797">
        <f>HYPERLINK("https://www.reddit.com/r/COVID19positive/comments/hzis3f/passed_covid19_with_flying_colors/")</f>
        <v/>
      </c>
      <c r="G3797" t="inlineStr">
        <is>
          <t>2020-07-28 10:22:18</t>
        </is>
      </c>
      <c r="H3797" t="inlineStr">
        <is>
          <t>Tested Positive</t>
        </is>
      </c>
    </row>
    <row r="3798">
      <c r="A3798" t="inlineStr">
        <is>
          <t>hziual</t>
        </is>
      </c>
      <c r="B3798" t="inlineStr">
        <is>
          <t>Week of daily low grade fevers, negative test?</t>
        </is>
      </c>
      <c r="C3798" t="inlineStr">
        <is>
          <t>Has anyone experienced daily low grade fevers that come on in the afternoon and get higher as the evening goes on (without going over 100) but still received a negative test?</t>
        </is>
      </c>
      <c r="D3798" t="n">
        <v>1</v>
      </c>
      <c r="E3798" t="n">
        <v>18</v>
      </c>
      <c r="F3798">
        <f>HYPERLINK("https://www.reddit.com/r/COVID19positive/comments/hziual/week_of_daily_low_grade_fevers_negative_test/")</f>
        <v/>
      </c>
      <c r="G3798" t="inlineStr">
        <is>
          <t>2020-07-28 10:25:31</t>
        </is>
      </c>
      <c r="H3798" t="inlineStr">
        <is>
          <t>Presumed Positive - From Doctor</t>
        </is>
      </c>
    </row>
    <row r="3799">
      <c r="A3799" t="inlineStr">
        <is>
          <t>hzj8zv</t>
        </is>
      </c>
      <c r="B3799" t="inlineStr">
        <is>
          <t>Fully Recovered (30M) &amp;amp; Terrible Testing PSA</t>
        </is>
      </c>
      <c r="C3799" t="inlineStr">
        <is>
          <t>So I was reluctant to post on here, but after seeing overwhelmingly negative and/or fear mongering posts.....I feel those of us who have recovered should be a little more vocal to give people some hope and perhaps reduce anxiety. 
**Background:** Athletic male around 30 years old. Workout and play sports 5+ times per week. Had a boys trip down to a southern state where we followed all mask/gathering protocols, yet 4 out of 5 tested positive following the trip. All of us are around the same age and somewhat athletic. 2 of the 4 positives had preexisting conditions (1 diabetic and 1 beat cancer at a young age). We have all recovered, with me having experienced the worst symptoms despite being in the best shape of the bunch (maybe some slight bias....). 2 were 100% asymptomatic all the way through. Ironically it was the 2 individuals with preexisting conditions. My day by day breakdown is below. Symptoms began 5-6 days after likely exposure: 
**Day 1 (night):** Out of nowhere get a fever, chills, headache at night. Previously that very day I had completed a heavy track workout, abs, and lifting session with zero issues. It was like 1 minute I was fine and then the next I felt like crap. No gradual onset.
**Day 2:** Horrible night of sleep from night above. Fever when waking up was around 100-101, no higher than when I went to bed. Very sweaty sleep...like when ya have the flu. Felt pretty good a couple hrs after getting up, which was surprising. Dull headache persisted. Temperature was normal rest of day despite not taking any medicine. Then fever came back at night right before bed, along with chills, sweating, fatigue, etc.
**Day 3:** Wake up with fever around 100...ok, time to get a rapid test done. Temp is normal rest of day. Find out test was positive that evening. Had been quarantining as a precaution anyway, obviously. No fever spike at night this time, but I am now pounding Nyquil. Some general fatigue/ slight headache.
**Day 4:** No more fever still. Headache gone, but now have a slight cough. That's new. A little sore in the neck area still, but feel good enough to even get in a light jog outside later in the day. Slept fine. No sweats finally.
**Day 5:** No fever still. No cough. No headache. But now I can't taste a damn thing suddenly...even though I'm not congested. Weird. Sleep fine. Light jog fine.
**Day 6:** Mostly back to normal in terms of body function. Taste and smell 100% gone. Light workout fine. 
**Day 7:** No taste/smell still. Moderate-heavy workout - definitely can feel some discomfort in my lungs. Feels like runners cough (ex. when you run heavy in cold weather and get chest discomfort afterwards) 
**Day 8-10:** Same as day 7. Tune back workouts a bit. At least chest discomfort isn't getting any worse. On day 9 I suddenly woke up with debilitating lower back pain that was shooting down my legs. This was the most concerning 24 hour period for me. Fortunately this was an isolated incident and I've been fine since. 
**Day 11:** Smell maybe 50% back. Had been smelling essential oils for a few days. Taste overall 15%, but highly dependent on type of food. **Get in a heavy workout with no pain and actually set a personal best (for last 3 months) during track workout with no chest issues.** 
**Day 12-14+:** Smell and taste seem to be slowly improving. Taste remains very dependent on type of food. I've read a lot of people saying it takes a couple weeks to get it 100% back. Looks like I'm on a similar trajectory. It's been 8 days since I lost it. 
**Testing PSA: I want people to be aware testing is a complete gong show right now.** I received a call telling me I was positive within 24 hrs of my test. I then received a call 24 hours after that, from the same office, telling me I was NEGATIVE. I was definitely positive....after some back and forth the person on the other end of the phone seemed confused and conceded I was positive. If I would have missed the 1st call and just received the 2nd, I wouldn't have questioned the negative result, especially since I hadn't lost smell/taste at that point. Point being if you are pretty certain you have it, quarantine yourself even if the test comes back negative. Maybe not for the full 14 if minimal or no symptoms, but at least for a few more days in case symptoms develop further. 
Even more concerning, my 80+ grandmother tested POSITIVE. It took 11 days to receive this result, which is unacceptable for a person her age. This was after I had tested positive, but her and I hadn't seen each other in that timeframe. I was skeptical she actually had it after my testing experience and since she displayed 0 symptoms despite being very high risk. We had her tested again: NEGATIVE for covid AND NEGATIVE for antibody. Absolutely ridiculous. 
Somewhat relatedly, I've seen people post on here that are serial testers. Meaning they've gotten tested many times. Unless this is a requirement for your job or you are very high risk, this behavior is SELFISH, PATHETIC, &amp;amp; UNACCEPTABLE. You should be ashamed of yourself. **For example, a relatively healthy 30 year old posted they had been tested NINE times in the past month**. 2 positives and then 7 negatives. That person is a jerk and part of the reason why testing facilities are overwhelmed.  
**TL;DR** \- had covid. first &amp;lt;48 hrs were pretty crappy, but not too bad after that. Would constantly feel fine for hours, then like crap all of a sudden. No gradual onset. Symptoms would just come and go without warning. Fever plateaued at 101. Was following all mask protocols, but admittedly, if you workout a lot or train/play sports you are obviously at increased risk to contract. I suggest reading the **Testing PSA** part above in full. Stay safe all.</t>
        </is>
      </c>
      <c r="D3799" t="n">
        <v>1</v>
      </c>
      <c r="E3799" t="n">
        <v>28</v>
      </c>
      <c r="F3799">
        <f>HYPERLINK("https://www.reddit.com/r/COVID19positive/comments/hzj8zv/fully_recovered_30m_terrible_testing_psa/")</f>
        <v/>
      </c>
      <c r="G3799" t="inlineStr">
        <is>
          <t>2020-07-28 10:47:00</t>
        </is>
      </c>
      <c r="H3799" t="inlineStr">
        <is>
          <t>Tested Positive</t>
        </is>
      </c>
    </row>
    <row r="3800">
      <c r="A3800" t="inlineStr">
        <is>
          <t>hzjh1u</t>
        </is>
      </c>
      <c r="B3800" t="inlineStr">
        <is>
          <t>Has anyone else tested positive but their partner (or other member's of the household) tested negative?</t>
        </is>
      </c>
      <c r="C3800" t="inlineStr">
        <is>
          <t>I'm a bit dumbstruck. I tested early July, but had symptoms a week earlier. My partner was tested and a week later his test came back negative. He has had 0 symptoms despite us being together every day.
I know there's a potential of false negatives, but has anyone else been in this situation?</t>
        </is>
      </c>
      <c r="D3800" t="n">
        <v>1</v>
      </c>
      <c r="E3800" t="n">
        <v>2</v>
      </c>
      <c r="F3800">
        <f>HYPERLINK("https://www.reddit.com/r/COVID19positive/comments/hzjh1u/has_anyone_else_tested_positive_but_their_partner/")</f>
        <v/>
      </c>
      <c r="G3800" t="inlineStr">
        <is>
          <t>2020-07-28 10:58:50</t>
        </is>
      </c>
      <c r="H3800" t="inlineStr">
        <is>
          <t>Tested Positive - Me</t>
        </is>
      </c>
    </row>
    <row r="3801">
      <c r="A3801" t="inlineStr">
        <is>
          <t>hzjzsr</t>
        </is>
      </c>
      <c r="B3801" t="inlineStr">
        <is>
          <t>Mom got admitted to hospital just now... what to expect?</t>
        </is>
      </c>
      <c r="C3801" t="inlineStr">
        <is>
          <t>Incredibly frustrated right now. 
My mom started showing symptoms on 07/18. She battled a fever for 9 straight days. She went in to get checked out a few days ago, and they prescribed her antibiotics and steroids. Those meds seem to be helping, as her fever was under control this morning.
However, her oxygen level was down to 88 this morning. Oxygen was as low as 90 yesterday, but went up to 95 at night. I thought she was in the clear, but here we go again.
She got admitted to the ER just now. I just want to know what to expect from here on out... can’t imagine life without my mom. 
Side note: fuck this virus. Wishing you strangers well.💙</t>
        </is>
      </c>
      <c r="D3801" t="n">
        <v>1</v>
      </c>
      <c r="E3801" t="n">
        <v>12</v>
      </c>
      <c r="F3801">
        <f>HYPERLINK("https://www.reddit.com/r/COVID19positive/comments/hzjzsr/mom_got_admitted_to_hospital_just_now_what_to/")</f>
        <v/>
      </c>
      <c r="G3801" t="inlineStr">
        <is>
          <t>2020-07-28 11:26:01</t>
        </is>
      </c>
      <c r="H3801" t="inlineStr">
        <is>
          <t>Tested Positive - Family</t>
        </is>
      </c>
    </row>
    <row r="3802">
      <c r="A3802" t="inlineStr">
        <is>
          <t>hzkr5c</t>
        </is>
      </c>
      <c r="B3802" t="inlineStr">
        <is>
          <t>Day 60 and symptoms just reappeared.</t>
        </is>
      </c>
      <c r="C3802" t="inlineStr">
        <is>
          <t>I am exactly 60 days from my first symptoms of Covid. Tested positive on day 3, was better by day 14. Two months of feeling relatively fine and BAM!  I have some fatigue and some diarrhea again. I have another test lined up for tomorrow. Feeling really frustrated!!</t>
        </is>
      </c>
      <c r="D3802" t="n">
        <v>1</v>
      </c>
      <c r="E3802" t="n">
        <v>17</v>
      </c>
      <c r="F3802">
        <f>HYPERLINK("https://www.reddit.com/r/COVID19positive/comments/hzkr5c/day_60_and_symptoms_just_reappeared/")</f>
        <v/>
      </c>
      <c r="G3802" t="inlineStr">
        <is>
          <t>2020-07-28 12:05:38</t>
        </is>
      </c>
      <c r="H3802" t="inlineStr">
        <is>
          <t>Tested Positive - Me</t>
        </is>
      </c>
    </row>
    <row r="3803">
      <c r="A3803" t="inlineStr">
        <is>
          <t>hzkyby</t>
        </is>
      </c>
      <c r="B3803" t="inlineStr">
        <is>
          <t>Downstairs neighbor tested positive. Should I worry?</t>
        </is>
      </c>
      <c r="C3803" t="inlineStr">
        <is>
          <t>So my basement has been converted into two apartments. Because we live on a hill, my neighbors can get to their apartments without having to interact with me. I'm worried, though, because we share a laundry room, outdoor trash, and central air. I had brief contact with him early last week outside but my work says that because it was less than 10 minutes, not to worry and to still report to work. 
I've developed a slight sore throat and occasional cough, and when I last took my temperature,  it was 99.5 (I usually run around 97.4)
I'm slightly panicking but I'm also one to overreact so I don't know if I'm just reading into it too much. 
I think I'm going to get tested when I have time but I just dont want to get anyone sick. My demographic at my job is primarily older people. 
Any advice would be appreciated.</t>
        </is>
      </c>
      <c r="D3803" t="n">
        <v>1</v>
      </c>
      <c r="E3803" t="n">
        <v>5</v>
      </c>
      <c r="F3803">
        <f>HYPERLINK("https://www.reddit.com/r/COVID19positive/comments/hzkyby/downstairs_neighbor_tested_positive_should_i_worry/")</f>
        <v/>
      </c>
      <c r="G3803" t="inlineStr">
        <is>
          <t>2020-07-28 12:16:15</t>
        </is>
      </c>
      <c r="H3803" t="inlineStr">
        <is>
          <t>Tested Positive - Friends</t>
        </is>
      </c>
    </row>
    <row r="3804">
      <c r="A3804" t="inlineStr">
        <is>
          <t>hzljxx</t>
        </is>
      </c>
      <c r="B3804" t="inlineStr">
        <is>
          <t>Mom tested positive for Covid. What do?</t>
        </is>
      </c>
      <c r="C3804" t="inlineStr">
        <is>
          <t>[Calgary, Alberta]
Apparently she exhibited mild symptoms (runny nose, mild cough, dry (not sore throat)) and got tested last Friday and it returned positive. 
She isn't really in a bad way; I've seen her look worse from being tired from work. 
I don't fear that I have it. I have severe OCD (yes, I know lol, what a time), my room is on a different floor from hers, I keep my social distance, and of course I make liberal use of soap and hand sanitizer.</t>
        </is>
      </c>
      <c r="D3804" t="n">
        <v>1</v>
      </c>
      <c r="E3804" t="n">
        <v>4</v>
      </c>
      <c r="F3804">
        <f>HYPERLINK("https://www.reddit.com/r/COVID19positive/comments/hzljxx/mom_tested_positive_for_covid_what_do/")</f>
        <v/>
      </c>
      <c r="G3804" t="inlineStr">
        <is>
          <t>2020-07-28 12:47:52</t>
        </is>
      </c>
      <c r="H3804" t="inlineStr">
        <is>
          <t>Tested Positive - Family</t>
        </is>
      </c>
    </row>
    <row r="3805">
      <c r="A3805" t="inlineStr">
        <is>
          <t>hzllmh</t>
        </is>
      </c>
      <c r="B3805" t="inlineStr">
        <is>
          <t>Almost off quarantine, guess I was one the lucky ones (32, male, active)</t>
        </is>
      </c>
      <c r="C3805" t="inlineStr">
        <is>
          <t>I’ve been working every day since the whole pandemic started, wear face mask at work and put hand sanitizer on after touching anything. At work a lot of people were testing positive and thought I’d get tested due to my parents being high risk. 
Few days before I got tested I thought I had a bad sinus infection/sinus pressure, and a bad headache and was tired through out the day. Got my test results on 7/22 and was shocked they were POSITIVE. I have had ZERO symptoms since 7/19, never had a fever/sore throat etc. My parents got tested as well because of my positive test and thier tests just came negative. Been on quarantine since I got tested, and I can finally go back to work on Sunday! 
Myself I’m 32, male, active, don’t smoke and no health issues.</t>
        </is>
      </c>
      <c r="D3805" t="n">
        <v>1</v>
      </c>
      <c r="E3805" t="n">
        <v>3</v>
      </c>
      <c r="F3805">
        <f>HYPERLINK("https://www.reddit.com/r/COVID19positive/comments/hzllmh/almost_off_quarantine_guess_i_was_one_the_lucky/")</f>
        <v/>
      </c>
      <c r="G3805" t="inlineStr">
        <is>
          <t>2020-07-28 12:50:22</t>
        </is>
      </c>
      <c r="H3805" t="inlineStr">
        <is>
          <t>Tested Positive - Me</t>
        </is>
      </c>
    </row>
    <row r="3806">
      <c r="A3806" t="inlineStr">
        <is>
          <t>hzlylq</t>
        </is>
      </c>
      <c r="B3806" t="inlineStr">
        <is>
          <t>Tested negative, pretty sure we only started showing symptoms at the tail end and that's why it won't pick up on a test. Post viral fatigue. Anybody else dealt with similar/heard of similar?</t>
        </is>
      </c>
      <c r="C3806" t="inlineStr">
        <is>
          <t>I have a post already from before describing my symptoms. Basically Wednesday the 15th we both started feeling off, got tested the 18th, tested negative, got tested again the 24th, and tested negative again.
We both had a lot of symptoms that specifically align with coronavirus and don't pertain to anything else. Really bad brain fog, metallic mouth taste, exhaustion, cough, sore throat, headache, muscle soreness. Since a couple of those are so specific to COVID and we live in the epicenter, I'm choosing to believe we had it regardless of our test results.
My theory is that we only started showing symptoms at the tail end of our infection because our immune systems were worn down, and that's why the tests didn't pick it up - because the virus wasn't populated enough in our bodies. Our current symptoms are much better, but we are still dealing with occasional waves of exhaustion and brain fog, especially when we are at all active. So this makes sense for post viral load fatigue.
I am taking the negative tests to mean that we are not contagious, but I still am very confident that we had it. We live in the epicenter. We've been so careful but it's just so easy to catch. It just seems extremely statistically unlikely to me that we could both get some other mystery illness, living in the epicenter, that includes such COVID-specific symptoms.
Has anybody else had a similar circumstance or have any input?</t>
        </is>
      </c>
      <c r="D3806" t="n">
        <v>1</v>
      </c>
      <c r="E3806" t="n">
        <v>2</v>
      </c>
      <c r="F3806">
        <f>HYPERLINK("https://www.reddit.com/r/COVID19positive/comments/hzlylq/tested_negative_pretty_sure_we_only_started/")</f>
        <v/>
      </c>
      <c r="G3806" t="inlineStr">
        <is>
          <t>2020-07-28 13:08:56</t>
        </is>
      </c>
      <c r="H3806" t="inlineStr">
        <is>
          <t>Presumed Positive - From Test</t>
        </is>
      </c>
    </row>
    <row r="3807">
      <c r="A3807" t="inlineStr">
        <is>
          <t>hzm16c</t>
        </is>
      </c>
      <c r="B3807" t="inlineStr">
        <is>
          <t>My wife and I are both in our third wave of severe symptoms since our first onset in March. I don't know if I have the strength to survive this again, and honestly I'm not sure if I want to anymore.</t>
        </is>
      </c>
      <c r="C3807" t="inlineStr">
        <is>
          <t>If this is going to just keep coming in waves like this then I don't know if I want to go on. Every time it flares back up it's like living Hell. The nightmares, the pain, the muscle weakness, the fatigue. Every time I go to bed I feel like I won't wake up again. But of course I do wake up again, all night long, feeling delirious and helpless. The heart goes from pounding to fluttering. Stomach cramps, acid reflux, nausea, sweats, chills, and did I mention pain? And now I'm getting mucus from my chest once again. I had finally gotten past that.
Has anyone else had visual disturbances with this? My wife and I close our eyes and see like kaleidoscopes or bubbling lava, it's hard to focus on things properly, and I can't see very well in my periphery. I'd suspect we were being poisoned but we don't often eat the same foods. I'd suspect Carbon Monoxide but we have a very good detector and it's telling us things are fine.
If I knew that I was going to get better and have a life again then I would not feel so despondent. But if this is how life is going to be from now on, well that's just not living at all. And I had ME/CFS for years before this so I have plenty of experience living with chronic illness and I don't give up easily. But this... this feeling of malaise, of impending doom, of utter helplessness... just typing this post is taking all my strength this morning. Oh, wait, it's 2:00 in the afternoon. It's all just a blur.</t>
        </is>
      </c>
      <c r="D3807" t="n">
        <v>1</v>
      </c>
      <c r="E3807" t="n">
        <v>289</v>
      </c>
      <c r="F3807">
        <f>HYPERLINK("https://www.reddit.com/r/COVID19positive/comments/hzm16c/my_wife_and_i_are_both_in_our_third_wave_of/")</f>
        <v/>
      </c>
      <c r="G3807" t="inlineStr">
        <is>
          <t>2020-07-28 13:12:40</t>
        </is>
      </c>
      <c r="H3807" t="inlineStr">
        <is>
          <t>Presumed Positive - From Doctor</t>
        </is>
      </c>
    </row>
    <row r="3808">
      <c r="A3808" t="inlineStr">
        <is>
          <t>hzmo4o</t>
        </is>
      </c>
      <c r="B3808" t="inlineStr">
        <is>
          <t>Long hauler - ongoing symptoms</t>
        </is>
      </c>
      <c r="C3808" t="inlineStr">
        <is>
          <t>Hi all, day 124 here and still going. 
Lasting symptoms include; strange smelling urine (sorry!), urgent need to pee (but not to pee frequently), SOB that comes and goes (worsens with exertion) and muscle aches around the chest, armpit and neck area, also swollen lymph nodes in the neck that come during relapses and go after (relapsing every 2 weeks really but think each time is less intense).
I've had blood tests which came back ok but just wondering if anyone else has experienced the first 2 symptoms above as they are quite strange! My diet is pretty normal and I'm drinking +2.5L of fluids a day.</t>
        </is>
      </c>
      <c r="D3808" t="n">
        <v>1</v>
      </c>
      <c r="E3808" t="n">
        <v>4</v>
      </c>
      <c r="F3808">
        <f>HYPERLINK("https://www.reddit.com/r/COVID19positive/comments/hzmo4o/long_hauler_ongoing_symptoms/")</f>
        <v/>
      </c>
      <c r="G3808" t="inlineStr">
        <is>
          <t>2020-07-28 13:45:20</t>
        </is>
      </c>
      <c r="H3808" t="inlineStr">
        <is>
          <t>Tested Positive - Me</t>
        </is>
      </c>
    </row>
    <row r="3809">
      <c r="A3809" t="inlineStr">
        <is>
          <t>hzmrgd</t>
        </is>
      </c>
      <c r="B3809" t="inlineStr">
        <is>
          <t>So Im like 💯 positive my boyfriend and i have it. I'm immunocompromised with very bad lung scarring I just need advice from people who have had it. Thanks 👍</t>
        </is>
      </c>
      <c r="C3809" t="inlineStr">
        <is>
          <t>Hello, I'm immunocompromised and my boyfriend and I have been in qurentine since February due to how dangerous this is and well, we live in tourists-ville and they didn't care (still don't) about this virus so we decided for my safety to stay home. We work from home and barely leave the house.. haven't seen friends or family in a very long time either.. so when my boyfriend had to get his tooth pulled due to a bad filling we were both uneasy about it, we live in Orlando, Florida, shits kinda going down here. Tourists are still coming and now they are coming more to residential areas which I haven't seen before now. 🤦🏼‍♀️ I can't leave the house without seeing 20 out of state plates that make me wanna start target practice with some eggs..
We both came down with symptoms about 4 days after the extraction. We have been tested but they told us ten days to come back.
I have really bad lung scarring from chronic long lasting pnemonias as a child. One of my lungs was nearly removed and I get very winded (despite being in great shape) going up stairs or anything before this..  I have several autoimmune diseases as well.
I currently have us both on high dose Flonase as it's a steroid and liquid iv fluids along with other immune boosters for my boyfriend. I'm not sure what else I can do at this point and I'm curious if we are positive what the treatment options are for people like me? I've heard they are putting people on all kinds of things in my bracket earlier rather than later now so I was hoping someone could spread some light on that. 
I completely understand this isn't a Medical advice board or somewhere to get professional advice on this I just wanted to know what everyone else was doing after this point.? I just need someone to talk to that understands what we are facing.
Our symptoms: extremely dizzy, headache, nausea, diarrhea, upset stomach, fevers, chills, body aches, ear and eye pain and fatigue. Just like the flu but very different, today I started to feel a tightness in my chest that lasted more than 20 minutes after going up my stairs. it feels like I just got off the tea cups at Disney for the 5th time after having like 4 beers lol. 
Thanks everyone 💜💜💜
I'm the third person in my family to get it and none of us have seen one another since this started.. we have all been so careful.</t>
        </is>
      </c>
      <c r="D3809" t="n">
        <v>1</v>
      </c>
      <c r="E3809" t="n">
        <v>9</v>
      </c>
      <c r="F3809">
        <f>HYPERLINK("https://www.reddit.com/r/COVID19positive/comments/hzmrgd/so_im_like_positive_my_boyfriend_and_i_have_it_im/")</f>
        <v/>
      </c>
      <c r="G3809" t="inlineStr">
        <is>
          <t>2020-07-28 13:50:13</t>
        </is>
      </c>
      <c r="H3809" t="inlineStr">
        <is>
          <t>Presumed Positive - From Doctor</t>
        </is>
      </c>
    </row>
    <row r="3810">
      <c r="A3810" t="inlineStr">
        <is>
          <t>hznruj</t>
        </is>
      </c>
      <c r="B3810" t="inlineStr">
        <is>
          <t>Headaches and dizzy</t>
        </is>
      </c>
      <c r="C3810" t="inlineStr">
        <is>
          <t>A few weeks ago I lost my taste and smell, had dizziness, headache and fatigue.  
I then since have most of my taste and smell back.  But I am still getting dizzy at some points during the day.  As well headaches that will just go to different parts of my head randomly, I also will get a little nauseated.   Is this cause of concern ? or is it just part of the process ?</t>
        </is>
      </c>
      <c r="D3810" t="n">
        <v>1</v>
      </c>
      <c r="E3810" t="n">
        <v>4</v>
      </c>
      <c r="F3810">
        <f>HYPERLINK("https://www.reddit.com/r/COVID19positive/comments/hznruj/headaches_and_dizzy/")</f>
        <v/>
      </c>
      <c r="G3810" t="inlineStr">
        <is>
          <t>2020-07-28 14:44:33</t>
        </is>
      </c>
      <c r="H3810" t="inlineStr">
        <is>
          <t>Presumed Positive - From Doctor</t>
        </is>
      </c>
    </row>
    <row r="3811">
      <c r="A3811" t="inlineStr">
        <is>
          <t>hzor4t</t>
        </is>
      </c>
      <c r="B3811" t="inlineStr">
        <is>
          <t>Long haulers, be careful on your Vitamin Intake</t>
        </is>
      </c>
      <c r="C3811" t="inlineStr">
        <is>
          <t>Just a PSA to be careful on taking your vitamins. As desperate as we are on finding a cure, you could cause damage like me.
I’ve been haulin this long since April. Desperate to find answers and get my life back, I started taking extra vitamin D in May.
Aside from my Centrum Multivitamin 1000 IU of vitamin D, I took extra 2000 IU of vitamin D everyday to keep under 4000 IU daily limit. 
I stopped taking it in June cuz it was giving me these nightly fevers/chills and I recently got a blood test for general checkup to find my calcium levels were elevated, a sign of vitamin D toxicity, that’s great. Vitamin D is fat soluble so it lasts in your system a while so I’m definitely taking it easy, sticking to multivitamin.
But still a word of caution to take it easy out there on the vitamins.
On the downside I’m still having relapses so ruling that out. Someone mentioned an overactive immune system so I removed dairy and processed foods and excess carbs from my diet. No more fast foods, salad with every meal. In a week Once I’m back home, I’m switching to a full Paleo diet so will report back in a month. Hope everyone is safe</t>
        </is>
      </c>
      <c r="D3811" t="n">
        <v>1</v>
      </c>
      <c r="E3811" t="n">
        <v>8</v>
      </c>
      <c r="F3811">
        <f>HYPERLINK("https://www.reddit.com/r/COVID19positive/comments/hzor4t/long_haulers_be_careful_on_your_vitamin_intake/")</f>
        <v/>
      </c>
      <c r="G3811" t="inlineStr">
        <is>
          <t>2020-07-28 15:39:41</t>
        </is>
      </c>
      <c r="H3811" t="inlineStr">
        <is>
          <t>Presumed Positive - From Doctor</t>
        </is>
      </c>
    </row>
    <row r="3812">
      <c r="A3812" t="inlineStr">
        <is>
          <t>hzoxlu</t>
        </is>
      </c>
      <c r="B3812" t="inlineStr">
        <is>
          <t>Test result of test not performed</t>
        </is>
      </c>
      <c r="C3812" t="inlineStr">
        <is>
          <t>I have a disgusting metallic taste in my mouth that isn't going away, along with a weak sense of smell now. I got tested at a CVS but got a result of TNP-Test not performed. This makes me so frustrated as I was anxiously awaiting results. Does anyone have experience with this? I tried to call the pharmacy where I got tested and they were no help.</t>
        </is>
      </c>
      <c r="D3812" t="n">
        <v>1</v>
      </c>
      <c r="E3812" t="n">
        <v>6</v>
      </c>
      <c r="F3812">
        <f>HYPERLINK("https://www.reddit.com/r/COVID19positive/comments/hzoxlu/test_result_of_test_not_performed/")</f>
        <v/>
      </c>
      <c r="G3812" t="inlineStr">
        <is>
          <t>2020-07-28 15:50:21</t>
        </is>
      </c>
      <c r="H3812" t="inlineStr">
        <is>
          <t>Presumed Positive - From Doctor</t>
        </is>
      </c>
    </row>
    <row r="3813">
      <c r="A3813" t="inlineStr">
        <is>
          <t>hzoz64</t>
        </is>
      </c>
      <c r="B3813" t="inlineStr">
        <is>
          <t>Help! I am so frustrated!</t>
        </is>
      </c>
      <c r="C3813" t="inlineStr">
        <is>
          <t>So i have been having symptoms since monday 7/20. The worse part if this fever that i cant fully get rid of. Has anyone had this? What helps? 
When the fever goes down i start sweating.
Sunday- headache
Monday 7/20- sneezing, winded at times.
Tues 7/21- body aches, sneezing, sore throat (like nasal drainage), cold but no fever, winded at times.
Wed 7/22 light headed, chills, temperature of 99.5, winded, sore thoat, stuffy nose. Juggling between feeling fine and feeling sick. Headache, body aches. 
Thur 7/23
Morning woke up with body aches, sore throat, hot red face, stuffy. Can't smell much. Got scence of smell back. 
Afternoon Felt better thoughout the night. A bit of insomnia.
Friday 7/24
Morning woke up feeling better than previous mornings. Really tired, back ache in the afternoon, loss scence of smell around 6pm. 
Sat 7/25
Positive for Covid. Woke up with phlegm. Back pain (right side) that goes down to butt cheek. Tylenol and heating pads help take the pain away.
Felt better overall. Completely lost sense of smell or taste.
Sun 7/26
Slept well. Woke up with pain right side. Tylenol heating pad help. Noon headache and side pain again. A little nauseous. 
Fever around 1pm from 99.9-101.3
Mon 7/27
Fever all throughout the night. Chills them sweats. No appetite. Body aches all over. Elevated heart rate due to fever. Fever went up to 102. Fever broke 8pm. 
Tues 7/28
Woke up at 3am with 102 temperature. Fever went down to 99 by 4am and started sweating. Woke up at 10am nauseous. Threw up felt like i couldn't stop throwing up. Threw up biles.
Loss of appetite. Fever on and off up to 101.5. Upset stomach, nausea.</t>
        </is>
      </c>
      <c r="D3813" t="n">
        <v>1</v>
      </c>
      <c r="E3813" t="n">
        <v>7</v>
      </c>
      <c r="F3813">
        <f>HYPERLINK("https://www.reddit.com/r/COVID19positive/comments/hzoz64/help_i_am_so_frustrated/")</f>
        <v/>
      </c>
      <c r="G3813" t="inlineStr">
        <is>
          <t>2020-07-28 15:52:55</t>
        </is>
      </c>
      <c r="H3813" t="inlineStr">
        <is>
          <t>Tested Positive - Me</t>
        </is>
      </c>
    </row>
    <row r="3814">
      <c r="A3814" t="inlineStr">
        <is>
          <t>hzp4tk</t>
        </is>
      </c>
      <c r="B3814" t="inlineStr">
        <is>
          <t>Tested negative twice but all symptoms point to Covid</t>
        </is>
      </c>
      <c r="C3814" t="inlineStr">
        <is>
          <t>Has anyone else experienced this? I have all the tell tale symptoms. I got tested last week (7/21) the day after starting to have a low grade fever (99.5ish) and it came back negative. Got retested yesterday bc I still have an ongoing fever, plus chest tightness, sore throat, gi issues, and general fatigue, that all seems to come in waves. I was negative again, I can’t really think of anything else that goes around this time of year that would cause symptoms like this, any help would be appreciated!!</t>
        </is>
      </c>
      <c r="D3814" t="n">
        <v>1</v>
      </c>
      <c r="E3814" t="n">
        <v>10</v>
      </c>
      <c r="F3814">
        <f>HYPERLINK("https://www.reddit.com/r/COVID19positive/comments/hzp4tk/tested_negative_twice_but_all_symptoms_point_to/")</f>
        <v/>
      </c>
      <c r="G3814" t="inlineStr">
        <is>
          <t>2020-07-28 16:02:10</t>
        </is>
      </c>
      <c r="H3814" t="inlineStr">
        <is>
          <t>Presumed Positive - From Doctor</t>
        </is>
      </c>
    </row>
    <row r="3815">
      <c r="A3815" t="inlineStr">
        <is>
          <t>hzq28k</t>
        </is>
      </c>
      <c r="B3815" t="inlineStr">
        <is>
          <t>My time with COVID-19</t>
        </is>
      </c>
      <c r="C3815" t="inlineStr">
        <is>
          <t>On June 27, I was tested for Covid after feeling sick. My joints were achey, low to no fever, eyes burned, was very lethargic and tired (slept 18 hours straight), had diarrhea, and over all felt shitty. I have been quarantined since 6/26. 
My symptoms lasted for about 5-6 days, where I felt normal on 7/1/2020.
I’ve tested on:
6/27: positive
7/11: positive
7/17: negative
7/20: positive
7/28: waiting for results
I’m bored at home. I have taken the time to organize my life - you know, going through old paper work and getting rid of crap and clutter in the house - and have found interest in creating video content for YouTube. Throughout all of this, my girlfriend who lives with me tests negative for each time I test. She must have had Covid earlier in the year. She has antibodies.
I really miss going into work. I miss my family. I miss a lot of the night life here in Vegas. When Vegas “opened” back up in Phase 2, this reopening made me feel a little better, knowing that life was going to take a lot of adjusting here and everywhere else. But going out when places reopened is really what messed me up. I took precautions and wore my mask. Made the mistake of going to a bar which I performed at with my band. The three of us caught it.
I’m keeping sane by writing music, playing video games, and learning knew things that interest me and that are offered for free on Coursera. I find myself to be very lucky for not having the extreme symptoms like many have experienced. I hope the best to all of you. I’m sorry if you’re experiencing horrible symptoms, mentally/physically. I don’t wish any of this on anyone. It sucks.</t>
        </is>
      </c>
      <c r="D3815" t="n">
        <v>1</v>
      </c>
      <c r="E3815" t="n">
        <v>4</v>
      </c>
      <c r="F3815">
        <f>HYPERLINK("https://www.reddit.com/r/COVID19positive/comments/hzq28k/my_time_with_covid19/")</f>
        <v/>
      </c>
      <c r="G3815" t="inlineStr">
        <is>
          <t>2020-07-28 16:58:50</t>
        </is>
      </c>
      <c r="H3815" t="inlineStr">
        <is>
          <t>Tested Positive</t>
        </is>
      </c>
    </row>
    <row r="3816">
      <c r="A3816" t="inlineStr">
        <is>
          <t>hzqe92</t>
        </is>
      </c>
      <c r="B3816" t="inlineStr">
        <is>
          <t>Ear/Sinus Pressure</t>
        </is>
      </c>
      <c r="C3816" t="inlineStr">
        <is>
          <t>I tested positive over 2 weeks ago and experienced moderate symptoms for about 6 days. I felt about 95% back to normal for the following 10 days, but over the past few days, I have experienced extreme pressure in my sinuses and ears. It is not painful, but very uncomfortable. 
Has anyone else experienced anything like this? It feels like I’m experiencing high altitude pressure in my head and need to “pop” my ears constantly. 
I’m going to try to see a doctor tomorrow to see if antibiotics will be necessary 🤞🏼</t>
        </is>
      </c>
      <c r="D3816" t="n">
        <v>1</v>
      </c>
      <c r="E3816" t="n">
        <v>6</v>
      </c>
      <c r="F3816">
        <f>HYPERLINK("https://www.reddit.com/r/COVID19positive/comments/hzqe92/earsinus_pressure/")</f>
        <v/>
      </c>
      <c r="G3816" t="inlineStr">
        <is>
          <t>2020-07-28 17:19:35</t>
        </is>
      </c>
      <c r="H3816" t="inlineStr">
        <is>
          <t>Tested Positive - Me</t>
        </is>
      </c>
    </row>
    <row r="3817">
      <c r="A3817" t="inlineStr">
        <is>
          <t>hzrgwf</t>
        </is>
      </c>
      <c r="B3817" t="inlineStr">
        <is>
          <t>Can't figure out how I caught it</t>
        </is>
      </c>
      <c r="C3817" t="inlineStr">
        <is>
          <t xml:space="preserve"> 
Since this whole thing started, back in March, I have been careful.  Not perfect, but  very careful. That hasn't been all that hard for me, since I live alone, work from home mostly or otherwise by myself, and prefer to just stay home with my dogs, even without a pandemic.  The main social contact I have is with my parents.  They are in their mid and late seventies, are lifelong smokers, and have COPD and heart disease.  I am 51 years old , slim/average build, ideal to low-ish  blood pressure, and a lifetime non smoker .  I had some weird GI stuff pop up last year, but never got a definitive diagnosis, and otherwise consider myself healthy.  I never really thought I was high risk for Covid,  but wanted to do all I could to not get it so as to not pass it off to my parents.  Anyone that knows me would say that I am the last person they would ever think would get Covid, yet here I am. 
So I tested positive earlier this month and being someone that likes to know WHY/HOW things happen, it's been driving me crazy not being able to identify the source of my exposure.  There are only 3 options in the 2 week window and they all seem sort of unlikely when examined individually.
1.  13 days prior to first symptom:   attended outdoor social event with 11 friends/acquaintances.  I and one other wore  a mask but the rest did not. Breezy evening.  We were seated at tables, so distance mouth to mouth was probably more like 3 '.  I didn't even want to go, but my mom, who worries that I live like a recluse, encouraged me to go since I hadn't seen anyone since February.  The fact that it was 13 days before my first symptom is what makes it unlikely based on most of the accounts I have read.  Also, I know of no one that attended that was ill at the time, or became ill soon after.  Though of course it's possible someone was asymptomatic or just kept quiet about it if they did get sick soon after.
2.  6-8 days prior to first symptom:   Was at my parents doing some painting  for them. None of us wearing masks.  I was mostly off in one room by myself, but did cross paths with them in their kitchen, and my dad came into the room once or twice as I was painting.  Additionally, I  saw my mom in their home 2 days before  my first symptom, but briefly and  not very close. Neither parent had felt ill , and neither got sick after I developed symptoms.  Can two high risk elderly people be asymptomatic  carrriers and have passed it on to me?  That would be sort of ironic I guess.
3.  Grocery store.  I was at the grocery store 9 and 2 days prior to my symptoms.  I have worn a mask and practiced good hand hygiene in every store I've been to since late March, though I did stop disinfecting all the groceries once home.   At around the time I got sick, masks in stores here by customers was about 50%. 
So I don't know how I caught it but I am shocked that it was so easy.  My case was mild - the monster headache  at the beginning was physically the worst of it for me , but the anxiety of waiting 14 days to see if I had infected my parents was by far the very worst. And the anxiety of waiting for the respiratory stuff to really kick in, which luckily never did.  I am feeling fine now and hope to never have any more issues.   But the whole thing has left me even more worried for my parents than ever..  They have a much harder time than I do of socially isolating.  They have many friends that are just going about their social lives much as they did before Covid , even knowing about me.  In just the last few weeks, the county has gone to a mask ordinance but who knows how long that will last.  I just don't trust anything as being safe anymore. ...not outdoors, not "less than 15" minutes of close contact...nothing.  
&amp;amp;#x200B;
For those interested, here is my timeline of symptoms:   
day 1  mild sore throat,  slight general malaise feeling like the early onset of a "cold".  No fever.
day 2   strong headache, chills, aches, and fever set in at night
day 3  strong  headache, chills, aches,  fever,  complete loss of smell (diminished sense of taste)
day 4  same + feeling a little winded when getting up from nap
day 5   headache, fever.  Woke up from nap with hands feeling hot, palms of hands were red.
day 6   fever, winded, hot hands, very slight nausea
day 7  Covid test.  fever.  diarreah (1x), winded
day 8  lower grade fever.  Hint of sense of smell returning
day 9  no fever.  headache.  
day 10  no fever.  Woke up with very itchy soles of feet.  Noticed splotchy rash on tops and sides of feet, and later noticed rash on torso and insides of legs/arms.  Took Benedryl , rash went away.  Hot hands and red palms again.  Sense of smell much improved.
day 11 no symptoms, other than feeling breathing is slightly shallower than normal
day 12 same.  Positive test results.  
No real symptoms after that  beyond feeling a little tired in the afternoon and an occasional mild headache.  
&amp;amp;#x200B;
a couple Misc. weird things I experienced a few times each over several days:
Jerking/twitching that happened when lying down-similar to what happens when you are drifting off to sleep but suddenly come awake. Only I felt I was wide awake when this happened, and it happened probably 6 times.  Since learned it's called "hypnic jerk".
An odd sensation of my the surface of my eyes feeling dry or like they had air blowing across them.  (day 7, 9)
A painful inward tugging sensation of my belly button. (I suspect that is not related to Covid )
I only coughed about 6 times.  one small fit after laughing, and another when my dog leaned against my right side in the bed.  So, virtually no cough as a symptom overall.
I also don't think I was that fatigued.  I slept a lot in the beginning because I was laying down a lot and trying to escape the headache.  Later I started forcing myself to walk around the house more and sit up and read etc.</t>
        </is>
      </c>
      <c r="D3817" t="n">
        <v>1</v>
      </c>
      <c r="E3817" t="n">
        <v>51</v>
      </c>
      <c r="F3817">
        <f>HYPERLINK("https://www.reddit.com/r/COVID19positive/comments/hzrgwf/cant_figure_out_how_i_caught_it/")</f>
        <v/>
      </c>
      <c r="G3817" t="inlineStr">
        <is>
          <t>2020-07-28 18:27:50</t>
        </is>
      </c>
      <c r="H3817" t="inlineStr">
        <is>
          <t>Tested Positive - Me</t>
        </is>
      </c>
    </row>
    <row r="3818">
      <c r="A3818" t="inlineStr">
        <is>
          <t>hzrw6d</t>
        </is>
      </c>
      <c r="B3818" t="inlineStr">
        <is>
          <t>My father tested positive and I saw him yesterday</t>
        </is>
      </c>
      <c r="C3818" t="inlineStr">
        <is>
          <t>My dad, who doesn’t live with my family, just tested positive and I’m scared. He’s immunocompromised and I saw him yesterday. While he was outside and I was in my truck he did hand me gas money and grab my shoulder, neither of us were wearing masks. I don’t know how likely I am to contract the virus from this encounter I had with him as it wasn’t long, but I’m worried about his well being and my own as I am also immunocompromised. I’m genuinely horrified that I might be the reason the rest of my family, my friends, and others may have contradicted it from me.</t>
        </is>
      </c>
      <c r="D3818" t="n">
        <v>1</v>
      </c>
      <c r="E3818" t="n">
        <v>3</v>
      </c>
      <c r="F3818">
        <f>HYPERLINK("https://www.reddit.com/r/COVID19positive/comments/hzrw6d/my_father_tested_positive_and_i_saw_him_yesterday/")</f>
        <v/>
      </c>
      <c r="G3818" t="inlineStr">
        <is>
          <t>2020-07-28 18:55:48</t>
        </is>
      </c>
      <c r="H3818" t="inlineStr">
        <is>
          <t>Tested Positive - Family</t>
        </is>
      </c>
    </row>
    <row r="3819">
      <c r="A3819" t="inlineStr">
        <is>
          <t>hzs4hv</t>
        </is>
      </c>
      <c r="B3819" t="inlineStr">
        <is>
          <t>Memorable one liners from my Neurologist appointment</t>
        </is>
      </c>
      <c r="C3819" t="inlineStr">
        <is>
          <t>**"\[In an undermining tone\] You're too young to have been that sick"** \[Um, me being here objectively telling you about my experience is proof that I was indeed that ill;" I'm actually purposefully downplaying my symptoms.\]  
**"\[::Looking skeptically at me::\] If you were that sick, you should have gotten tested"** \[The only outpatient tests available at that point in time, mid-March, were for people 65+; I didn't qualify at all\] 
**"You should get an antibody test to confirm you had it. If your antibody test is negative then you probably didn't have it."** \[I can write a book on all of the things wrong with this. How the test isn't specific to COVID-19, isn't likely to be positive almost 5 months later, false negatives, etc. Went right over the doctors head, didn't register at all. Scary stuff.\]
&amp;amp;#x200B;
Btw I only made this appointment to get generally looked at, I knew this person wouldn't have any answers for me. I was just trying to generally understand the visual hallucinations, why I've lost large chunks of my memory, etc.</t>
        </is>
      </c>
      <c r="D3819" t="n">
        <v>1</v>
      </c>
      <c r="E3819" t="n">
        <v>31</v>
      </c>
      <c r="F3819">
        <f>HYPERLINK("https://www.reddit.com/r/COVID19positive/comments/hzs4hv/memorable_one_liners_from_my_neurologist/")</f>
        <v/>
      </c>
      <c r="G3819" t="inlineStr">
        <is>
          <t>2020-07-28 19:11:01</t>
        </is>
      </c>
      <c r="H3819" t="inlineStr">
        <is>
          <t>Presumed Positive - From Doctor</t>
        </is>
      </c>
    </row>
    <row r="3820">
      <c r="A3820" t="inlineStr">
        <is>
          <t>hzshdq</t>
        </is>
      </c>
      <c r="B3820" t="inlineStr">
        <is>
          <t>Confusion</t>
        </is>
      </c>
      <c r="C3820" t="inlineStr">
        <is>
          <t>Was wondering what everyone’s confusion felt like with covid? Mine was a euphoric feeling and thoughts.. anyone have something similar ?</t>
        </is>
      </c>
      <c r="D3820" t="n">
        <v>1</v>
      </c>
      <c r="E3820" t="n">
        <v>2</v>
      </c>
      <c r="F3820">
        <f>HYPERLINK("https://www.reddit.com/r/COVID19positive/comments/hzshdq/confusion/")</f>
        <v/>
      </c>
      <c r="G3820" t="inlineStr">
        <is>
          <t>2020-07-28 19:34:35</t>
        </is>
      </c>
      <c r="H3820" t="inlineStr">
        <is>
          <t>Tested Positive</t>
        </is>
      </c>
    </row>
    <row r="3821">
      <c r="A3821" t="inlineStr">
        <is>
          <t>hzsuba</t>
        </is>
      </c>
      <c r="B3821" t="inlineStr">
        <is>
          <t>Need Help</t>
        </is>
      </c>
      <c r="C3821" t="inlineStr">
        <is>
          <t>So June 19 tested with symptoms June 21 results positive swab PCR
Today tested antibodies negative Any feedback ???</t>
        </is>
      </c>
      <c r="D3821" t="n">
        <v>1</v>
      </c>
      <c r="E3821" t="n">
        <v>6</v>
      </c>
      <c r="F3821">
        <f>HYPERLINK("https://www.reddit.com/r/COVID19positive/comments/hzsuba/need_help/")</f>
        <v/>
      </c>
      <c r="G3821" t="inlineStr">
        <is>
          <t>2020-07-28 19:58:04</t>
        </is>
      </c>
      <c r="H3821" t="inlineStr">
        <is>
          <t>Tested Positive - Me</t>
        </is>
      </c>
    </row>
    <row r="3822">
      <c r="A3822" t="inlineStr">
        <is>
          <t>hzt1ir</t>
        </is>
      </c>
      <c r="B3822" t="inlineStr">
        <is>
          <t>Any similar long term annoyances</t>
        </is>
      </c>
      <c r="C3822" t="inlineStr">
        <is>
          <t>I’ve been negative since April and feel great overall but I have had nasal congestion well over 2 months no meds help it I’ve actually just gotten used to it but I started exercising again June  1st and most days feel fine but about once or twice a week I feel like I can’t take deep breaths and have almost panic attacks I’m just curious if anyone’s having similar issues</t>
        </is>
      </c>
      <c r="D3822" t="n">
        <v>1</v>
      </c>
      <c r="E3822" t="n">
        <v>4</v>
      </c>
      <c r="F3822">
        <f>HYPERLINK("https://www.reddit.com/r/COVID19positive/comments/hzt1ir/any_similar_long_term_annoyances/")</f>
        <v/>
      </c>
      <c r="G3822" t="inlineStr">
        <is>
          <t>2020-07-28 20:11:15</t>
        </is>
      </c>
      <c r="H3822" t="inlineStr">
        <is>
          <t>Tested Positive</t>
        </is>
      </c>
    </row>
    <row r="3823">
      <c r="A3823" t="inlineStr">
        <is>
          <t>hztgcq</t>
        </is>
      </c>
      <c r="B3823" t="inlineStr">
        <is>
          <t>Feeling of phlegm stuck in throat</t>
        </is>
      </c>
      <c r="C3823" t="inlineStr">
        <is>
          <t>My only symptoms before were sore throat, a one day fever, loss of sense of taste and smell. i never had cough or phlegm now on my 18th suddenly i have a feeling of it stuck in my throat. anyone experience the same and should I be worried?</t>
        </is>
      </c>
      <c r="D3823" t="n">
        <v>1</v>
      </c>
      <c r="E3823" t="n">
        <v>6</v>
      </c>
      <c r="F3823">
        <f>HYPERLINK("https://www.reddit.com/r/COVID19positive/comments/hztgcq/feeling_of_phlegm_stuck_in_throat/")</f>
        <v/>
      </c>
      <c r="G3823" t="inlineStr">
        <is>
          <t>2020-07-28 20:39:32</t>
        </is>
      </c>
      <c r="H3823" t="inlineStr">
        <is>
          <t>Tested Positive - Me</t>
        </is>
      </c>
    </row>
    <row r="3824">
      <c r="A3824" t="inlineStr">
        <is>
          <t>hztrh3</t>
        </is>
      </c>
      <c r="B3824" t="inlineStr">
        <is>
          <t>Unsure of what to do</t>
        </is>
      </c>
      <c r="C3824" t="inlineStr">
        <is>
          <t>Hello everyone,
My family had planned a family reunion, I didn’t attend based on what’s going on right now, but a majority of my family went. When they returned, everything was fine, however now one of my cousins has tested positive. She only started feeling chills and a fever this last Saturday. She also started working with Covid patients after my family had left. It looks as though she might’ve caught it while working at the hospital, but now we’re not sure if she may have had it while she was at the reunion. 
My family isn’t sure if we should self quarantine. None of us are displaying symptoms as of yet. It’s only been a week since my family last saw my cousin. 
Should we be self quarantining right now? We’re very nervous of what to do</t>
        </is>
      </c>
      <c r="D3824" t="n">
        <v>1</v>
      </c>
      <c r="E3824" t="n">
        <v>3</v>
      </c>
      <c r="F3824">
        <f>HYPERLINK("https://www.reddit.com/r/COVID19positive/comments/hztrh3/unsure_of_what_to_do/")</f>
        <v/>
      </c>
      <c r="G3824" t="inlineStr">
        <is>
          <t>2020-07-28 21:01:39</t>
        </is>
      </c>
      <c r="H3824" t="inlineStr">
        <is>
          <t>Tested Positive - Family</t>
        </is>
      </c>
    </row>
    <row r="3825">
      <c r="A3825" t="inlineStr">
        <is>
          <t>hzud84</t>
        </is>
      </c>
      <c r="B3825" t="inlineStr">
        <is>
          <t>Tested positive again?</t>
        </is>
      </c>
      <c r="C3825" t="inlineStr">
        <is>
          <t>Sorry for posting too much ): I have a toddler I need to take care of, I feel like I need to test negative in order to be around my child bc im so scared. I tested positive July 6th after being exposed June 28. I retested the 14th and tested positive again. My doctor said I’m not longer contagious though especially when I stopped showing symptoms and I don’t know what to believe anymore as people say not to come out until I test negative twice. I trusted my doctor and went to see some family. But now I’m so afraid. He even said I’d still come out positive but many people test negative after a week. What do I believe? I’m stressing out and I’ve lost 10 pounds due to my this whole thing. I’m 107 pounds again and feel super unhealthy now.</t>
        </is>
      </c>
      <c r="D3825" t="n">
        <v>1</v>
      </c>
      <c r="E3825" t="n">
        <v>6</v>
      </c>
      <c r="F3825">
        <f>HYPERLINK("https://www.reddit.com/r/COVID19positive/comments/hzud84/tested_positive_again/")</f>
        <v/>
      </c>
      <c r="G3825" t="inlineStr">
        <is>
          <t>2020-07-28 21:44:52</t>
        </is>
      </c>
      <c r="H3825" t="inlineStr">
        <is>
          <t>Tested Positive - Me</t>
        </is>
      </c>
    </row>
    <row r="3826">
      <c r="A3826" t="inlineStr">
        <is>
          <t>hzudqx</t>
        </is>
      </c>
      <c r="B3826" t="inlineStr">
        <is>
          <t>Dad Tested Positive, Many Underlying Health Conditions, Hospitalized for 2 weeks and now home with no issues- TX.</t>
        </is>
      </c>
      <c r="C3826" t="inlineStr">
        <is>
          <t>Hi Everyone,
I was following this sub the entire time my Dad was in the hospital after he tested positive, and other people’s stories really helped me and gave me hope. I hope this can be of use to others in similar situations.
 My Dad’s symptoms first started showing as diarrhea, which both he and my mom thought was a stomach bug; they didn’t know that was a sign of Covid. After about 6 days with diarrhea, he noticed he lost his sense of taste. It took about a day for them both to get tested. While my dad was getting tested, the nurse noticed his breathing seemed shallow and it seemed like he was really putting in effort to get his breath but not really gasping (kind of like after going up some stairs). After a few calls to his doctor, they took him straight to the hospital and he was admitted into the ER.
 Now my dad has some underlying health conditions- he’s 62, has high blood pressure, a previous lung issue, and he’s a little overweight. 
He spent less than 24 hours in the ER until they moved him into a room on the covid floor. Thankfully this room had a telephone and he was doing well enough to call us and update us on how he was feeling. They immediately put him on an oxygen mask and told us his oxygen saturation levels were at the high 70s/low 80s, as well as some kidney issues. We got the call from a doom and gloom doctor that said he would probably need to be intubated if those levels didn’t increase overnight and overall it wasn’t looking good.
Of course we were all a mess. My poor fiancé would try to console me but I just kept imagining the worst. Especially when you read that people in the ICU usually don’t make it or have a very hard life. I’m supposed to get married in December and all I could imagine is not having my dad walk me down the aisle, which just stung even more. 
Well just so happens my old man did it! His oxygen levels ended up going to mid 80s overnight after they gave him a few steroids to give him a boost. They also had him lay on his stomach and side to increase the oxygen intake. He was  treated with Remdesivir mostly, and towards the end of his first week they tried the plasma treatment. 
Then thankfully that took! His oxygen levels were climbing but his oxygen reservation levels (essentially when you are working out and you start breathing heavily, except he didn’t have enough oxygen to breathe heavy) still needed some help. At one point he asked the doctor how he has progressing and the doctor said “well considering you are talking with me now, you are doing better than half the people on this floor”. 
Once the antibodies started, he was placed on a smaller oxygen tube and was requiring less and less. He was still being treated with the steroids to help him along. The nurses then started him on breathing exercises that he was to do every hour. They were planning on him needing to be on oxygen for 3+ months at home. 
Then he called us and said they were letting him out! He had to pass a 6min walking exercise to make sure his levels stayed constant and he had the reserves, which he passed with flying colors! They also gave him a shot to stave off pneumonia and monitored him a little to see how he reacted. 
Then my mom picked him up and took him home! Now he’s resting comfortably with no other issues! It truly is amazing. 
Also, my mom tested negative, thankfully. She has O+ blood and my dad is A+. His doctor hinted at some correlation with that but honestly who really knows.
Someone posted this sentence and it stuck with me the entire time: “Covid is a beast but my dad is a monster.” 
I hope for those of you who are going through something similar find some hope in this, as I found hope in everyone else’s stories. Don’t give up! Sending you nothing but love and good vibes.</t>
        </is>
      </c>
      <c r="D3826" t="n">
        <v>1</v>
      </c>
      <c r="E3826" t="n">
        <v>9</v>
      </c>
      <c r="F3826">
        <f>HYPERLINK("https://www.reddit.com/r/COVID19positive/comments/hzudqx/dad_tested_positive_many_underlying_health/")</f>
        <v/>
      </c>
      <c r="G3826" t="inlineStr">
        <is>
          <t>2020-07-28 21:45:55</t>
        </is>
      </c>
      <c r="H3826" t="inlineStr">
        <is>
          <t>Tested Positive - Family</t>
        </is>
      </c>
    </row>
    <row r="3827">
      <c r="A3827" t="inlineStr">
        <is>
          <t>hzuih5</t>
        </is>
      </c>
      <c r="B3827" t="inlineStr">
        <is>
          <t>Does the sense of smell come back?</t>
        </is>
      </c>
      <c r="C3827" t="inlineStr">
        <is>
          <t>I have mild corona. Test came back positive and immediately I realized I lost my sense of smell as well as I can't taste sweets. It doesn't bother me that much. I am grateful I did not get very sick. However, do any of you or your relatives and friends got their sense of smell back?</t>
        </is>
      </c>
      <c r="D3827" t="n">
        <v>1</v>
      </c>
      <c r="E3827" t="n">
        <v>4</v>
      </c>
      <c r="F3827">
        <f>HYPERLINK("https://www.reddit.com/r/COVID19positive/comments/hzuih5/does_the_sense_of_smell_come_back/")</f>
        <v/>
      </c>
      <c r="G3827" t="inlineStr">
        <is>
          <t>2020-07-28 21:55:40</t>
        </is>
      </c>
      <c r="H3827" t="inlineStr">
        <is>
          <t>Tested Positive - Me</t>
        </is>
      </c>
    </row>
    <row r="3828">
      <c r="A3828" t="inlineStr">
        <is>
          <t>hzukip</t>
        </is>
      </c>
      <c r="B3828" t="inlineStr">
        <is>
          <t>What are your thoughts on this ?</t>
        </is>
      </c>
      <c r="C3828" t="inlineStr">
        <is>
          <t>I’ve been having itchy throat feeling and I’m kind of fatigued but I don’t know if it’s COVID because sometimes I feel like I’m 100% normal and then everything hits me at once so I sleep when I wake up I’m normal again 
This has been going for about 3 days.  
Any similar experience?</t>
        </is>
      </c>
      <c r="D3828" t="n">
        <v>1</v>
      </c>
      <c r="E3828" t="n">
        <v>4</v>
      </c>
      <c r="F3828">
        <f>HYPERLINK("https://www.reddit.com/r/COVID19positive/comments/hzukip/what_are_your_thoughts_on_this/")</f>
        <v/>
      </c>
      <c r="G3828" t="inlineStr">
        <is>
          <t>2020-07-28 22:00:09</t>
        </is>
      </c>
      <c r="H3828" t="inlineStr">
        <is>
          <t>Presumed Positive - From Doctor</t>
        </is>
      </c>
    </row>
    <row r="3829">
      <c r="A3829" t="inlineStr">
        <is>
          <t>hzv2w7</t>
        </is>
      </c>
      <c r="B3829" t="inlineStr">
        <is>
          <t>Has anyone tested positive again after recovering from covid?</t>
        </is>
      </c>
      <c r="C3829" t="inlineStr">
        <is>
          <t>Very close friends and family of mine have tested positive, shown (mild) symptoms, then recovered and at that point tested negative.
Has anyone had this same experience except tested positive for it again after recovering? If so, how quickly did symptoms come back and did you test positive again?</t>
        </is>
      </c>
      <c r="D3829" t="n">
        <v>1</v>
      </c>
      <c r="E3829" t="n">
        <v>7</v>
      </c>
      <c r="F3829">
        <f>HYPERLINK("https://www.reddit.com/r/COVID19positive/comments/hzv2w7/has_anyone_tested_positive_again_after_recovering/")</f>
        <v/>
      </c>
      <c r="G3829" t="inlineStr">
        <is>
          <t>2020-07-28 22:39:27</t>
        </is>
      </c>
      <c r="H3829" t="inlineStr">
        <is>
          <t>Tested Positive - Friends</t>
        </is>
      </c>
    </row>
    <row r="3830">
      <c r="A3830" t="inlineStr">
        <is>
          <t>hzvibt</t>
        </is>
      </c>
      <c r="B3830" t="inlineStr">
        <is>
          <t>Super anxious</t>
        </is>
      </c>
      <c r="C3830" t="inlineStr">
        <is>
          <t>So I tested positive today via rapid testing. The only symptom I had was an upset stomach. I’m overweight and am so nervous this will get worse at some point.</t>
        </is>
      </c>
      <c r="D3830" t="n">
        <v>1</v>
      </c>
      <c r="E3830" t="n">
        <v>8</v>
      </c>
      <c r="F3830">
        <f>HYPERLINK("https://www.reddit.com/r/COVID19positive/comments/hzvibt/super_anxious/")</f>
        <v/>
      </c>
      <c r="G3830" t="inlineStr">
        <is>
          <t>2020-07-28 23:14:40</t>
        </is>
      </c>
      <c r="H3830" t="inlineStr">
        <is>
          <t>Tested Positive - Me</t>
        </is>
      </c>
    </row>
    <row r="3831">
      <c r="A3831" t="inlineStr">
        <is>
          <t>hzvigr</t>
        </is>
      </c>
      <c r="B3831" t="inlineStr">
        <is>
          <t>Dexamethasone and Covid symptoms</t>
        </is>
      </c>
      <c r="C3831" t="inlineStr">
        <is>
          <t>My family members have started displaying COVID symptoms for 2 weeks. They are very likely with COVID they’ve had fever, muscle pain as if they had been beaten up and dry cough. 
My parents have medical doctor degrees and they are self diagnosing dexamethasone.  Most of them have reported feeling better but my uncle and dad have not. In fact coughing with blood is one additional symptom they are displaying. They are continuing their dexamethasone treatment but I’m worried that this is actually weakening their immune system. The other family members took it for one or two days before starting recovery. What should I do? I’m no medical professional but it looks like it isn’t getting better and online articles suggest that the drug may suppress the immune system. Is this a case of a medical doctor being prideful? Or maybe fatigue due to disease? How can I mitigate this potentially fatal mistake? Additionally they have not practiced medicine for 10+ years but they are knowledgeable and have experience.</t>
        </is>
      </c>
      <c r="D3831" t="n">
        <v>1</v>
      </c>
      <c r="E3831" t="n">
        <v>7</v>
      </c>
      <c r="F3831">
        <f>HYPERLINK("https://www.reddit.com/r/COVID19positive/comments/hzvigr/dexamethasone_and_covid_symptoms/")</f>
        <v/>
      </c>
      <c r="G3831" t="inlineStr">
        <is>
          <t>2020-07-28 23:14:58</t>
        </is>
      </c>
      <c r="H3831" t="inlineStr">
        <is>
          <t>Presumed Positive - From Doctor</t>
        </is>
      </c>
    </row>
    <row r="3832">
      <c r="A3832" t="inlineStr">
        <is>
          <t>hzvmyr</t>
        </is>
      </c>
      <c r="B3832" t="inlineStr">
        <is>
          <t>Funeral process after death</t>
        </is>
      </c>
      <c r="C3832" t="inlineStr">
        <is>
          <t>We just lost my mother in law yesterday, if anyone have experience this before with a love one, how was your funeral process like was your love one cremated? Did you take the ashes home? Just so many questions!!!</t>
        </is>
      </c>
      <c r="D3832" t="n">
        <v>1</v>
      </c>
      <c r="E3832" t="n">
        <v>4</v>
      </c>
      <c r="F3832">
        <f>HYPERLINK("https://www.reddit.com/r/COVID19positive/comments/hzvmyr/funeral_process_after_death/")</f>
        <v/>
      </c>
      <c r="G3832" t="inlineStr">
        <is>
          <t>2020-07-28 23:25:34</t>
        </is>
      </c>
      <c r="H3832" t="inlineStr">
        <is>
          <t>Tested Positive - Family</t>
        </is>
      </c>
    </row>
    <row r="3833">
      <c r="A3833" t="inlineStr">
        <is>
          <t>hzxscg</t>
        </is>
      </c>
      <c r="B3833" t="inlineStr">
        <is>
          <t>2 months positive. Possibility of reinfection at home?</t>
        </is>
      </c>
      <c r="C3833" t="inlineStr">
        <is>
          <t>Hey guys. I've been positive for about 2 months now. It's been a very mild ride for me, compared to what some of you guys have experienced. Had the flu-like symptoms for the first 2 weeks and now I just feel a bit fatigued, if anything. 
I was just wondering if anybody has any insight on whether or not it's possible that I may be reinfecting myself or keeping myself infected at home through lack of adequate sanitization? I live alone. I have Lysol and Clorox wipes and a bleach/water dilution that I use. I try to sanitize things that I use and wash my hands and shower. I take zinc and vitamin D supplements daily and my doctor recommended a supplement called Quercetin when I first tested positive.
I also have a cat. I don't know if that's a factor, in case he may have been infected through me. He's been normal. Doing cat things. But I don't know that cats typically show any symptoms. I know some animals with COVID never show any symptoms.  Hypothetically, if he were infected, would that also impact my ability to recover?
Just looking for any insight I can get. Almost out of paid leave time and I'm out of solutions at this point. Every time I get retested, I don't have much hope anymore. I'm just happy to be fortunate enough that I am going through a relatively mild infection. Much love to all those out there that have had a much rougher experience.</t>
        </is>
      </c>
      <c r="D3833" t="n">
        <v>1</v>
      </c>
      <c r="E3833" t="n">
        <v>4</v>
      </c>
      <c r="F3833">
        <f>HYPERLINK("https://www.reddit.com/r/COVID19positive/comments/hzxscg/2_months_positive_possibility_of_reinfection_at/")</f>
        <v/>
      </c>
      <c r="G3833" t="inlineStr">
        <is>
          <t>2020-07-29 02:38:19</t>
        </is>
      </c>
      <c r="H3833" t="inlineStr">
        <is>
          <t>Tested Positive</t>
        </is>
      </c>
    </row>
    <row r="3834">
      <c r="A3834" t="inlineStr">
        <is>
          <t>hzyxai</t>
        </is>
      </c>
      <c r="B3834" t="inlineStr">
        <is>
          <t>I’m screwed, peace</t>
        </is>
      </c>
      <c r="C3834" t="inlineStr">
        <is>
          <t>I had surgery on my chest a few months ago which basically destroyed my lung capacity as if that wasn’t bad enough, and now I’m showing all symptoms. Body is aching like a motherfucker too anyways I’ll try to fight it but I believe this is it for me I’ll get tested in the morning if I have the energy (15m, also I haven’t tested positive yet I just had to but a flare)</t>
        </is>
      </c>
      <c r="D3834" t="n">
        <v>1</v>
      </c>
      <c r="E3834" t="n">
        <v>158</v>
      </c>
      <c r="F3834">
        <f>HYPERLINK("https://www.reddit.com/r/COVID19positive/comments/hzyxai/im_screwed_peace/")</f>
        <v/>
      </c>
      <c r="G3834" t="inlineStr">
        <is>
          <t>2020-07-29 04:17:25</t>
        </is>
      </c>
      <c r="H3834" t="inlineStr">
        <is>
          <t>Tested Positive - Me</t>
        </is>
      </c>
    </row>
    <row r="3835">
      <c r="A3835" t="inlineStr">
        <is>
          <t>hzzkj2</t>
        </is>
      </c>
      <c r="B3835" t="inlineStr">
        <is>
          <t>Is anybody experiencing parosmia after losing their sense of smell and taste?</t>
        </is>
      </c>
      <c r="C3835" t="inlineStr">
        <is>
          <t xml:space="preserve"> Is anybody experiencing parosmia after losing their sense of smell and taste, cause I basically lost mine for about a month in which it slowly started coming back, but now literally almost everything smells bad and taste horrendous, I can basically eat nothing, beef, chicken, shrimp, cucumber, broccoli, etc etc all taste bad, I actually went to the doctor and told him and I guess my nose nerves or something were damaged and I have to give it time, but I wanted to see if anybody is experiencing the same thing?</t>
        </is>
      </c>
      <c r="D3835" t="n">
        <v>1</v>
      </c>
      <c r="E3835" t="n">
        <v>32</v>
      </c>
      <c r="F3835">
        <f>HYPERLINK("https://www.reddit.com/r/COVID19positive/comments/hzzkj2/is_anybody_experiencing_parosmia_after_losing/")</f>
        <v/>
      </c>
      <c r="G3835" t="inlineStr">
        <is>
          <t>2020-07-29 05:08:11</t>
        </is>
      </c>
      <c r="H3835" t="inlineStr">
        <is>
          <t>Tested Positive - Me</t>
        </is>
      </c>
    </row>
    <row r="3836">
      <c r="A3836" t="inlineStr">
        <is>
          <t>i008bk</t>
        </is>
      </c>
      <c r="B3836" t="inlineStr">
        <is>
          <t>Been sick since March and now wondering if I have been exposed again</t>
        </is>
      </c>
      <c r="C3836" t="inlineStr">
        <is>
          <t>So I have posted here a couple times. Basically I have been unwell since mid March. Ive had the classic waves of symptoms every few weeks that people associate with covid long haulers. 
My relapses/setbacks have happened at the end of April, mid June and now at the end of July. All roughly 7 weeks apart. Although unlike the last two, this one has come on gradually over a few days and is arguably worse than ever before.
Whilst it was virtually impossible for me to have been exposed again prior to my other setbacks, a week before this one I was at the hospital at the mental health clinic and am beginning to wonder if I have been reinfected.
I can barely get out of bed. The chest pain is so debilitating, the complete weakness is back but weirdly this chemical scent to my taste and smell has also come back. This is something I haven’t had since my initial symptoms and really makes me wonder about reinfection.
Has anyone else felt like this? I don’t know if I can do this anymore.</t>
        </is>
      </c>
      <c r="D3836" t="n">
        <v>1</v>
      </c>
      <c r="E3836" t="n">
        <v>6</v>
      </c>
      <c r="F3836">
        <f>HYPERLINK("https://www.reddit.com/r/COVID19positive/comments/i008bk/been_sick_since_march_and_now_wondering_if_i_have/")</f>
        <v/>
      </c>
      <c r="G3836" t="inlineStr">
        <is>
          <t>2020-07-29 05:56:38</t>
        </is>
      </c>
      <c r="H3836" t="inlineStr">
        <is>
          <t>Presumed Positive - From Doctor</t>
        </is>
      </c>
    </row>
    <row r="3837">
      <c r="A3837" t="inlineStr">
        <is>
          <t>i00pnj</t>
        </is>
      </c>
      <c r="B3837" t="inlineStr">
        <is>
          <t>Exercise Post-Recovery</t>
        </is>
      </c>
      <c r="C3837" t="inlineStr">
        <is>
          <t>Hey guys. Wanted to get some advice from people who successfully has added exercise (cardio or weights) back into their routine post-COVID. I’m on week 6 now of recovery. I’m finishing up some dexamethasone for inflammation and SOB. A majority of my day is now SOB free (there’s still periods in the afternoons where there’s some minimal SOB). I’m thinking of giving my body an additional week post-steroids (so week 7) to adjust and start introducing some light workouts to build my stamina and improve my heart rate. 
Interested to know how people integrated exercise back into their life. What pace? What activities? Were you still encountering any SOB when you did so, if so how did that respond? Anything to look out for? How did you know how hard to push, etc? Did you have any setbacks and what did they look like when you did. 
I know people will comment that exercise is not good, but I’d like to hear from people who did make improvements in the area! I know they’re out there and they have valuable insight to share with us!
Be well, everyone!</t>
        </is>
      </c>
      <c r="D3837" t="n">
        <v>1</v>
      </c>
      <c r="E3837" t="n">
        <v>17</v>
      </c>
      <c r="F3837">
        <f>HYPERLINK("https://www.reddit.com/r/COVID19positive/comments/i00pnj/exercise_postrecovery/")</f>
        <v/>
      </c>
      <c r="G3837" t="inlineStr">
        <is>
          <t>2020-07-29 06:29:12</t>
        </is>
      </c>
      <c r="H3837" t="inlineStr">
        <is>
          <t>Tested Positive - Me</t>
        </is>
      </c>
    </row>
    <row r="3838">
      <c r="A3838" t="inlineStr">
        <is>
          <t>i00ucs</t>
        </is>
      </c>
      <c r="B3838" t="inlineStr">
        <is>
          <t>Taking More Risk After Covid19 Recovery</t>
        </is>
      </c>
      <c r="C3838" t="inlineStr">
        <is>
          <t>My kids have been home since March. No camps, stores, parties. They've had limited outdoor (&amp;amp; masked) visits with family &amp;amp; friends. 
Covid still entered our home after husband brought it home from work. The kids both had it &amp;amp; are doing well. We've been released, but plan to stay in a few more weeks.
Anyone who was extremely cautious decide to take more risk after recovery? Our kids have spent the summer turning down invites &amp;amp; activities while our neighbors have parties. We will still mask up/social distance, of course.</t>
        </is>
      </c>
      <c r="D3838" t="n">
        <v>1</v>
      </c>
      <c r="E3838" t="n">
        <v>4</v>
      </c>
      <c r="F3838">
        <f>HYPERLINK("https://www.reddit.com/r/COVID19positive/comments/i00ucs/taking_more_risk_after_covid19_recovery/")</f>
        <v/>
      </c>
      <c r="G3838" t="inlineStr">
        <is>
          <t>2020-07-29 06:38:03</t>
        </is>
      </c>
      <c r="H3838" t="inlineStr">
        <is>
          <t>Tested Positive - Family</t>
        </is>
      </c>
    </row>
    <row r="3839">
      <c r="A3839" t="inlineStr">
        <is>
          <t>i00xxf</t>
        </is>
      </c>
      <c r="B3839" t="inlineStr">
        <is>
          <t>What has helped with your burning nose?</t>
        </is>
      </c>
      <c r="C3839" t="inlineStr">
        <is>
          <t>I am currently on day 8 of symptoms with a mild case. The worst symptom I am having is my dang nose HURTS! My nasal cavities so so inflamed and irritated. They have been burning for days and even just breathing through my nose feels like a searing pain. I've been using a saline nasal mist but it only provides relief for a few minutes. I've read that this is super common with covid, so I thought maybe you guys have found something that works!</t>
        </is>
      </c>
      <c r="D3839" t="n">
        <v>1</v>
      </c>
      <c r="E3839" t="n">
        <v>10</v>
      </c>
      <c r="F3839">
        <f>HYPERLINK("https://www.reddit.com/r/COVID19positive/comments/i00xxf/what_has_helped_with_your_burning_nose/")</f>
        <v/>
      </c>
      <c r="G3839" t="inlineStr">
        <is>
          <t>2020-07-29 06:44:33</t>
        </is>
      </c>
      <c r="H3839" t="inlineStr">
        <is>
          <t>Tested Positive - Me</t>
        </is>
      </c>
    </row>
    <row r="3840">
      <c r="A3840" t="inlineStr">
        <is>
          <t>i014le</t>
        </is>
      </c>
      <c r="B3840" t="inlineStr">
        <is>
          <t>SLOWER heart rate anyone?</t>
        </is>
      </c>
      <c r="C3840" t="inlineStr">
        <is>
          <t>I know many people talk about tachycardia, but has anyone experienced bradycardia? A low heart rate?
Mine has dipped into the low 50’s along with my 3 months of SOB even down to 49 at one point. It’s usually just in the night or mornings when I am in bed, but my resting rate while working is 60-70. SpO2 is always 96%+. 
I think it’s more concerning because of this endless SOB I’ve been dealing with. Can anyone else relate?</t>
        </is>
      </c>
      <c r="D3840" t="n">
        <v>1</v>
      </c>
      <c r="E3840" t="n">
        <v>40</v>
      </c>
      <c r="F3840">
        <f>HYPERLINK("https://www.reddit.com/r/COVID19positive/comments/i014le/slower_heart_rate_anyone/")</f>
        <v/>
      </c>
      <c r="G3840" t="inlineStr">
        <is>
          <t>2020-07-29 06:56:43</t>
        </is>
      </c>
      <c r="H3840" t="inlineStr">
        <is>
          <t>Presumed Positive - From Doctor</t>
        </is>
      </c>
    </row>
    <row r="3841">
      <c r="A3841" t="inlineStr">
        <is>
          <t>i019n3</t>
        </is>
      </c>
      <c r="B3841" t="inlineStr">
        <is>
          <t>Figuring out if you're a longhauler or just making false correlations?</t>
        </is>
      </c>
      <c r="C3841" t="inlineStr">
        <is>
          <t>I had COVID back in late March/early April. I have had a few ongoing issues, like post-exertional malaise and general fatigue. These symptoms have varied in severity but I am confident that these are not normal things I experience or have experienced in the past; they are definitely 'new' to me since COVID and I am pretty confident about that correlation. 
However, as more and more people are speaking out about their longcovid experiences, I am finding myself overanalyzing everything I feel. For instance, I have been noticing a tingling sensation in my calves/legs and general weird feelings in my calves. I haven't been working out much due to the above-mentioned post-exertional issues so I figured my legs were just reacting to being used less (I used to be a runner and regularly worked out). I had never connected this to COVID but I read a person's story this morning on CNN who has been experiencing this and has connected it to COVID. Similarly, I haven't really had brain fogginess I don't think...but maybe I am! 
I guess it comes down to trying to figure out what is actually something new that I am feeling, what is real vs. momentary, what can be explained by another cause, etc. 
So - how are you managing all of the information about possible longterm symptoms and side effects? How are you managing any feelings of paranoia about the possibility of very serious long term side effects as we learn and hear more? 
(And thank you to those who launched r/covidlonghaulers!)</t>
        </is>
      </c>
      <c r="D3841" t="n">
        <v>1</v>
      </c>
      <c r="E3841" t="n">
        <v>6</v>
      </c>
      <c r="F3841">
        <f>HYPERLINK("https://www.reddit.com/r/COVID19positive/comments/i019n3/figuring_out_if_youre_a_longhauler_or_just_making/")</f>
        <v/>
      </c>
      <c r="G3841" t="inlineStr">
        <is>
          <t>2020-07-29 07:05:32</t>
        </is>
      </c>
      <c r="H3841" t="inlineStr">
        <is>
          <t>Tested Positive - Me</t>
        </is>
      </c>
    </row>
    <row r="3842">
      <c r="A3842" t="inlineStr">
        <is>
          <t>i019q1</t>
        </is>
      </c>
      <c r="B3842" t="inlineStr">
        <is>
          <t>I have had coronavirus for 5 months and it won’t go away</t>
        </is>
      </c>
      <c r="C3842" t="inlineStr">
        <is>
          <t>I have had the coronavirus for 5 months and it won’t go away, my doctors won’t treat me for it and my mum doesn’t care and says it’s not a big deal but it is for me. Any tips?</t>
        </is>
      </c>
      <c r="D3842" t="n">
        <v>1</v>
      </c>
      <c r="E3842" t="n">
        <v>16</v>
      </c>
      <c r="F3842">
        <f>HYPERLINK("https://www.reddit.com/r/COVID19positive/comments/i019q1/i_have_had_coronavirus_for_5_months_and_it_wont/")</f>
        <v/>
      </c>
      <c r="G3842" t="inlineStr">
        <is>
          <t>2020-07-29 07:05:40</t>
        </is>
      </c>
      <c r="H3842" t="inlineStr">
        <is>
          <t>Tested Positive - Me</t>
        </is>
      </c>
    </row>
    <row r="3843">
      <c r="A3843" t="inlineStr">
        <is>
          <t>i01dhl</t>
        </is>
      </c>
      <c r="B3843" t="inlineStr">
        <is>
          <t>Recovery of a healthcare worker</t>
        </is>
      </c>
      <c r="C3843" t="inlineStr">
        <is>
          <t>I am a 28yo female that is fairly active with no underlying health conditions. I was exposed to COVID-19 at an ALF while working with a patient who was symptomatic, but had not yet been tested. I was wearing full PPE and somehow still managed to catch it. I started showing symptoms 2 days after the exposure, which I will include in my timeline below. 
I got tested the day after symptom onset with a rapid test and tested positive. After getting my positive test, I isolated myself in my 3rd floor bedroom for 14 days. My husband would deliver my meals to the room and would wear a mask each and every time. I was so nervous about my husband catching it as he has a heart condition, but thankfully our precautions paid off and he has tested negative. I was also very nervous about ending my isolation after 14 days as I still had symptoms, but per CDC guidelines you may end isolation if it’s been at least 10 days since symptom onset, after being fever free for 24 hours, and when improvement in symptoms occurs. 
To be honest, I was (am still am) very frustrated to have had a work related exposure to COVID-19 because my husband and I have been overly cautious and take this very seriously. I think what’s also frustrating is that I’ve been so careful in my personal life (staying home, wearing masks, limiting interactions, etc) but yet, I have friends and family members who don’t take the pandemic seriously and are still going about their normal lives as if everything is fine. But that is just evidence of the fact that COVID-19 does not discriminate and that it can happen to anyone. Despite my frustrations, I am thankful that I had a relatively mild case and was able to successfully isolate from my husband and keep him from getting sick. 
MY TIMELINE 
*note day 1 is first day of symptoms 
Day of exposure: Tuesday 7/7 
Day 1 Thursday 7/9: developed a sore throat and slight chest congestion after getting home from work. Temp 100.4. 
Day 2 Friday 7/10: sore throat, congestion, and headache. Rapid test was positive. Began isolation. 
Day 3 Saturday 7/11: symptoms continued with waves of nausea in the morning. Occasional chills, but no fever. Started mucinex. 
Day 4 Sunday 7/12: symptoms much the same but headache is more intense. 
Day 5 Monday 7/13: chills and headache slightly improved. 
Day 6 Tuesday 7/14: headache less severe upon waking, but body aches seem worse. 
Day 7 Wednesday 7/15: no more chills. Headache lingers, pressure in ears, and body aches. Loss of smell. 
Day 8 Thursday 7/16: headache and body aches persist. Upset stomach. More nasal congestion 
Day 9 Friday 7/17: headaches and body aches. Still no smell. 
Day 10 Saturday 7/18: woke up with headache and congestion. Still no smell. Sore throat worsened. Dizziness with head movements 
Day 11 Sunday 7/19: woke up with headache and sore throat. Bouts of diarrhea. 
Day 12 Monday 7/20: feel a little better. Fatigue and headache linger. 
Day 13 Tuesday 7/21: Headache, fatigue, and congestion continue. 
Day 15 Friday 7/24: tested negative 
Day 16 Saturday 7/25: headache, fatigue, and congestion. Ended isolation. 
Day 20 Wednesday 7/29: headache, congestion, and fatigue linger. Smell back to 75%.</t>
        </is>
      </c>
      <c r="D3843" t="n">
        <v>1</v>
      </c>
      <c r="E3843" t="n">
        <v>39</v>
      </c>
      <c r="F3843">
        <f>HYPERLINK("https://www.reddit.com/r/COVID19positive/comments/i01dhl/recovery_of_a_healthcare_worker/")</f>
        <v/>
      </c>
      <c r="G3843" t="inlineStr">
        <is>
          <t>2020-07-29 07:12:07</t>
        </is>
      </c>
      <c r="H3843" t="inlineStr">
        <is>
          <t>Tested Positive - Me</t>
        </is>
      </c>
    </row>
    <row r="3844">
      <c r="A3844" t="inlineStr">
        <is>
          <t>i01z7z</t>
        </is>
      </c>
      <c r="B3844" t="inlineStr">
        <is>
          <t>Tested positive way back and just found this sub</t>
        </is>
      </c>
      <c r="C3844" t="inlineStr">
        <is>
          <t>So it wasnt just me (M24), but my sister (22) and mother (54) did as well. This happened months ago. Everyone is okay, my mom and sister showed little to no symptoms. As for me, my only underlying condition was asthma. Work told me to stay home for two weeks although i was fine after three days. I first went to get tested after i was having severe stomach issues. Really bad diarrhea that would just come and go throughout the day. Then i noticed a loss in sense of smell and taste. Started a fever with some muscle aches and sore throat and days later i was perfectly fine. From some of the posts i’ve read seems like we all got off easy. The only thing i can say is try not to let your head get to you. In my heart i believed to the point i knew i would be fine, and i honestly think that helped alot. Stay safe and best wishes to everyone struggling with this.</t>
        </is>
      </c>
      <c r="D3844" t="n">
        <v>1</v>
      </c>
      <c r="E3844" t="n">
        <v>4</v>
      </c>
      <c r="F3844">
        <f>HYPERLINK("https://www.reddit.com/r/COVID19positive/comments/i01z7z/tested_positive_way_back_and_just_found_this_sub/")</f>
        <v/>
      </c>
      <c r="G3844" t="inlineStr">
        <is>
          <t>2020-07-29 07:49:46</t>
        </is>
      </c>
      <c r="H3844" t="inlineStr">
        <is>
          <t>Tested Positive - Me</t>
        </is>
      </c>
    </row>
    <row r="3845">
      <c r="A3845" t="inlineStr">
        <is>
          <t>i023fi</t>
        </is>
      </c>
      <c r="B3845" t="inlineStr">
        <is>
          <t>Different kind of eye pain</t>
        </is>
      </c>
      <c r="C3845" t="inlineStr">
        <is>
          <t>I read a few posts here about people talking about eye pain behind their eyes or when looking in a certain direction. The second week after being tested positive, I was also having the blurry/focus problem too but it has gone away. I brought this up to a couple "professionals" and they had not heard of that happening. Glad I wasn't the only one having the problem though seeing some of the posts.
My eye pain is around my eye, like I got punched. It hurts if I squeeze my eyes, like when yawning. Its been going on 3 days now, started on Monday. Anyone else having similar pain?</t>
        </is>
      </c>
      <c r="D3845" t="n">
        <v>1</v>
      </c>
      <c r="E3845" t="n">
        <v>16</v>
      </c>
      <c r="F3845">
        <f>HYPERLINK("https://www.reddit.com/r/COVID19positive/comments/i023fi/different_kind_of_eye_pain/")</f>
        <v/>
      </c>
      <c r="G3845" t="inlineStr">
        <is>
          <t>2020-07-29 07:56:51</t>
        </is>
      </c>
      <c r="H3845" t="inlineStr">
        <is>
          <t>Tested Positive - Me</t>
        </is>
      </c>
    </row>
    <row r="3846">
      <c r="A3846" t="inlineStr">
        <is>
          <t>i02nbx</t>
        </is>
      </c>
      <c r="B3846" t="inlineStr">
        <is>
          <t>Activity seems to help</t>
        </is>
      </c>
      <c r="C3846" t="inlineStr">
        <is>
          <t>Prerty much recovered but I seem to feel a tad worse the more I rest odd pretty odd as im mentally tired from work but if I rest up on my days off i tend to feel worse anyone else feel the same?</t>
        </is>
      </c>
      <c r="D3846" t="n">
        <v>1</v>
      </c>
      <c r="E3846" t="n">
        <v>3</v>
      </c>
      <c r="F3846">
        <f>HYPERLINK("https://www.reddit.com/r/COVID19positive/comments/i02nbx/activity_seems_to_help/")</f>
        <v/>
      </c>
      <c r="G3846" t="inlineStr">
        <is>
          <t>2020-07-29 08:30:00</t>
        </is>
      </c>
      <c r="H3846" t="inlineStr">
        <is>
          <t>Tested Positive - Me</t>
        </is>
      </c>
    </row>
    <row r="3847">
      <c r="A3847" t="inlineStr">
        <is>
          <t>i032si</t>
        </is>
      </c>
      <c r="B3847" t="inlineStr">
        <is>
          <t>Sinus pressure from hell</t>
        </is>
      </c>
      <c r="C3847" t="inlineStr">
        <is>
          <t>Anyone experience sinus pressure when they first got it? I've had the worst pressure ever and nothing helps. Tylenol, nasal congestion  meds did nothing. There's no infection or mucus up there either, anything that does come out is clear. I had the worse sinus MIGRAINE of my life last night. I normally suffer from headaches and migraines. I had them pretty much figured out before I got sick. Nothing could touch this headache and it got worse as the night went on. I couldn't sleep, I took way too much melatonin. But nothing would help. It was a pounding stabbing feeling and if I moved it would pound and stab right around my sinus cavity and on top of my head. I finally fell asleep with a heating pad over my face at 5 am
Am I alone?</t>
        </is>
      </c>
      <c r="D3847" t="n">
        <v>1</v>
      </c>
      <c r="E3847" t="n">
        <v>19</v>
      </c>
      <c r="F3847">
        <f>HYPERLINK("https://www.reddit.com/r/COVID19positive/comments/i032si/sinus_pressure_from_hell/")</f>
        <v/>
      </c>
      <c r="G3847" t="inlineStr">
        <is>
          <t>2020-07-29 08:56:08</t>
        </is>
      </c>
      <c r="H3847" t="inlineStr">
        <is>
          <t>Tested Positive</t>
        </is>
      </c>
    </row>
    <row r="3848">
      <c r="A3848" t="inlineStr">
        <is>
          <t>i03o09</t>
        </is>
      </c>
      <c r="B3848" t="inlineStr">
        <is>
          <t>Is it possible that I got reinfected or is this just a flare up?</t>
        </is>
      </c>
      <c r="C3848" t="inlineStr">
        <is>
          <t>I tested positive about a month ago. I only got mild symptoms. I had a headache the first few days with sore throat and then I lost my sense of taste and smell. After that I started feeling way better and I got about 50% of my taste and smell back. But for the past few days I have had a sore throat and some sneezing. Mind you all I have had a sore throat since all of this started(wearing mask all day everyday because I'm a healthcare worker). I'm paranoid that I got it again. I don't want to pass it on to my parents that were both hospitalized and sent with home oxygen due to covid.</t>
        </is>
      </c>
      <c r="D3848" t="n">
        <v>1</v>
      </c>
      <c r="E3848" t="n">
        <v>7</v>
      </c>
      <c r="F3848">
        <f>HYPERLINK("https://www.reddit.com/r/COVID19positive/comments/i03o09/is_it_possible_that_i_got_reinfected_or_is_this/")</f>
        <v/>
      </c>
      <c r="G3848" t="inlineStr">
        <is>
          <t>2020-07-29 09:30:49</t>
        </is>
      </c>
      <c r="H3848" t="inlineStr">
        <is>
          <t>Tested Positive - Me</t>
        </is>
      </c>
    </row>
    <row r="3849">
      <c r="A3849" t="inlineStr">
        <is>
          <t>i04fu7</t>
        </is>
      </c>
      <c r="B3849" t="inlineStr">
        <is>
          <t>Medical Marijuana</t>
        </is>
      </c>
      <c r="C3849" t="inlineStr">
        <is>
          <t>Im 17 and I smoke MEDICAL marijuana. I have coronavirus rn, do you tbink ill be okay?</t>
        </is>
      </c>
      <c r="D3849" t="n">
        <v>1</v>
      </c>
      <c r="E3849" t="n">
        <v>8</v>
      </c>
      <c r="F3849">
        <f>HYPERLINK("https://www.reddit.com/r/COVID19positive/comments/i04fu7/medical_marijuana/")</f>
        <v/>
      </c>
      <c r="G3849" t="inlineStr">
        <is>
          <t>2020-07-29 10:14:36</t>
        </is>
      </c>
      <c r="H3849" t="inlineStr">
        <is>
          <t>Tested Positive - Me</t>
        </is>
      </c>
    </row>
    <row r="3850">
      <c r="A3850" t="inlineStr">
        <is>
          <t>i055od</t>
        </is>
      </c>
      <c r="B3850" t="inlineStr">
        <is>
          <t>healthy 21 y/o, got covid in beginning of june..weirdddd symptoms and transmission</t>
        </is>
      </c>
      <c r="C3850" t="inlineStr">
        <is>
          <t>first of all i’m so confused about how this stupid virus spreads. the day before i got tested i was on a boat with 6 other people, and we all drank out of the same bottle... (i understand how stupid this was of us, and trust me i learned my lesson) the virus is supposed to be the most contagious right before symptoms show up, and mine showed up that night after the boat. when i found out i tested positive, i felt horrible for those 6 people i definitely exposed and was 100% sure they all would have it. i contacted all of them immediately and told them to get tested and make sure they quarantine. NONE of them showed symptoms the 2 weeks they quarantined, and all got tested and nobody had it. wtf? but then my 5 roommates all tested positive at the same time as me (were assuming we got it from a BLM protest)
second of all, my smell &amp;amp; taste has come back a little bit but then like 2 days ago completely went away again. anyone else have their smell/taste fluctuate after testing positive like 2 months later?? help 
also anyone have the cloud of red around their eyes when they had covid?</t>
        </is>
      </c>
      <c r="D3850" t="n">
        <v>1</v>
      </c>
      <c r="E3850" t="n">
        <v>7</v>
      </c>
      <c r="F3850">
        <f>HYPERLINK("https://www.reddit.com/r/COVID19positive/comments/i055od/healthy_21_yo_got_covid_in_beginning_of/")</f>
        <v/>
      </c>
      <c r="G3850" t="inlineStr">
        <is>
          <t>2020-07-29 10:53:07</t>
        </is>
      </c>
      <c r="H3850" t="inlineStr">
        <is>
          <t>Tested Positive - Me</t>
        </is>
      </c>
    </row>
    <row r="3851">
      <c r="A3851" t="inlineStr">
        <is>
          <t>i058te</t>
        </is>
      </c>
      <c r="B3851" t="inlineStr">
        <is>
          <t>Will NY blood center let me know about my anti body detection again?</t>
        </is>
      </c>
      <c r="C3851" t="inlineStr">
        <is>
          <t>Tested positive in March, recovered, feeling great. I donated convalescent plasma in June and got a letter from NYBC that my plasma did in fact contain antibodies. I was worried that it would have diminished bc I've been hearing that immunity lasts maybe 3 months.
I donated again last week and I'm waiting to hear if I'm still antibody positive. I haven't gotten a letter but they're calling me to reschedule anyway. None of the employees know if a letter is coming my way bc they are all just scheduling ppl. Anyone have any experience? I just want to know if I still have antibodies.</t>
        </is>
      </c>
      <c r="D3851" t="n">
        <v>1</v>
      </c>
      <c r="E3851" t="n">
        <v>3</v>
      </c>
      <c r="F3851">
        <f>HYPERLINK("https://www.reddit.com/r/COVID19positive/comments/i058te/will_ny_blood_center_let_me_know_about_my_anti/")</f>
        <v/>
      </c>
      <c r="G3851" t="inlineStr">
        <is>
          <t>2020-07-29 10:57:56</t>
        </is>
      </c>
      <c r="H3851" t="inlineStr">
        <is>
          <t>Tested Positive - Me</t>
        </is>
      </c>
    </row>
    <row r="3852">
      <c r="A3852" t="inlineStr">
        <is>
          <t>i05v5x</t>
        </is>
      </c>
      <c r="B3852" t="inlineStr">
        <is>
          <t>Sudden fever for two hours and then nothing???</t>
        </is>
      </c>
      <c r="C3852" t="inlineStr">
        <is>
          <t>Hi guys, so. 
I’m an essential worker in my country reason for which I keep going to the office, but just three or two times a week.
I was supposed to go today and my boss called me and told me not to, because a cleaning person has symptoms and has since tested positive.  Now, I’m fine, no symptoms whatsoever.
The person who has tested positive not always wore a mask, he often had it in his chin. A superior coworker had a fever yesterday, but just for two hours which is making my boss assume that it wasn’t covid. He is saying that once you have covid fever it doesn’t leave you. Is this true?
I’m asking because he is using this excuse not to tell people. I’m the only one who knows, my coworkers went to the office today. And apparently my boss has been instructed by the higher boss not to say anything. Because “we didn’t have much contact with the sick person” even tho he literally washes everybody’s dishes because they are lazy mfs. So.....
Is this a thing? Can a person get a fever one day and then not present any other symptoms. I work at my country’s government. I know. I know. I just want to know if this is bullshit to blow the whistle. 😅 altho as I type this I’m gonna phone a friend from work who has asthma. Thank you all.
Please be safe.</t>
        </is>
      </c>
      <c r="D3852" t="n">
        <v>1</v>
      </c>
      <c r="E3852" t="n">
        <v>7</v>
      </c>
      <c r="F3852">
        <f>HYPERLINK("https://www.reddit.com/r/COVID19positive/comments/i05v5x/sudden_fever_for_two_hours_and_then_nothing/")</f>
        <v/>
      </c>
      <c r="G3852" t="inlineStr">
        <is>
          <t>2020-07-29 11:31:34</t>
        </is>
      </c>
      <c r="H3852" t="inlineStr">
        <is>
          <t>Tested Positive - Friends</t>
        </is>
      </c>
    </row>
    <row r="3853">
      <c r="A3853" t="inlineStr">
        <is>
          <t>i077wq</t>
        </is>
      </c>
      <c r="B3853" t="inlineStr">
        <is>
          <t>Tested Positive...symptom order different</t>
        </is>
      </c>
      <c r="C3853" t="inlineStr">
        <is>
          <t>Tested positive on 7/27. My Symptoms started on 7/25:  
7/25 - Fever 100.4 severe chills, fatigue
7/26 - Fever 99.4, chills gone, severe headaches, nasal pain, sever fatigue
7/27 - Headache, temp normal, some nasal pain
7/28 - mild headache, nasal pain. temp normal, sense of smell pretty much GONE
7/29 - mild nasal pain, no headache, temp normal, smell still gone and now my taste is about 60 percent of normal.  
I told my wife she will know when my taste is COMPLETELY gone when I start downloading Journey &amp;amp; wanting to watch the Kardashians.  
Is this an unusual order of symptoms? Also I don't wanna die.</t>
        </is>
      </c>
      <c r="D3853" t="n">
        <v>1</v>
      </c>
      <c r="E3853" t="n">
        <v>14</v>
      </c>
      <c r="F3853">
        <f>HYPERLINK("https://www.reddit.com/r/COVID19positive/comments/i077wq/tested_positivesymptom_order_different/")</f>
        <v/>
      </c>
      <c r="G3853" t="inlineStr">
        <is>
          <t>2020-07-29 12:43:42</t>
        </is>
      </c>
      <c r="H3853" t="inlineStr">
        <is>
          <t>Tested Positive - Me</t>
        </is>
      </c>
    </row>
    <row r="3854">
      <c r="A3854" t="inlineStr">
        <is>
          <t>i078xb</t>
        </is>
      </c>
      <c r="B3854" t="inlineStr">
        <is>
          <t>Tested positive 3 times, any other re positives out there like me?</t>
        </is>
      </c>
      <c r="C3854" t="inlineStr">
        <is>
          <t>I have litterally gotten 3 postive tests in a row about exactly 14 days apart thinking each time maybe I would finally be negative and able to go back to my daycare job , my job won't allow me to go back with out a negative (understandably) and i just dont know how long this will last, has anyone else continued to get positives for way longer than the 14 days they originally tested positive?</t>
        </is>
      </c>
      <c r="D3854" t="n">
        <v>1</v>
      </c>
      <c r="E3854" t="n">
        <v>43</v>
      </c>
      <c r="F3854">
        <f>HYPERLINK("https://www.reddit.com/r/COVID19positive/comments/i078xb/tested_positive_3_times_any_other_re_positives/")</f>
        <v/>
      </c>
      <c r="G3854" t="inlineStr">
        <is>
          <t>2020-07-29 12:45:13</t>
        </is>
      </c>
      <c r="H3854" t="inlineStr">
        <is>
          <t>Tested Positive - Me</t>
        </is>
      </c>
    </row>
    <row r="3855">
      <c r="A3855" t="inlineStr">
        <is>
          <t>i07c14</t>
        </is>
      </c>
      <c r="B3855" t="inlineStr">
        <is>
          <t>Did I make the right call? 24/F</t>
        </is>
      </c>
      <c r="C3855" t="inlineStr">
        <is>
          <t>My best friend is furious at me for choosing to move back home while recuperating from COVID, and it has me questioning my choices. 
I first started getting symptoms on 7/11, I tested positive on 7/15 and got results back on 7/23. I've been feeling better but there is still some residual dizziness, confusion, brain fog, heart palpitations,  fatigue. I never had a fever, sore throat, or anything respiratory. 
My lease was ending on 7/31 and by last Wednesday, my other two roommates had already moved out to avoid getting sick. I already suffer from anxiety and depression, and the empty apartment was too much for me to take. I don't have a car, my phone is broken, so there was no one around if something happened. My dad was worried about me, and we made the decision for him to come with a moving van and help me so I could recuperate at his house. He came last Saturday and moved me back. We wore gloves, N-95s the whole time. We're quarantining in his house where it's only us two and taking every possible precaution. 
My best friend is furious at me for moving home. She's stressed about being forced to go back to work, and I think it's made her judgment much harsher. She thinks I should have waited it out in the apartment until I was 100% recuperated again. She says she's questioning my values and responsibility. It's serious, and I'm afraid this might end our friendship.
I've been following the rules this whole time, it's not like I got sick from going to Cancun or something. I got sick from a coworker, even though we all wore masks and socially distanced. I talked to my dad, my psychiatrist, and this is the decision we made together. My dad is the ONLY person being put at risk by this, no one else has been in contact with me since I got results back. This is what he wanted.  He would have had to come help move me out at the end of this week anyway. He would rather take the risk and have me safe at home. We talked at length about the pros and cons, and it's not a perfect decision, but it's the one we chose.
I wish I could have stuck it out in the apartment alone, but I couldn't. For context, this has been a god awful past 12 months for me. In November, I went through a rough breakup of a 4 year-long relationship that had gotten super unhealthy. We had been living together in his native country in Europe for the past couple of years. I wasn't happy living abroad, and moving back to America and starting over was one of the hardest things I've ever had to do in my life. Since then, I've been struggling to heal and get my mental health back, and I was starting to feel like myself again when I got sick with COVID. 
This was a hard decision to make. I didn't take it lightly, and I feel terrible about exposing my dad. It's been 5 days since the car ride home, and he has no symptoms so far. I'm doing my best and making the best decisions I can given the circumstances. This year has been such a nightmare. I'm just trying to make it through.
Has everyone else had to make tough calls and gotten slack for it?</t>
        </is>
      </c>
      <c r="D3855" t="n">
        <v>1</v>
      </c>
      <c r="E3855" t="n">
        <v>6</v>
      </c>
      <c r="F3855">
        <f>HYPERLINK("https://www.reddit.com/r/COVID19positive/comments/i07c14/did_i_make_the_right_call_24f/")</f>
        <v/>
      </c>
      <c r="G3855" t="inlineStr">
        <is>
          <t>2020-07-29 12:49:45</t>
        </is>
      </c>
      <c r="H3855" t="inlineStr">
        <is>
          <t>Tested Positive - Me</t>
        </is>
      </c>
    </row>
    <row r="3856">
      <c r="A3856" t="inlineStr">
        <is>
          <t>i07h5d</t>
        </is>
      </c>
      <c r="B3856" t="inlineStr">
        <is>
          <t>Mom won’t isolate</t>
        </is>
      </c>
      <c r="C3856" t="inlineStr">
        <is>
          <t>I need advice or... consolation idk. I live with my parents, sister, two young cousins and nanny. Today my mother received the results from the test she had to take so that her redundant dickhead boss can keep her at work. She’s positive and while I’m concerned I figured the prudent thing for her to do is isolate to maximize the chance that those of us still negative stay that way given the new info. We’re all getting tested tomorrow and I’m completely willing to cater her if need be.
While she did isolate for a bit I figure she couldn’t cope in her room by herself so she went down to help with dinner. She justified this by saying she’s been doing it all week anyway. I don’t know if she wore a mask and at this point I don’t know if it would make a difference because I just found her in the living room with my sister and late-fifties dad. No mask. She said she was distancing but I think she can do better. She shares a bed with my father so his reasoning was that chances are he already has it and there’s no point isolating. I argued that he’s playing with chance without bringing up his age and looked to my sister who echoed his sentiment:
“I already spend a lot of time with mom.”
Things got heated and now I’ve been blackballed for some implicit sense of disloyalty after chastising my mother for turning the living room into a petri dish. My sister just sneered at me from my parents’ bedroom doorway as she served my mom some tea. No mask, no gloves. My dad’s advice was to keep doing what I’ve been doing and not concern myself with them as I am the most likely to still be negative being the house hypochondriac/hermit. 
I feel like like I’m going insane. On one hand I’m overreacting and being unsympathetic to my mom — this isn’t a hospital ward after all and I can’t expect her to lock herself in the basement — but I can’t help but feel like what’s going on is irresponsible to the health of the household at large and we can do better... or at least do *something* before we all get tested tomorrow. But my father, an immunologist, is currently in bed with my COVID+ public health expert mother so what do I know. 
I need advice. I feel like my house just turned into the twilight zone or something.</t>
        </is>
      </c>
      <c r="D3856" t="n">
        <v>1</v>
      </c>
      <c r="E3856" t="n">
        <v>2</v>
      </c>
      <c r="F3856">
        <f>HYPERLINK("https://www.reddit.com/r/COVID19positive/comments/i07h5d/mom_wont_isolate/")</f>
        <v/>
      </c>
      <c r="G3856" t="inlineStr">
        <is>
          <t>2020-07-29 12:57:25</t>
        </is>
      </c>
      <c r="H3856" t="inlineStr">
        <is>
          <t>Tested Positive - Family</t>
        </is>
      </c>
    </row>
    <row r="3857">
      <c r="A3857" t="inlineStr">
        <is>
          <t>i08kbv</t>
        </is>
      </c>
      <c r="B3857" t="inlineStr">
        <is>
          <t>Recently Contacted Patient</t>
        </is>
      </c>
      <c r="C3857" t="inlineStr">
        <is>
          <t>Hi, I just found this sub. I had the test some few days back and today I was found to be positive. I don't have any symptoms and I feel very okay. I had fever some few weeks back, I don't know if it affected the results. But rn, I am okay, no sore throat or any symptoms. I just started taking vitamins, azithromycin, and some other supplements with enough water. Stay safe everyone and we fight this together.</t>
        </is>
      </c>
      <c r="D3857" t="n">
        <v>1</v>
      </c>
      <c r="E3857" t="n">
        <v>2</v>
      </c>
      <c r="F3857">
        <f>HYPERLINK("https://www.reddit.com/r/COVID19positive/comments/i08kbv/recently_contacted_patient/")</f>
        <v/>
      </c>
      <c r="G3857" t="inlineStr">
        <is>
          <t>2020-07-29 13:55:54</t>
        </is>
      </c>
      <c r="H3857" t="inlineStr">
        <is>
          <t>Tested Positive - Me</t>
        </is>
      </c>
    </row>
    <row r="3858">
      <c r="A3858" t="inlineStr">
        <is>
          <t>i09bul</t>
        </is>
      </c>
      <c r="B3858" t="inlineStr">
        <is>
          <t>Got my test results back, and they said “not detected” but I’m having every symptom still</t>
        </is>
      </c>
      <c r="C3858" t="inlineStr">
        <is>
          <t>Hey all, I’ve felt super sick for over a week now and got my test done two days ago. The worst part right now is the insane amount of chest pains, and the shortness of breath. Also having a cough, sore throat, digestive issues, EXTREME fatigue, and headaches. 
My doctor suspected that I would come back with a positive test. However, I got my results back today, and it came back “not detected.”
What should I do now? Did I go too early? Should I keep isolated while I have symptoms? 
Any help would be really appreciated, thank you all!</t>
        </is>
      </c>
      <c r="D3858" t="n">
        <v>1</v>
      </c>
      <c r="E3858" t="n">
        <v>16</v>
      </c>
      <c r="F3858">
        <f>HYPERLINK("https://www.reddit.com/r/COVID19positive/comments/i09bul/got_my_test_results_back_and_they_said_not/")</f>
        <v/>
      </c>
      <c r="G3858" t="inlineStr">
        <is>
          <t>2020-07-29 14:38:16</t>
        </is>
      </c>
      <c r="H3858" t="inlineStr">
        <is>
          <t>Presumed Positive - From Doctor</t>
        </is>
      </c>
    </row>
    <row r="3859">
      <c r="A3859" t="inlineStr">
        <is>
          <t>i0a3fm</t>
        </is>
      </c>
      <c r="B3859" t="inlineStr">
        <is>
          <t>Horrible guilt over potentially infecting vulnerable people</t>
        </is>
      </c>
      <c r="C3859" t="inlineStr">
        <is>
          <t>So I tested positive today. I work in a hospital and had been told the usual doctrine for months of isolate + get tested if you have fever / persistant new cough / loss of smell or taste. 
I started feeling ill on Saturday. Sore throat, congestion, muscle aches, feeling hot / cold (no definite fever), headache type stuff.  None of the 3 symptoms above. Just standard cold symptoms. I'd also just started fasting and was mid 70hr fast when symptoms appeared. Thought it may be related and didn't think too much of it. 
A few months ago I isolated briefly and got tested for what turned out to be a cold so I didn't want to risk pissing off my bosses by calling in again, this time for "non-covid symptoms". It just isn't done, and we are so short staffed I thought I might get laughed at. 
I also have anxiety (don't we all) and often confuse my hypochondria with actual real symptoms. If I called in to work every time I felt "off" then I would never be in work at all. I tend to power through regardless. 
We get tested weekly at work and I arranged that test ASAP knowing that on the off chance it was covid it would be picked up.
So now my symptoms are worse (and more covid specific), but harder to deal with is the fact I may have passed it on at work. To vulnerable patients. 
How do I move past this crippling guilt that someone may get really sick because of me. 
TL;DR Tested positive after routine test after going into work (in a hospital) with what I thought was a cold. Feeling horrendous guilt.</t>
        </is>
      </c>
      <c r="D3859" t="n">
        <v>1</v>
      </c>
      <c r="E3859" t="n">
        <v>147</v>
      </c>
      <c r="F3859">
        <f>HYPERLINK("https://www.reddit.com/r/COVID19positive/comments/i0a3fm/horrible_guilt_over_potentially_infecting/")</f>
        <v/>
      </c>
      <c r="G3859" t="inlineStr">
        <is>
          <t>2020-07-29 15:22:14</t>
        </is>
      </c>
      <c r="H3859" t="inlineStr">
        <is>
          <t>Tested Positive - Me</t>
        </is>
      </c>
    </row>
    <row r="3860">
      <c r="A3860" t="inlineStr">
        <is>
          <t>i0bcib</t>
        </is>
      </c>
      <c r="B3860" t="inlineStr">
        <is>
          <t>Anxiety or shortness of breath?</t>
        </is>
      </c>
      <c r="C3860" t="inlineStr">
        <is>
          <t>I took my test on Sunday and got a call testing positive today. Ever since then if I think about having shortness of breath I start freaking out. I feel really anxious and scared. It sucks being quarantined all alone and there's only so much I can do to keep my mind off of it. I also can't tell if I'm shivering from a fever or from anxiety. Is there a helpline or something I can call to help me calm down?</t>
        </is>
      </c>
      <c r="D3860" t="n">
        <v>1</v>
      </c>
      <c r="E3860" t="n">
        <v>8</v>
      </c>
      <c r="F3860">
        <f>HYPERLINK("https://www.reddit.com/r/COVID19positive/comments/i0bcib/anxiety_or_shortness_of_breath/")</f>
        <v/>
      </c>
      <c r="G3860" t="inlineStr">
        <is>
          <t>2020-07-29 16:37:23</t>
        </is>
      </c>
      <c r="H3860" t="inlineStr">
        <is>
          <t>Tested Positive - Me</t>
        </is>
      </c>
    </row>
    <row r="3861">
      <c r="A3861" t="inlineStr">
        <is>
          <t>i0c5f8</t>
        </is>
      </c>
      <c r="B3861" t="inlineStr">
        <is>
          <t>Thank you guys for this sub!</t>
        </is>
      </c>
      <c r="C3861" t="inlineStr">
        <is>
          <t>This sub has been SO helpful and eye-opening for me. I traveled to Washington over Christmas and came back with a cough/fever that lasted weeks. I ended up getting diagnosed with pneumonia. This was back in late Jan-early Feb when covid JUST got to the US (coincidentally, in WA). 
My boyfriend and I had JUST made plans to move to a new place in a much more rural area. I quit my day job (which was 2 hrs away from my new home) and ran my own online shop full-time for a bit. But I kept feeling so much anxiety and fatigue that I ended up closing it- I couldn't keep up with it anymore. I attributed it to my already-existing ADHD/anxiety and moving to a new place, but after starting a new job, I got sick again. Gave it to my boyfriend, too. We were both down for a few days. I decided it was time for me to stop having so much anxiety about this and do my research- thus finding this sub. 
NOBODY in my town takes it seriously-- mask wearing is about 50/50, and businesses didn't really shut down except for a month or two. After reading about everybody's symptoms on here, it really opened my eyes. A few of my mom's friends passed away from it already &amp;amp; I just found out today. This is a serious thing-- and I'm not saying that in a fear-mongering way, but because it's a brand new virus to ALL of us, we have to be so so careful with our immune systems. It's just crazy how down-played it was at first (still kinda is, around here at least). Cases have gone up soo much in my area. &amp;amp; losing my job meant losing my insurance, too, so it's been real. Thankfully my boyfriend's grandma is helping us out with testing, so we plan to do that this week. We both struggle with mental health stuff &amp;amp; have only lived together for about a year, too, so it's been real to say the least.  But he's been a humongous help at the same time.  
Anyway! Thank you guys so much for sharing your stories, tips, symptoms, etc. It helped give me the wake-up call I needed to start taking my health way more seriously.  Please stay positive &amp;amp; take care of yourselves, also! if you take psych meds please keep in touch with your doctor about the side effects (I had to cut down on Adderall bc it was giving me too much anxiety &amp;amp; contributing to the inflammation/sore muscles... I'm also not about to give myself heart issues if I can help it. It's been a struggle but really did help my symptoms personally, but I understand some people need it!).</t>
        </is>
      </c>
      <c r="D3861" t="n">
        <v>1</v>
      </c>
      <c r="E3861" t="n">
        <v>2</v>
      </c>
      <c r="F3861">
        <f>HYPERLINK("https://www.reddit.com/r/COVID19positive/comments/i0c5f8/thank_you_guys_for_this_sub/")</f>
        <v/>
      </c>
      <c r="G3861" t="inlineStr">
        <is>
          <t>2020-07-29 17:27:17</t>
        </is>
      </c>
      <c r="H3861" t="inlineStr">
        <is>
          <t>Presumed Positive - From Test</t>
        </is>
      </c>
    </row>
    <row r="3862">
      <c r="A3862" t="inlineStr">
        <is>
          <t>i0ce8a</t>
        </is>
      </c>
      <c r="B3862" t="inlineStr">
        <is>
          <t>Recovered but coworker just tested positive.</t>
        </is>
      </c>
      <c r="C3862" t="inlineStr">
        <is>
          <t>I was sick with Covid mid June and have since made a full recovery. I just found out today that one of my coworkers tested positive. We are required to wear masks at work in common spaces and I keep my office door shut all day. Obviously the bathroom is a shared space but I do not come into direct contact with him or anyone right now. Is there a chance I could bring the virus home with me or act as a carrier?</t>
        </is>
      </c>
      <c r="D3862" t="n">
        <v>1</v>
      </c>
      <c r="E3862" t="n">
        <v>7</v>
      </c>
      <c r="F3862">
        <f>HYPERLINK("https://www.reddit.com/r/COVID19positive/comments/i0ce8a/recovered_but_coworker_just_tested_positive/")</f>
        <v/>
      </c>
      <c r="G3862" t="inlineStr">
        <is>
          <t>2020-07-29 17:43:07</t>
        </is>
      </c>
      <c r="H3862" t="inlineStr">
        <is>
          <t>Tested Positive - Me</t>
        </is>
      </c>
    </row>
    <row r="3863">
      <c r="A3863" t="inlineStr">
        <is>
          <t>i0d04d</t>
        </is>
      </c>
      <c r="B3863" t="inlineStr">
        <is>
          <t>Mild COVID-19 &amp;amp; Autoimmunity - My Experience</t>
        </is>
      </c>
      <c r="C3863" t="inlineStr">
        <is>
          <t>Hi there! I recently recovered from COVID-19 and wanted to share my experience for the benefit of everyone in this group. Before testing positive, I relied on this group to keep calm and stay informed, so hopefully this helps someone out there. 
**Personal health background****:** I am 26F and currently live in San Francisco, CA. I am reasonably active (I walk a lot and go on 5k runs every now and then, but I'm not hitting the gym every day). I have a history of autoimmunity (severe eczema, chronic immune hypersensitivity, alopecia) and exercise-induced asthma. Pre-pandemic, I managed my autoimmunity with steroids, topical immunosuppressants, and injectable biologic drugs -- but once the pandemic really took hold here in the States back in March, I made the decision to switch to non-immunosuppressive treatments. I do not smoke tobacco, but I do smoke cannabis pretty regularly since it's legal where I live. 
**Social background:** Like most of the world, I was taking every measure possible to avoid exposure. I stayed home (which I share with only 2 other roommates), and only left for essential trips to the pharmacy/grocery store. My roommates and I agreed that the only visitors who were allowed over were my boyfriend and my roommate's girlfriend, both of whom were also working from home and limiting their social contact. 
**How I was ultimately exposed:** On 7/11, my boyfriend's roommate had a friend over to their house who had tested negative a few days prior. My boyfriend was in close contact with this person for several hours. My boyfriend came over to my apartment the next day, and I spent the night at his house a couple of days later. On 7/15, my boyfriend woke up feeling 'off'. His roommate also felt mildly ill. I went home and stayed put. On 7/16, my boyfriend had mild chills and a fever, and his roommate had lost his sense of smell and taste. On 7/17, the person who'd visited my boyfriend's house the weekend prior confirmed that he had subsequently developed symptoms and tested positive. 
**How my symptoms progressed:**
* 7/17 - I wake up feeling 'off'. No overt symptoms besides feeling fatigued. No fever.
* 7/18 - I had a mild neck ache, a barely-there scratchy throat, and felt tired. I am used to feeling pretty tired given my overactive immune system, so I didn't think much of it. Later in the day, I developed a metallic taste in my mouth and felt a mild but noticeable burning in my sinuses. My nose started running and I sneezed pretty often. At this point, I started self-isolating and wore a mask any time I left my bedroom. 
* 7/19 - I woke up from a 15 hour sleep feeling fatigued. My symptoms from the previous day intensified a bit. I noticed that I lost my sense of smell. Later in the day, I had pretty bad chills and a low-grade fever (99.3 F). To be clear, this was the only fever I had the entire time. I never even took Tylenol to manage my aches or fever. 
* 7/20 - No more fever, but still feeling achy and chilled. I noticed that my lymph nodes were swollen (again, a pretty common thing for me), especially along my jawline and under my chin. Decreased appetite, still sneezing. I woke up in the middle of the night covered in sweat, shaking, and feeling short of breath. I dealt with pretty severe nausea for about an hour, but just focused on taking deep breaths and staying hydrated. I took my albuterol inhaler, managed to avoid vomiting, and eventually went back to sleep. I remember thinking this episode felt a bit like a panic attack, so I wasn't sure if it was just anxiety or what. 
* 7/21 - I got tested. By this point, I was starting to feel much better. I had a good amount of sinus congestion and post-nasal drip, but otherwise felt good. 
* 7/22 - Continued improvement, but I also noticed some mild shortness of breath while I cleaned my room and made my bed. I took my albuterol inhaler and was completely fine.
* 7/23 - Basically no symptoms, maybe some residual congestion and gland swelling. Received my positive test result that evening (shout out Everly Well for the fast testing option, since the City of San Francisco was backed up til 7/31). 
* 7/24 - Complete resolution of symptoms. Spoke to the Health Department, who indicated that I had an extremely mild symptomatic case. This was the last day I really paid attention to my symptoms. 
Here we are 5 days later and cleared to leave self-isolation! I'm officially a COVID-19 survivor, and it feels so strange to say that. That being said, I wanted to wrap up with a few key take aways.
**FINAL THOUGHTS:**
* If you have mild symptoms like mine, TAKE THEM SERIOUSLY. I was fortunate that my case was mild, but I also recognize that lots of other people aren't so lucky. As soon as I started feeling off, I stayed home in my room, wore a mask in common spaces, and was the Clorox Queen. I barely ever ran a fever, y'all. I thought it was all probably just allergies and anxiety, but I chose to self-isolate out of an abundance of caution -- and it turns out that abundance of caution was 100% warranted. I managed to keep both of my roommates healthy and know that I did everything possible to stop the spread. Before I was symptomatic, I followed CDC guidelines and washed my hands constantly, wore a mask out in public, avoided bars/parties/public transportation, etc. Don't dismiss small symptoms - you could end up saving someone's life by staying in your room. If it seems like you're overreacting, you're doing the right thing.
* It is much easier to get exposed than you think. I caught COVID from someone who was pre-symptomatic, who caught it from someone who was pre-symptomatic, and so on. This virus is highly contagious. Remember, I only ever had a low-grade fever for a couple of hours. So, just because everyone gets their temperature checked before walking into a bar doesn't guarantee that everyone in that bar is COVID-free. Just some food for thought.
* COVID is not an automatic death sentence. That is not to say that caution and concern aren't completely warranted, and it's normal to feel anxious during an uncertain time like a pandemic. I have a history of a wonky immune system and lung disease, and I was okay in the end. If you think you have COVID, self-isolate as much as possible, monitor your symptoms, drink lots of fluids, take Vitamin D &amp;amp; Vitamin C, and keep calm. The overwhelming majority of COVID patients survive. 
* Lastly, my autoimmune symptoms actually seemed to improve during the time I was symptomatic, only to resume their usual crappiness once my symptoms resolved. Curious as to whether any other autoimmune peeps experienced something similar? It almost seems like my immune system actually had a real threat to attack for once, so it took a break from attacking my own body. Pure speculation, of course. 
Stay safe out there, and best of luck to my fellow COVID positive peeps.</t>
        </is>
      </c>
      <c r="D3863" t="n">
        <v>1</v>
      </c>
      <c r="E3863" t="n">
        <v>26</v>
      </c>
      <c r="F3863">
        <f>HYPERLINK("https://www.reddit.com/r/COVID19positive/comments/i0d04d/mild_covid19_autoimmunity_my_experience/")</f>
        <v/>
      </c>
      <c r="G3863" t="inlineStr">
        <is>
          <t>2020-07-29 18:23:12</t>
        </is>
      </c>
      <c r="H3863" t="inlineStr">
        <is>
          <t>Tested Positive - Me</t>
        </is>
      </c>
    </row>
    <row r="3864">
      <c r="A3864" t="inlineStr">
        <is>
          <t>i0dicw</t>
        </is>
      </c>
      <c r="B3864" t="inlineStr">
        <is>
          <t>Headaches, stiff neck and back</t>
        </is>
      </c>
      <c r="C3864" t="inlineStr">
        <is>
          <t>Hi all!
I’ve posted in the past about my experience with what is believed to have been covid. I was sick back in April with increased heart rate, chest pain, sob, weakness, muscle pain and so much more. A month later i had some odd swelling in the side of my neck i do have a swollen lymph node but thats in the back of my neck. Anyway i thought this swelling/ full feeling in my neck was getting better but now its back full force. Aside from that im dealing with this lower back pain constant all day headaches and at times neck pain. If i lay down to rest when i get up my whole back and neck feel stiff and my legs feel weak. 
Im becoming mentally drained by this. Im 35 f mother of two, im not use to feeling this way. Its almost 4 months now and im starting to wonder if this is something else. Every doctor i see has no answers and just does blood tests.
Its very frustrating when you feel horrible and not even doctors know what it is or can help. Feels like I am alone trying to find answers. I guess im just venting here.
Has anyone had these issues with back and neck?</t>
        </is>
      </c>
      <c r="D3864" t="n">
        <v>1</v>
      </c>
      <c r="E3864" t="n">
        <v>10</v>
      </c>
      <c r="F3864">
        <f>HYPERLINK("https://www.reddit.com/r/COVID19positive/comments/i0dicw/headaches_stiff_neck_and_back/")</f>
        <v/>
      </c>
      <c r="G3864" t="inlineStr">
        <is>
          <t>2020-07-29 18:57:19</t>
        </is>
      </c>
      <c r="H3864" t="inlineStr">
        <is>
          <t>Presumed Positive - From Doctor</t>
        </is>
      </c>
    </row>
    <row r="3865">
      <c r="A3865" t="inlineStr">
        <is>
          <t>i0elny</t>
        </is>
      </c>
      <c r="B3865" t="inlineStr">
        <is>
          <t>Detected abnormal?</t>
        </is>
      </c>
      <c r="C3865" t="inlineStr">
        <is>
          <t>Can someone please tell me what does that mean on my result for a covid test I took four days ago it literally read result = detected abnormal?? What is that. Please someone help in concerned. Thanks.</t>
        </is>
      </c>
      <c r="D3865" t="n">
        <v>1</v>
      </c>
      <c r="E3865" t="n">
        <v>7</v>
      </c>
      <c r="F3865">
        <f>HYPERLINK("https://www.reddit.com/r/COVID19positive/comments/i0elny/detected_abnormal/")</f>
        <v/>
      </c>
      <c r="G3865" t="inlineStr">
        <is>
          <t>2020-07-29 20:11:01</t>
        </is>
      </c>
      <c r="H3865" t="inlineStr">
        <is>
          <t>Tested Positive - Family</t>
        </is>
      </c>
    </row>
    <row r="3866">
      <c r="A3866" t="inlineStr">
        <is>
          <t>i0fohd</t>
        </is>
      </c>
      <c r="B3866" t="inlineStr">
        <is>
          <t>Any relief for chronic cough</t>
        </is>
      </c>
      <c r="C3866" t="inlineStr">
        <is>
          <t>So currently my main symptom is dry cough. And nothing works. Has anyone found relieve for their coughing and if so what brand. DayQuil and NyQuil don’t do anything for me and I’m exhausted from coughing all the time.</t>
        </is>
      </c>
      <c r="D3866" t="n">
        <v>1</v>
      </c>
      <c r="E3866" t="n">
        <v>7</v>
      </c>
      <c r="F3866">
        <f>HYPERLINK("https://www.reddit.com/r/COVID19positive/comments/i0fohd/any_relief_for_chronic_cough/")</f>
        <v/>
      </c>
      <c r="G3866" t="inlineStr">
        <is>
          <t>2020-07-29 21:30:47</t>
        </is>
      </c>
      <c r="H3866" t="inlineStr">
        <is>
          <t>Tested Positive - Me</t>
        </is>
      </c>
    </row>
    <row r="3867">
      <c r="A3867" t="inlineStr">
        <is>
          <t>i0g7bi</t>
        </is>
      </c>
      <c r="B3867" t="inlineStr">
        <is>
          <t>I tested positive and I’m scared of infecting others</t>
        </is>
      </c>
      <c r="C3867" t="inlineStr">
        <is>
          <t>It’s all my fault for going to restaurants and bars when I knew I shouldn’t so now I believe that’s how I git it.. but I wasn’t really going out as much but I think that’s how I got it. I’m scared of infecting others like my family and friends who were close to me before I got the results in. How do I know for sure that I had it before someone I know had it? Because I’m thinking that one of my friends had it before I did but he never went to get tested but I did and got the results. 
What do you guys recommend so I can not have it anymore? I am already send- quarantine and taking medicines but what else can I do so COVID goes away from my body? The only symptoms I have is sore throat( still hurts) and my body sometimes feel week when walking. :( 
How legit is the COVID test? Should I go do another one?</t>
        </is>
      </c>
      <c r="D3867" t="n">
        <v>1</v>
      </c>
      <c r="E3867" t="n">
        <v>4</v>
      </c>
      <c r="F3867">
        <f>HYPERLINK("https://www.reddit.com/r/COVID19positive/comments/i0g7bi/i_tested_positive_and_im_scared_of_infecting/")</f>
        <v/>
      </c>
      <c r="G3867" t="inlineStr">
        <is>
          <t>2020-07-29 22:11:41</t>
        </is>
      </c>
      <c r="H3867" t="inlineStr">
        <is>
          <t>Tested Positive - Me</t>
        </is>
      </c>
    </row>
    <row r="3868">
      <c r="A3868" t="inlineStr">
        <is>
          <t>i0g7ww</t>
        </is>
      </c>
      <c r="B3868" t="inlineStr">
        <is>
          <t>Graduated from quarantine. Weak and puny</t>
        </is>
      </c>
      <c r="C3868" t="inlineStr">
        <is>
          <t>Initial symptom was a sore throat on June 19. Was sick for a solid 3 weeks. Finally graduated from quarantine and returned to work on July 19. 
I also have narcolepsy. My options are to be too keyed up from Adderall (feel I'm a beat up car forced to accelerate to 90 mph) and hurting or to be falling asleep at my desk and hurting. Then I go home and am too exhausted and hurting to do anything but look at the wall in my living room. Or browse reddit. 
This sucks! The shortness of breath returned yesterday. I think I made it through last week at work through sheer adrenaline.</t>
        </is>
      </c>
      <c r="D3868" t="n">
        <v>1</v>
      </c>
      <c r="E3868" t="n">
        <v>3</v>
      </c>
      <c r="F3868">
        <f>HYPERLINK("https://www.reddit.com/r/COVID19positive/comments/i0g7ww/graduated_from_quarantine_weak_and_puny/")</f>
        <v/>
      </c>
      <c r="G3868" t="inlineStr">
        <is>
          <t>2020-07-29 22:12:57</t>
        </is>
      </c>
      <c r="H3868" t="inlineStr">
        <is>
          <t>Tested Positive - Me</t>
        </is>
      </c>
    </row>
    <row r="3869">
      <c r="A3869" t="inlineStr">
        <is>
          <t>i0gawq</t>
        </is>
      </c>
      <c r="B3869" t="inlineStr">
        <is>
          <t>I had a feeling it was going to happen</t>
        </is>
      </c>
      <c r="C3869" t="inlineStr">
        <is>
          <t>My family doesn't do social distancing very well. They keep inviting people over to our house. Earlier today, a relative had invited friends and family over to their house to swim at their pool. I've been doing my best to social distance but it's hard when the rest of your family that you live with doesn't. So I stayed away from people as best as I could.
Almost everyone swam in the pool and ate snacks from the same bag; digging their hands in there and not washing them. I had a small feeling in my gut that something was going to happen. But I thought that was just me worrying too much about this virus. This evening we got a call that one of the families that came was exposed to a person who had just tested positive for the virus. I knew this was going to happen, and I've been saying it to my family that we shouldn't keep inviting people over. But like always, my family never listens to me. They always think I'm overreacting. I wish they would just listen for once. Now we wait.</t>
        </is>
      </c>
      <c r="D3869" t="n">
        <v>1</v>
      </c>
      <c r="E3869" t="n">
        <v>22</v>
      </c>
      <c r="F3869">
        <f>HYPERLINK("https://www.reddit.com/r/COVID19positive/comments/i0gawq/i_had_a_feeling_it_was_going_to_happen/")</f>
        <v/>
      </c>
      <c r="G3869" t="inlineStr">
        <is>
          <t>2020-07-29 22:20:03</t>
        </is>
      </c>
      <c r="H3869" t="inlineStr">
        <is>
          <t>Tested Positive - Friends</t>
        </is>
      </c>
    </row>
    <row r="3870">
      <c r="A3870" t="inlineStr">
        <is>
          <t>i0gfki</t>
        </is>
      </c>
      <c r="B3870" t="inlineStr">
        <is>
          <t>How long should I quarantine</t>
        </is>
      </c>
      <c r="C3870" t="inlineStr">
        <is>
          <t>So I was exposed at the same time as my mom and shes been sick since last week she is positive. I however have not shown any symptoms at all. Since I don't have symptoms I cant get tested. what im wondering is how long until I can go see my girlfriend. do i just wait 3 weeks or what also my dad doesn't want to get tested and doesn't want me to get tested either and my dad isn't the best at discussion. so how long should I wait or what also my girlfriends diabetic which is why I really dont want to take a chance.</t>
        </is>
      </c>
      <c r="D3870" t="n">
        <v>1</v>
      </c>
      <c r="E3870" t="n">
        <v>2</v>
      </c>
      <c r="F3870">
        <f>HYPERLINK("https://www.reddit.com/r/COVID19positive/comments/i0gfki/how_long_should_i_quarantine/")</f>
        <v/>
      </c>
      <c r="G3870" t="inlineStr">
        <is>
          <t>2020-07-29 22:30:36</t>
        </is>
      </c>
      <c r="H3870" t="inlineStr">
        <is>
          <t>Tested Positive - Family</t>
        </is>
      </c>
    </row>
    <row r="3871">
      <c r="A3871" t="inlineStr">
        <is>
          <t>i0gncv</t>
        </is>
      </c>
      <c r="B3871" t="inlineStr">
        <is>
          <t>Long term low-grade fever - reason for concern?</t>
        </is>
      </c>
      <c r="C3871" t="inlineStr">
        <is>
          <t>Seems like one of the tail symptoms of covid for some of you (including myself) is a low-grade, long term fever.  I've personally had one for the better part of the last 5 months.  (~99.5 for 6.5 wks March-April; and again for a second bout of covid starting in mid-June.  Generally normal temp in the morning; fever starts in the afternoon).
I'm starting to wonder whether this in itself is cause for concern re: side-effects, etc.  For any of you that have had this low-grade long term fever, have you asked your doctor about it?  Received any advice/statements about what make of it?</t>
        </is>
      </c>
      <c r="D3871" t="n">
        <v>1</v>
      </c>
      <c r="E3871" t="n">
        <v>7</v>
      </c>
      <c r="F3871">
        <f>HYPERLINK("https://www.reddit.com/r/COVID19positive/comments/i0gncv/long_term_lowgrade_fever_reason_for_concern/")</f>
        <v/>
      </c>
      <c r="G3871" t="inlineStr">
        <is>
          <t>2020-07-29 22:49:02</t>
        </is>
      </c>
      <c r="H3871" t="inlineStr">
        <is>
          <t>Tested Positive - Family</t>
        </is>
      </c>
    </row>
    <row r="3872">
      <c r="A3872" t="inlineStr">
        <is>
          <t>i0hb2m</t>
        </is>
      </c>
      <c r="B3872" t="inlineStr">
        <is>
          <t>Teen Survivor of COVID Vent</t>
        </is>
      </c>
      <c r="C3872" t="inlineStr">
        <is>
          <t>(I put presumed positive, because I had it before COVID 19 tests were made).
A month to two months before COVID had started being reported in China, I was extremely sick. I took multiple flu tests, strep tests, etc. and everything came back negative. I couldn’t taste anything, I lost part of my hearing, I couldn’t smell either. I constantly felt weak, and it was terrible. I thought I was dying. Doctors kept saying, oh it’s probably just the flu, and my mom would have to explain to them the severity of my condition. 
There was this one night though. Where I had just thrown up, and was about to again, and even though I’m not a very religious person, I had a talk with God. I was sitting on this couch in a hotel (because we planned a trip and still went cause I was getting slightly better but then got MUCH worse once we were there), and I had a talk with God about life. I remember asking him to take care of my family, but mainly my mom. I remember asking God to kill me. For Death to come and kill me. I wanted to die.
I told my mom that her sleeping on the couch beside me snoring was what knocked me out of that thought process and made me want to live, as to not scare her. But, that’s not true. I thought I was dying, and I wanted to die. When I did really look at her, I just kept asking God to take care of her for me and to look out for her. I wrote a note on my phone that said I love you, and I am just reeling.
I was running on pills, I couldn’t keep anything down. And now, I am healed and okay. But, it was such an odd experience. And, since I was sick during the school year before Covid was thing, I missed a lot of schoolwork and my grades suffered because of it. I’m really worried that I won’t be able to alert colleges that I had COVID 19 and that’s why my grades dipped. 
I really just wanted to vent, and to those who do currently have COVID 19 - Apple sauce, lemonade, and gushers helped me. Hope you get through this, stay strong.</t>
        </is>
      </c>
      <c r="D3872" t="n">
        <v>1</v>
      </c>
      <c r="E3872" t="n">
        <v>6</v>
      </c>
      <c r="F3872">
        <f>HYPERLINK("https://www.reddit.com/r/COVID19positive/comments/i0hb2m/teen_survivor_of_covid_vent/")</f>
        <v/>
      </c>
      <c r="G3872" t="inlineStr">
        <is>
          <t>2020-07-29 23:46:28</t>
        </is>
      </c>
      <c r="H3872" t="inlineStr">
        <is>
          <t>Presumed Positive - From Doctor</t>
        </is>
      </c>
    </row>
    <row r="3873">
      <c r="A3873" t="inlineStr">
        <is>
          <t>i0iaoy</t>
        </is>
      </c>
      <c r="B3873" t="inlineStr">
        <is>
          <t>Anyone still waiting for their sense of smell to come back?</t>
        </is>
      </c>
      <c r="C3873" t="inlineStr">
        <is>
          <t>It's been about month+ and my sense of smell is still at like 10%. My right nostril feels like it can smell at 10% capacity but my left nostril feels like it's at 5% capacity. Has anyone experience something like this before? I can only smell if I bring them real close. Somedays have been better than other though, one day I remember being able to smell the breakfast my family was cooking. Today I can barely smell the bayleafs from the tree outside. This is really depressing me and I'd like to here if someone has had a similar experience.</t>
        </is>
      </c>
      <c r="D3873" t="n">
        <v>1</v>
      </c>
      <c r="E3873" t="n">
        <v>5</v>
      </c>
      <c r="F3873">
        <f>HYPERLINK("https://www.reddit.com/r/COVID19positive/comments/i0iaoy/anyone_still_waiting_for_their_sense_of_smell_to/")</f>
        <v/>
      </c>
      <c r="G3873" t="inlineStr">
        <is>
          <t>2020-07-30 01:17:49</t>
        </is>
      </c>
      <c r="H3873" t="inlineStr">
        <is>
          <t>Tested Positive - Me</t>
        </is>
      </c>
    </row>
    <row r="3874">
      <c r="A3874" t="inlineStr">
        <is>
          <t>i0issr</t>
        </is>
      </c>
      <c r="B3874" t="inlineStr">
        <is>
          <t>Have any of you who've recovered dealt with repeatedly getting positive pcr results?</t>
        </is>
      </c>
      <c r="C3874" t="inlineStr">
        <is>
          <t>I first tested positive on the 16th of July and have been symptom free since about the 23rd of July. However, I've tested positive (pcr test) on the 26th of July and again today. Has anyone seen a situation like this? How long will I keep testing positive?</t>
        </is>
      </c>
      <c r="D3874" t="n">
        <v>1</v>
      </c>
      <c r="E3874" t="n">
        <v>24</v>
      </c>
      <c r="F3874">
        <f>HYPERLINK("https://www.reddit.com/r/COVID19positive/comments/i0issr/have_any_of_you_whove_recovered_dealt_with/")</f>
        <v/>
      </c>
      <c r="G3874" t="inlineStr">
        <is>
          <t>2020-07-30 02:05:30</t>
        </is>
      </c>
      <c r="H3874" t="inlineStr">
        <is>
          <t>Tested Positive - Me</t>
        </is>
      </c>
    </row>
    <row r="3875">
      <c r="A3875" t="inlineStr">
        <is>
          <t>i0j0q3</t>
        </is>
      </c>
      <c r="B3875" t="inlineStr">
        <is>
          <t>[26F] Post-viral fatigue and confusion: how to treat it?</t>
        </is>
      </c>
      <c r="C3875" t="inlineStr">
        <is>
          <t>Hi guys, my girlfriend \[26F\] has recovered from covid-19 and now she feels really tired, just to give some timeline:
* Onset of symptoms: July 1st
* Hospitalized: about week later (July 8-9)
* Discharged:  somewhere July 20-22
* Got tested negative: July 23
So, it's been 1 month of her dealing with all this shit. And now, she feels scared because she's almost always feeling tired, she tried to go for a walk and felt really tired and went back home. I was thinking maybe it's because of too much antibiotics that been injected into her body when she was at the hospital. She doesn't have any other complaints except having sometimes a body temperature of 98.5-99F.  And the problem is in 1-2 weeks she will need to go back to work.
So how to deal with this? What should she do to get better?</t>
        </is>
      </c>
      <c r="D3875" t="n">
        <v>1</v>
      </c>
      <c r="E3875" t="n">
        <v>6</v>
      </c>
      <c r="F3875">
        <f>HYPERLINK("https://www.reddit.com/r/COVID19positive/comments/i0j0q3/26f_postviral_fatigue_and_confusion_how_to_treat/")</f>
        <v/>
      </c>
      <c r="G3875" t="inlineStr">
        <is>
          <t>2020-07-30 02:25:59</t>
        </is>
      </c>
      <c r="H3875" t="inlineStr">
        <is>
          <t>Tested Positive - Friends</t>
        </is>
      </c>
    </row>
    <row r="3876">
      <c r="A3876" t="inlineStr">
        <is>
          <t>i0j7ff</t>
        </is>
      </c>
      <c r="B3876" t="inlineStr">
        <is>
          <t>After 24 days everyday body temperature is 37,4 C, still no clear sense of smell/taste</t>
        </is>
      </c>
      <c r="C3876" t="inlineStr">
        <is>
          <t>Hi, I'm on a day 24 today with still no clear sense of smell or a taste. I have this strange smell/taste in my nose/throat when someone is smoking near me, very strong and disgusting. It reminds me of sour milk or cheese, or something chemical. The only thing I get to smell are oils, like coconut oil, rosehip oil etc. My everyday body temperature ranges from 37,1C to 37,4C and it's been 26 days now. The doctors are not sure why I still have the temperature as my lungs are clear. They gave me antibiotics just in case I have some bacteria or something, but it doesn't help with temperature.   
I was tested positive on 12th July and retested on 28th, still waiting for the second test results. 
Is anyone experiencing the same symptoms?</t>
        </is>
      </c>
      <c r="D3876" t="n">
        <v>1</v>
      </c>
      <c r="E3876" t="n">
        <v>2</v>
      </c>
      <c r="F3876">
        <f>HYPERLINK("https://www.reddit.com/r/COVID19positive/comments/i0j7ff/after_24_days_everyday_body_temperature_is_374_c/")</f>
        <v/>
      </c>
      <c r="G3876" t="inlineStr">
        <is>
          <t>2020-07-30 02:43:05</t>
        </is>
      </c>
      <c r="H3876" t="inlineStr">
        <is>
          <t>Tested Positive</t>
        </is>
      </c>
    </row>
    <row r="3877">
      <c r="A3877" t="inlineStr">
        <is>
          <t>i0lf2c</t>
        </is>
      </c>
      <c r="B3877" t="inlineStr">
        <is>
          <t>I'm struggling with feelings of guilt or that it was all in my head and I overreacted.</t>
        </is>
      </c>
      <c r="C3877" t="inlineStr">
        <is>
          <t>I'm flipping between feelings that I overreacted and missed a ton of work for no reason and guilt that I exposed my high risk family members to a deadly disease. My symptoms or my first noticeable symptoms started on last Thursday at work but I had been feeling rundown earlier this month but I feel that happens to me once a week so I dismissed it until Thursday. I started to get extremely dizzy and nauseous. I was hoping maybe I was dehydrated or I had food poisoning.  My nausea and dizziness got worse throughout the day til I couldn't turn my head on my pillow without feeling the room spin and I also developed chills. The severe dizziness and nausea continued for 3 days. The next day, Friday, i woke with a sore throat, headache, slight fever, muscle aches, short of breath, vomiting + dizziness and nausea. I wasn't able to get a test until Saturday and I scheduled tests for my mother and sister who are both high risk for Monday. It was a a CVS Self Swab. I quarantined myself in my room for the entire time and wore a  mask and gloves. I was worried I had exposed my sister who has asthma and a compromised immune system or my mom who has high blood pressure, is overweight + 60+ had been exposed. 
I started taking vitamin d and k-2 in March because I have vampiric levels of vitamin d and on Monday started taking zinc lozenges, Famotidine, Quercetin and N-Acetyl-L-Cysteine. 
My sister started to develop a sore throat on Saturday, some dizziness, nausea and a headache.
My mom doesn't have any symptoms but my mom and sister quarantined in a different part of the apartment together and I'm worried I started a domino effect.
I got my results yesterday from my CVS drive through test and I'm negative, my mother is negative and my sister is positive. I have another test scheduled for Saturday just in case it was a false negative. 
Apparently my mom thought I was a hypochondriac and wasn't sick and I'm worried that maybe she's right but it can't have all been in my head. I feel better but still fatigued, have some shortness of breath, my eyes feel dry/irritated and have a constant stomach ache. My mom and sister have both talked about wills and my sister made my mom and I cry because she really doesn't think she will live and has talked about how she wants to be cremated even before she tested positive she didn't she would make it to November.
One thing I'm hopeful about is that we wore masks and washed/disinfected our hands frequently so hopefully we didn't get an intense viral load(I'm not sure if that is the right word.) Also it has been about a week and they haven't shown severe symptoms. Also I know because my sister is positive I wouldn't be able to have worked this week anyway. Sorry for the wall of text but thank you for reading.</t>
        </is>
      </c>
      <c r="D3877" t="n">
        <v>1</v>
      </c>
      <c r="E3877" t="n">
        <v>13</v>
      </c>
      <c r="F3877">
        <f>HYPERLINK("https://www.reddit.com/r/COVID19positive/comments/i0lf2c/im_struggling_with_feelings_of_guilt_or_that_it/")</f>
        <v/>
      </c>
      <c r="G3877" t="inlineStr">
        <is>
          <t>2020-07-30 05:46:05</t>
        </is>
      </c>
      <c r="H3877" t="inlineStr">
        <is>
          <t>Tested Positive - Family</t>
        </is>
      </c>
    </row>
    <row r="3878">
      <c r="A3878" t="inlineStr">
        <is>
          <t>i0n0tb</t>
        </is>
      </c>
      <c r="B3878" t="inlineStr">
        <is>
          <t>Had a bunch of symptoms, loss of smell did it for me.</t>
        </is>
      </c>
      <c r="C3878" t="inlineStr">
        <is>
          <t>On Saturday 07/25 I woke up with a very sore throat, I couldn’t even drink water.
I was outside all day setting up a tent for a small cookout (10 ppl) and started feeling very drained. I drank two Advil’s, felt a little bit better and carried on with my day. 
Sunday comes and I start feeling very cold, tired and my nose gets runny (sore throat is still there) I’m constantly sweating and my eyes are very painful. 
Monday I set up a virtual appointment with a doctor at 11:00pm because I could not take the throat pain anymore (he gives me amoxcillin and oral lidocaine). My sister starts complaining about a sore throat. 
Tuesday throat pain is still intense but all other symptoms have subsided except for night sweats, throat pain, and very minimal congestion. 
Wednesday night after believing I was feeling a lot better I lost my sense of smell, here I go on another virtual call with a doctor only for him to say everything else pointed at strep but your sense of smell is not common and may be covid. 
My question to you all, has anyone had similar symptoms? And is your sore throat a burning sensation rather than actual pain? I’m still waiting to see where I’m going to get tested (got charged $250 last time and would rather go somewhere free)</t>
        </is>
      </c>
      <c r="D3878" t="n">
        <v>1</v>
      </c>
      <c r="E3878" t="n">
        <v>15</v>
      </c>
      <c r="F3878">
        <f>HYPERLINK("https://www.reddit.com/r/COVID19positive/comments/i0n0tb/had_a_bunch_of_symptoms_loss_of_smell_did_it_for/")</f>
        <v/>
      </c>
      <c r="G3878" t="inlineStr">
        <is>
          <t>2020-07-30 07:30:22</t>
        </is>
      </c>
      <c r="H3878" t="inlineStr">
        <is>
          <t>Presumed Positive - From Doctor</t>
        </is>
      </c>
    </row>
    <row r="3879">
      <c r="A3879" t="inlineStr">
        <is>
          <t>i0o0id</t>
        </is>
      </c>
      <c r="B3879" t="inlineStr">
        <is>
          <t>Hunger-like fatigue?</t>
        </is>
      </c>
      <c r="C3879" t="inlineStr">
        <is>
          <t>when I first read about the fatigue symptom, I thought it would be like the feeling you get when you're out of breath from running or doing exercise, or maybe like that tiredness you get when you're feverish. But now that I got my results back, I noticed that I have beed feeling weak these past weeks. Weak like if I havent eaten anything and my body is just asking for some fuel. it's not constant, it comes in waves and it's not severe either, I can still walk and do everything, but I feel my energy draining nonetheless. I need to mention that I have been eating less these days, but is this the fatigue caused by coronavirus?</t>
        </is>
      </c>
      <c r="D3879" t="n">
        <v>1</v>
      </c>
      <c r="E3879" t="n">
        <v>4</v>
      </c>
      <c r="F3879">
        <f>HYPERLINK("https://www.reddit.com/r/COVID19positive/comments/i0o0id/hungerlike_fatigue/")</f>
        <v/>
      </c>
      <c r="G3879" t="inlineStr">
        <is>
          <t>2020-07-30 08:27:27</t>
        </is>
      </c>
      <c r="H3879" t="inlineStr">
        <is>
          <t>Tested Positive</t>
        </is>
      </c>
    </row>
    <row r="3880">
      <c r="A3880" t="inlineStr">
        <is>
          <t>i0oncl</t>
        </is>
      </c>
      <c r="B3880" t="inlineStr">
        <is>
          <t>6 weeks and still testing positive</t>
        </is>
      </c>
      <c r="C3880" t="inlineStr">
        <is>
          <t>My only symptom was loss of taste and smell. I’ve been isolating away from family since. I went today after 6 weeks (tested in two week intervals) and i am still positive. I don’t know what else to do since I have elderly parents and I want to be as cautious as possible. Anybody else wait this long? How long did it take for you to test negative?</t>
        </is>
      </c>
      <c r="D3880" t="n">
        <v>1</v>
      </c>
      <c r="E3880" t="n">
        <v>9</v>
      </c>
      <c r="F3880">
        <f>HYPERLINK("https://www.reddit.com/r/COVID19positive/comments/i0oncl/6_weeks_and_still_testing_positive/")</f>
        <v/>
      </c>
      <c r="G3880" t="inlineStr">
        <is>
          <t>2020-07-30 09:02:59</t>
        </is>
      </c>
      <c r="H3880" t="inlineStr">
        <is>
          <t>Tested Positive - Me</t>
        </is>
      </c>
    </row>
    <row r="3881">
      <c r="A3881" t="inlineStr">
        <is>
          <t>i0p6lo</t>
        </is>
      </c>
      <c r="B3881" t="inlineStr">
        <is>
          <t>Post covid insomnia??</t>
        </is>
      </c>
      <c r="C3881" t="inlineStr">
        <is>
          <t>It’s not anxiety or stress. I feel fine now. It’s been 2.5 weeks since I tested positive except now I’ve been sleeping like shit. I feel physically tired at night but I just can’t sleep. I’ve been tossing and turning all night, the last 4 nights. 
I’ve been working outside and exercising during the day, and I still can hardly sleep. I’ve never had this issue before. I highly enjoy getting my rest and normally get 8 hours of sleep. I have now been averaging about 3-5 hours of sleeping very lightly; I wake up every 2 hours. 
Probably going to get some ambien because the brain fog from the lack of sleep is really starting to annoy me.</t>
        </is>
      </c>
      <c r="D3881" t="n">
        <v>1</v>
      </c>
      <c r="E3881" t="n">
        <v>11</v>
      </c>
      <c r="F3881">
        <f>HYPERLINK("https://www.reddit.com/r/COVID19positive/comments/i0p6lo/post_covid_insomnia/")</f>
        <v/>
      </c>
      <c r="G3881" t="inlineStr">
        <is>
          <t>2020-07-30 09:32:22</t>
        </is>
      </c>
      <c r="H3881" t="inlineStr">
        <is>
          <t>Tested Positive - Me</t>
        </is>
      </c>
    </row>
    <row r="3882">
      <c r="A3882" t="inlineStr">
        <is>
          <t>i0pfri</t>
        </is>
      </c>
      <c r="B3882" t="inlineStr">
        <is>
          <t>My family of 6 all had Covid-19 at the beginning of July, we are now recovered! Here's how it went:</t>
        </is>
      </c>
      <c r="C3882" t="inlineStr">
        <is>
          <t>Yes there are 6 of us living together, my parents (60+), uncle (mid-40s), older brother (40), me (mid-20s) and younger brother (early-20s). 
My uncle contracted it from a coworker, brought it home and proceeded to infect my dad and younger brother. Because they kept insisting the symptoms were related to food poisoning, they did not self-isolate and got the rest of us sick too. The last weekend of June, my Uncle and Father both got tested and came back positive 3 days later. By then, my younger brother/father/uncle were all having mild-moderate symptoms. 
I want to say the 3 of them were out of commission for 4-5 days, with the rest of us administering care. 
I got tested July 2nd, and came back positive. By July 3rd, I was bed-bound, feverish and unable to do much but sleep and cry. Same with my older brother. At this time, the first 3 were coming out of the worst of it and able to keep an eye on us. 
I was sick for about 10 days, 6 of those with serious symptoms. I can elaborate if anyone wishes, as I took notes on most of our symptoms. 
Weirdly enough, my mom, who slept next to my sick dad the whole time and has a history of high blood pressure and cancer, only had a low fever one night, and showed NO other symptoms. She was the only one who didn't end up falling ill. 
I want to say this all started around June 24th? My father + uncle tested positive on June 28th. I tested positive twice (July 2nd &amp;amp; July 14th), and got a negative on July 22th (along with my mom). Both my brothers got tested sometime of the week of July 6th and came back Negative. 
Thankfully all of us are recovered, with some lingering issues, but no one ended up hospitalized (tho we got close!). I feel incredibly lucky that we were all able to pull through. If anyone is interested in what we did care-wise or our symptoms, please feel free to ask!</t>
        </is>
      </c>
      <c r="D3882" t="n">
        <v>1</v>
      </c>
      <c r="E3882" t="n">
        <v>116</v>
      </c>
      <c r="F3882">
        <f>HYPERLINK("https://www.reddit.com/r/COVID19positive/comments/i0pfri/my_family_of_6_all_had_covid19_at_the_beginning/")</f>
        <v/>
      </c>
      <c r="G3882" t="inlineStr">
        <is>
          <t>2020-07-30 09:46:33</t>
        </is>
      </c>
      <c r="H3882" t="inlineStr">
        <is>
          <t>Tested Positive</t>
        </is>
      </c>
    </row>
    <row r="3883">
      <c r="A3883" t="inlineStr">
        <is>
          <t>i0pvyt</t>
        </is>
      </c>
      <c r="B3883" t="inlineStr">
        <is>
          <t>Tested positive and recovered ,or not?</t>
        </is>
      </c>
      <c r="C3883" t="inlineStr">
        <is>
          <t>So i tested positive a month ago with mild symptoms. My doctor told me to wait for 10 days and end isolation if there isnt any symptoms but since i was very worried to spread it to others i waited for a month to go out. The thing is that i went out yesterday for the first time in more than a month just to pick up my food from the delivery guy wearing my mask. But then i started overthinking what if I haven’t recovered and what if i gave it to that poor guy. And i dont know now i feel a bit fatigued or i’m just imagining i have no idea. I even started taking my temperature every single minute and one time it went up to 98.78 and i feel like that’s pretty high. I feel terrified from the idea that i might transmitted it to others without knowing. Am i over thinking ? Or what should i do. Any advice?</t>
        </is>
      </c>
      <c r="D3883" t="n">
        <v>1</v>
      </c>
      <c r="E3883" t="n">
        <v>10</v>
      </c>
      <c r="F3883">
        <f>HYPERLINK("https://www.reddit.com/r/COVID19positive/comments/i0pvyt/tested_positive_and_recovered_or_not/")</f>
        <v/>
      </c>
      <c r="G3883" t="inlineStr">
        <is>
          <t>2020-07-30 10:10:29</t>
        </is>
      </c>
      <c r="H3883" t="inlineStr">
        <is>
          <t>Tested Positive - Me</t>
        </is>
      </c>
    </row>
    <row r="3884">
      <c r="A3884" t="inlineStr">
        <is>
          <t>i0rbbc</t>
        </is>
      </c>
      <c r="B3884" t="inlineStr">
        <is>
          <t>Day 11 of COVID</t>
        </is>
      </c>
      <c r="C3884" t="inlineStr">
        <is>
          <t>I am currently on day 11 since I have tested positive from COVID. Please share your experiences.</t>
        </is>
      </c>
      <c r="D3884" t="n">
        <v>1</v>
      </c>
      <c r="E3884" t="n">
        <v>2</v>
      </c>
      <c r="F3884">
        <f>HYPERLINK("https://www.reddit.com/r/COVID19positive/comments/i0rbbc/day_11_of_covid/")</f>
        <v/>
      </c>
      <c r="G3884" t="inlineStr">
        <is>
          <t>2020-07-30 11:27:48</t>
        </is>
      </c>
      <c r="H3884" t="inlineStr">
        <is>
          <t>Tested Positive - Me</t>
        </is>
      </c>
    </row>
    <row r="3885">
      <c r="A3885" t="inlineStr">
        <is>
          <t>i0rvbk</t>
        </is>
      </c>
      <c r="B3885" t="inlineStr">
        <is>
          <t>Neurological Symptoms Worsening</t>
        </is>
      </c>
      <c r="C3885" t="inlineStr">
        <is>
          <t>Today marks my 6th week. Last night while messaging a friend they had pointed out that I was using the wrong words or putting sentences in the incorrect order. I had noticed a progressively intense brain fog over the last few days but had not realized how bad it was affecting me. I have been having to say each word in my head and reread each sentence to try to make sure it made sense. 
My wife had noted that I seemed off last night as well like I was distant and not there. She also had noticed I have been a lot snappier than normal.
The biggest change that I have noticed is over the last two days I have begun having hallucinations of insects crawling across the walls or the floor. When I turn my eyes to look at them the disappear. 
My headache had subsided for a brief period of time early this week but the full cranial pressure headache has returned.
My PCP is not seeing COVID-19 symptomatic or confirmed patients at their clinic and I'm trying to see about setting up a video call with them. I have no clue what is going on and I'm wondering if anyone else has experienced the hallucinations and mood changes.</t>
        </is>
      </c>
      <c r="D3885" t="n">
        <v>1</v>
      </c>
      <c r="E3885" t="n">
        <v>49</v>
      </c>
      <c r="F3885">
        <f>HYPERLINK("https://www.reddit.com/r/COVID19positive/comments/i0rvbk/neurological_symptoms_worsening/")</f>
        <v/>
      </c>
      <c r="G3885" t="inlineStr">
        <is>
          <t>2020-07-30 11:57:41</t>
        </is>
      </c>
      <c r="H3885" t="inlineStr">
        <is>
          <t>Tested Positive</t>
        </is>
      </c>
    </row>
    <row r="3886">
      <c r="A3886" t="inlineStr">
        <is>
          <t>i0s2aa</t>
        </is>
      </c>
      <c r="B3886" t="inlineStr">
        <is>
          <t>21 Days Later I tested Negative!</t>
        </is>
      </c>
      <c r="C3886" t="inlineStr">
        <is>
          <t>Hey guys, I’ve been tested positive since July 8th, and I got retested July 27th, results came back in yesterday and they are negative!  I lost my sense of taste and smell, not 100% but it’s totally faint. Hopefully it’ll go back to normal.
Keep having faith guys, keep striving!</t>
        </is>
      </c>
      <c r="D3886" t="n">
        <v>1</v>
      </c>
      <c r="E3886" t="n">
        <v>4</v>
      </c>
      <c r="F3886">
        <f>HYPERLINK("https://www.reddit.com/r/COVID19positive/comments/i0s2aa/21_days_later_i_tested_negative/")</f>
        <v/>
      </c>
      <c r="G3886" t="inlineStr">
        <is>
          <t>2020-07-30 12:07:46</t>
        </is>
      </c>
      <c r="H3886" t="inlineStr">
        <is>
          <t>Tested Positive - Me</t>
        </is>
      </c>
    </row>
    <row r="3887">
      <c r="A3887" t="inlineStr">
        <is>
          <t>i0s9qj</t>
        </is>
      </c>
      <c r="B3887" t="inlineStr">
        <is>
          <t>We were exposed—what to do now?</t>
        </is>
      </c>
      <c r="C3887" t="inlineStr">
        <is>
          <t>We received word this morning that someone my SO spent time with yesterday for about 4 hours indoors has tested positive. He did not disclose to us that he was ill or had been tested. After he notified us today, he said he’s been sick for 2 weeks and got a test on Monday. I’m in a total panic because we’ve been trying our best and my SO thought he was with a trusted friend who was also doing their best. Despite our blinding anger, what can we do now? How long should we wait to get tested? Should we take supplements? Any help or recommendations are appreciated. Also, how do you deal with the stress and anxiety of waiting to see if you are sick?</t>
        </is>
      </c>
      <c r="D3887" t="n">
        <v>1</v>
      </c>
      <c r="E3887" t="n">
        <v>9</v>
      </c>
      <c r="F3887">
        <f>HYPERLINK("https://www.reddit.com/r/COVID19positive/comments/i0s9qj/we_were_exposedwhat_to_do_now/")</f>
        <v/>
      </c>
      <c r="G3887" t="inlineStr">
        <is>
          <t>2020-07-30 12:18:56</t>
        </is>
      </c>
      <c r="H3887" t="inlineStr">
        <is>
          <t>Tested Positive - Friends</t>
        </is>
      </c>
    </row>
    <row r="3888">
      <c r="A3888" t="inlineStr">
        <is>
          <t>i0sclq</t>
        </is>
      </c>
      <c r="B3888" t="inlineStr">
        <is>
          <t>Post-viral cough?</t>
        </is>
      </c>
      <c r="C3888" t="inlineStr">
        <is>
          <t>I didn’t have a cough when I had covid but a few days after I tested negative I developed a dry cough. Has this happened with anyone?</t>
        </is>
      </c>
      <c r="D3888" t="n">
        <v>1</v>
      </c>
      <c r="E3888" t="n">
        <v>21</v>
      </c>
      <c r="F3888">
        <f>HYPERLINK("https://www.reddit.com/r/COVID19positive/comments/i0sclq/postviral_cough/")</f>
        <v/>
      </c>
      <c r="G3888" t="inlineStr">
        <is>
          <t>2020-07-30 12:23:16</t>
        </is>
      </c>
      <c r="H3888" t="inlineStr">
        <is>
          <t>Tested Positive - Me</t>
        </is>
      </c>
    </row>
    <row r="3889">
      <c r="A3889" t="inlineStr">
        <is>
          <t>i0szbl</t>
        </is>
      </c>
      <c r="B3889" t="inlineStr">
        <is>
          <t>Flare-ups after recovery</t>
        </is>
      </c>
      <c r="C3889" t="inlineStr">
        <is>
          <t>Just curious - how many flare ups of symptoms have you guys had since "recovering". Also, are your symptoms the same as the initial infection?
Me: 2 flare-ups in 7 weeks, bringing to a total of 4 with first infection (I had 1 day of reprieve in the middle of that first one).
Initial Symptoms: fatigue, fever, shortness of breath, loss of taste, GI symptoms, UTI like symptoms, blocked nose and sinus pain.
Flare up symptoms: fatigue, shortness of breath, GI symptoms, UTI like symptoms, sleep disturbance, nausea and headaches.
How are you guys doing now? Is it getting easier with each new cycle?</t>
        </is>
      </c>
      <c r="D3889" t="n">
        <v>1</v>
      </c>
      <c r="E3889" t="n">
        <v>2</v>
      </c>
      <c r="F3889">
        <f>HYPERLINK("https://www.reddit.com/r/COVID19positive/comments/i0szbl/flareups_after_recovery/")</f>
        <v/>
      </c>
      <c r="G3889" t="inlineStr">
        <is>
          <t>2020-07-30 12:58:08</t>
        </is>
      </c>
      <c r="H3889" t="inlineStr">
        <is>
          <t>Tested Positive</t>
        </is>
      </c>
    </row>
    <row r="3890">
      <c r="A3890" t="inlineStr">
        <is>
          <t>i0szdo</t>
        </is>
      </c>
      <c r="B3890" t="inlineStr">
        <is>
          <t>Flare-ups after recovery</t>
        </is>
      </c>
      <c r="C3890" t="inlineStr">
        <is>
          <t>Just curious - how many flare ups of symptoms have you guys had since "recovering". Also, are your symptoms the same as the initial infection?
Me: 2 flare-ups in 7 weeks, bringing to a total of 4 with first infection (I had 1 day of reprieve in the middle of that first one).
Initial Symptoms: fatigue, fever, shortness of breath, loss of taste, GI symptoms, UTI like symptoms, blocked nose and sinus pain.
Flare up symptoms: fatigue, shortness of breath, GI symptoms, UTI like symptoms, sleep disturbance, nausea and headaches.
How are you guys doing now? Is it getting easier with each new cycle?</t>
        </is>
      </c>
      <c r="D3890" t="n">
        <v>1</v>
      </c>
      <c r="E3890" t="n">
        <v>2</v>
      </c>
      <c r="F3890">
        <f>HYPERLINK("https://www.reddit.com/r/COVID19positive/comments/i0szdo/flareups_after_recovery/")</f>
        <v/>
      </c>
      <c r="G3890" t="inlineStr">
        <is>
          <t>2020-07-30 12:58:22</t>
        </is>
      </c>
      <c r="H3890" t="inlineStr">
        <is>
          <t>Tested Positive</t>
        </is>
      </c>
    </row>
    <row r="3891">
      <c r="A3891" t="inlineStr">
        <is>
          <t>i0t53e</t>
        </is>
      </c>
      <c r="B3891" t="inlineStr">
        <is>
          <t>Terrible timing to test positive!</t>
        </is>
      </c>
      <c r="C3891" t="inlineStr">
        <is>
          <t>Hi everyone! Fortunately I'd like to start this off by saying I have pretty mild symptoms.
This weekend I had been feeling pretty boogery and stuffy and just overall very run down. I had kept going to work because I had no fever or cough. I'm talking like I'd sleep 10+ hours and wake up tired. I figured it was allergies as I get them pretty frequently and fairly strongly, and I live in an area with pretty shit air quality (southern California). Tuesday night I was grubbing on some Jack in the Box when, halfway through my meal, I realize I can't taste anything. I put extra sauce on it too and I know it's heavy on mustard. I couldn't smell it either. I took a drink of my soda and could taste only sugary sweetness, if that makes sense, but none of the strawberry flavoring.
I went into the bathroom and practically put my face in my deodorant...no smell. I immediately went and got tested and, 24 hours later, got a positive test.
Other than feeling rundown (I just slept 11 hours) and stuffy I feel fine. My wife has confined me to the bedroom for the next two weeks. 
I have no idea where I got it from, but I am an essential worker. As far as I know I didn't come into contact with anyone infected, so I'm thinking I just unknowingly and unthinkingly touched an infected surface and then touched my face or something.
Fun fact - my anniversary is next week. :(</t>
        </is>
      </c>
      <c r="D3891" t="n">
        <v>2</v>
      </c>
      <c r="E3891" t="n">
        <v>14</v>
      </c>
      <c r="F3891">
        <f>HYPERLINK("https://www.reddit.com/r/COVID19positive/comments/i0t53e/terrible_timing_to_test_positive/")</f>
        <v/>
      </c>
      <c r="G3891" t="inlineStr">
        <is>
          <t>2020-07-30 13:07:17</t>
        </is>
      </c>
      <c r="H3891" t="inlineStr">
        <is>
          <t>Tested Positive - Me</t>
        </is>
      </c>
    </row>
    <row r="3892">
      <c r="A3892" t="inlineStr">
        <is>
          <t>i0tcm3</t>
        </is>
      </c>
      <c r="B3892" t="inlineStr">
        <is>
          <t>What are you guys eating???</t>
        </is>
      </c>
      <c r="C3892" t="inlineStr">
        <is>
          <t>I am on day 9 of mild symptoms. I've mostly just felt like I've had a sinus infection with a few bouts of diarrhea. 2 days ago I lost my smell and taste entirely and I am really struggling with eating. Food just feels like stuff in my mouth. Have you guys found any food that you CAN taste? Or maybe something that goes down easily without flavor? My mother-in-law suggested sauerkraut 😝</t>
        </is>
      </c>
      <c r="D3892" t="n">
        <v>1</v>
      </c>
      <c r="E3892" t="n">
        <v>20</v>
      </c>
      <c r="F3892">
        <f>HYPERLINK("https://www.reddit.com/r/COVID19positive/comments/i0tcm3/what_are_you_guys_eating/")</f>
        <v/>
      </c>
      <c r="G3892" t="inlineStr">
        <is>
          <t>2020-07-30 13:19:02</t>
        </is>
      </c>
      <c r="H3892" t="inlineStr">
        <is>
          <t>Tested Positive - Me</t>
        </is>
      </c>
    </row>
    <row r="3893">
      <c r="A3893" t="inlineStr">
        <is>
          <t>i0tp7d</t>
        </is>
      </c>
      <c r="B3893" t="inlineStr">
        <is>
          <t>Ate spicy food, bad idea</t>
        </is>
      </c>
      <c r="C3893" t="inlineStr">
        <is>
          <t>Tested positive for covid three weeks ago. Mild lingering symptoms but doing a lot better. Ate some spicy food today. Burned a lot more than it usually would, increased mucus production in nose and lungs. Could actually feel the mucus in my lungs while breathing. Just a warning to everyone else. This was over an hour ago and still having effects. Has this happened to anyone else?</t>
        </is>
      </c>
      <c r="D3893" t="n">
        <v>1</v>
      </c>
      <c r="E3893" t="n">
        <v>5</v>
      </c>
      <c r="F3893">
        <f>HYPERLINK("https://www.reddit.com/r/COVID19positive/comments/i0tp7d/ate_spicy_food_bad_idea/")</f>
        <v/>
      </c>
      <c r="G3893" t="inlineStr">
        <is>
          <t>2020-07-30 13:38:44</t>
        </is>
      </c>
      <c r="H3893" t="inlineStr">
        <is>
          <t>Tested Positive - Me</t>
        </is>
      </c>
    </row>
    <row r="3894">
      <c r="A3894" t="inlineStr">
        <is>
          <t>i0u9t1</t>
        </is>
      </c>
      <c r="B3894" t="inlineStr">
        <is>
          <t>I (M28) tested positive &amp;gt;1 month ago, here's my story.</t>
        </is>
      </c>
      <c r="C3894" t="inlineStr">
        <is>
          <t>Sup reddit fam, hope you're doing well and stayin' classy.  Here's my schpeel.  I'm 28, active &amp;amp; healthy, weightlifter, BW before sickness was 205lb with about 16, 17% body fat. 
Day 1: Initial exposure. Helped a friend working in his shop and ate dinner with him. He got tested regularly for work and stayed by himself, so I figured we were good - I was wrong.
Day 3-4: I was notified by Mr. X that he tested positive. I tried to get a test but couldn't. I went run that night (live out in the country, nobody around, don't worry) and felt like I got winded  The following morning, I felt... "off."  Not bad, just... "Off."  Went get a test; they had rapid nose molecular tests, it was negative, cool.
Day 5: I DEFINITELY don't feel good. But again - I don't feel awful.  Just really fatigued, and I have some sinus congestion. 
Day 6: I feel like Day 5. Fatigued and some sinus pressure/congestion. I go take another test.  Told my family what was up (I was staying with parents &amp;amp; kid brother while my wife was away for work).
Day 7-17: I feel better and better each day. I had a mild cough for like, days 10-20. When I say mild, I mean mild.  Like I'd cough to clear my throat 4-6 times per hour.  Still feeling really fatigued, but no aches, no trouble breathing, no fever, etc. I'm walking 4-6 miles a day, and working out in my garage during this time.  I DEFINITELY don't have the stamina to run or do cardio, but I can crawl under a bench or shoulder press and hammer out some good sets.  I was wanting to cut before this happened, so I'd lined out a bunch of salmon/chicken/spinach/rice (healthy shit) to eat, so I'm basically trying to eat really clean, drink tons of water, and walk/do light workouts as much as I can during this time.  I should mention - I hardcore lost my taste/smell.  I could have eaten an onion like an apple.  Shit was BANANAS.
People talk about this "mental cloud/mental confusion" and I felt that somewhat, but I mean I've had the flu, salmonella, and other shit before - when I'm sick, I feel like my head is never 100% there, and this sickness didn't feel any different than others, mentally.
Day 18: So, since she was gone when I initially got sick, I isolated from my wife for 10 days (plus a little buffer) after my first symptom as per the CDC and my Dr recommendation.  Well on day 18 (maybe was 19), I was back with my wife, had felt great up to this point, and then BOOM - I felt like a TRAIN hit me. I was so tired I could barely stand up.  Wasn't as bad as when I had salmonella, but man, I felt LOUSY. Totally exhausted, all i wanted to do was crawl into bed and sleep sleep sleep.  Called my Dr., got a test ordered, and tested positive for Covid antibodies that day. He prescribed a Z-pack and cough meds, and told me to lay low, isolate, chill etc.
Day 20: Test from Day 6 came back today - positive. No shit, Sherlock. I feel waaayyy better than Day 18.  That one day was some weird fluke - I felt like 8/10 bad that day.  With that exception, the other days were like 2-3/10 bad.
Days 22-33: Still getting positive molecular tests.  I feel fine.  Staying home, eating clean, started doing Insanity a few days ago, and just pissed off that apparently I'm still shedding the virus and can't get a negative test.  My wife never got the virus and also feels fine.  
TL;DR: first rapid test was a false negative, either too soon or it was just a BS test.  I never had a fever, no body aches, no trouble breathing, no trouble sleeping, no tachycardia, just fatigue, some sinus pressure and a VERY mild cough. Doing fine now, my current BW is about 188 lbs (17 lbs lower than when I started this) but I was pretty bloated then and I was actively trying to cut (lose weight), so it's not like I got sick and it decimated me.  In a f***ed up way, I used being sick to help me lose weight...
I should mention that my friend that gave it to me NEVER had a SINGLE symptom.  He had multiple positive tests, but he never felt a DAMN thing.
Also worth mentioning that neither my family (who was around me the whole time) and my wife (who was with me at day 12+) never contracted the virus.  My case was NOT bad.  If there wasn't this whole corona virus pandemic deal happening, for me personally, this would not have seriously impacted me other than I would have skipped 5-7 days at the gym.  My apologies to those who have had more severe cases - I don't say this glibly or to make light of this, I know many people suffered greatly from Covid 19, but my personal experience was quite mild overall.  I feel fine, none of my physical/mental/sexual functions have been impaired, and I'm just chilling, waiting on a my body to get rid of this s**t so I can get a negative test...  God bless you today, hope you and your family are well, healthy and happy.  Ask any questions ya got.
PS. These nose tests SUCK - arguably the worst part of this experience!</t>
        </is>
      </c>
      <c r="D3894" t="n">
        <v>1</v>
      </c>
      <c r="E3894" t="n">
        <v>16</v>
      </c>
      <c r="F3894">
        <f>HYPERLINK("https://www.reddit.com/r/COVID19positive/comments/i0u9t1/i_m28_tested_positive_1_month_ago_heres_my_story/")</f>
        <v/>
      </c>
      <c r="G3894" t="inlineStr">
        <is>
          <t>2020-07-30 14:09:46</t>
        </is>
      </c>
      <c r="H3894" t="inlineStr">
        <is>
          <t>Tested Positive - Me</t>
        </is>
      </c>
    </row>
    <row r="3895">
      <c r="A3895" t="inlineStr">
        <is>
          <t>i0v0bq</t>
        </is>
      </c>
      <c r="B3895" t="inlineStr">
        <is>
          <t>The anxiety is killing me. I think I'm Covid Positive, but can someone confirm? Has your experience been the same as mine?</t>
        </is>
      </c>
      <c r="C3895" t="inlineStr">
        <is>
          <t>Hey everyone! I just wanted to share my experience with what I think was covid (never got tested; based on my experiences and the posts I've been reading on reddit). 
So initially, I started to feel a little strange in my heart/chest area during workouts, but I thought it was due to me taking C4 pre-workout. The first couple days I didn't really feel too sick, but I knew that something was up in my body. It wasn't extreme fatigue, but I just felt like I had to rest.  Then on about Day 3 or 4, I started to feel more pressure and tightness in my chest area, as well as fatigue, shortness of breath, and diarrhea (also had one nasty headache a couple days before this, and puked as well; I think this was the start of my symptoms).  I honestly was starting to get worried and anxious cause I had no clue what was happening to me. But I was able to walk around and had some energy, but just felt off.  I kept telling my mom that I might need to go to the hospital or see a doctor. 
Then my brother brought up the possibility of covid, and as I was reading about experiences on reddit, I found a LOT of similarities to how I was feeling: chest tightness, shortness of breath, delirium, confusion, anxiety, feeling feverish, fatigue, diarrhea, etc. I'm pretty sure I caught covid, so I rested for two weeks, mostly chilling in bed, catching up on animes and doing some work on my laptop. I definitely feel a lot better than how I felt those first few days, but I still have some lingering feelings/effects. I still feel some chest tightness at times, as well as slight fatigue. 
Has anyone else been going through this? I thought I was fully recovered the other day, but at night I started to feel like a slight heaviness to my chest. And today I was starting to feel some fatigue and chest heaviness as well, and my heart was racing, but idk if that was because of my anxiety. (this coronavirus has really ramped up my anxiety lol). I definitely feel a lot better than the first few days, but I don't feel like I've recovered. It's been about two weeks now.
Let me know what your story is and if mine is similar to yours! I'm honestly getting a little anxious, so I've turned to reddit for help :) haha</t>
        </is>
      </c>
      <c r="D3895" t="n">
        <v>1</v>
      </c>
      <c r="E3895" t="n">
        <v>12</v>
      </c>
      <c r="F3895">
        <f>HYPERLINK("https://www.reddit.com/r/COVID19positive/comments/i0v0bq/the_anxiety_is_killing_me_i_think_im_covid/")</f>
        <v/>
      </c>
      <c r="G3895" t="inlineStr">
        <is>
          <t>2020-07-30 14:49:39</t>
        </is>
      </c>
      <c r="H3895" t="inlineStr">
        <is>
          <t>Presumed Positive - From Test</t>
        </is>
      </c>
    </row>
    <row r="3896">
      <c r="A3896" t="inlineStr">
        <is>
          <t>i0vnbd</t>
        </is>
      </c>
      <c r="B3896" t="inlineStr">
        <is>
          <t>Has anyone recovered from any severe cases of COVID?</t>
        </is>
      </c>
      <c r="C3896" t="inlineStr">
        <is>
          <t>My uncle has a severe case of COVID 19. He is in his late 40, poor immune system, &amp;amp; asthma. 
This is his second week with severe symptoms. First week he had a fevers that lasted 4 hours on and off, body aches, cough attacks, wasn’t able to stand up, and sharp back pains. 
He lasted 7 days at home because his wife didn’t want him to be at the hospital. They contacted a doctor and they rushed him into the hospital. They found one of his lungs had an infection. On Monday, He was on Bipap and will went to the ICU. 
Today, they put him on a ventilator and he’s in an induced coma.</t>
        </is>
      </c>
      <c r="D3896" t="n">
        <v>1</v>
      </c>
      <c r="E3896" t="n">
        <v>9</v>
      </c>
      <c r="F3896">
        <f>HYPERLINK("https://www.reddit.com/r/COVID19positive/comments/i0vnbd/has_anyone_recovered_from_any_severe_cases_of/")</f>
        <v/>
      </c>
      <c r="G3896" t="inlineStr">
        <is>
          <t>2020-07-30 15:26:11</t>
        </is>
      </c>
      <c r="H3896" t="inlineStr">
        <is>
          <t>Tested Positive - Family</t>
        </is>
      </c>
    </row>
    <row r="3897">
      <c r="A3897" t="inlineStr">
        <is>
          <t>i0vs0d</t>
        </is>
      </c>
      <c r="B3897" t="inlineStr">
        <is>
          <t>Tested positive, then negative</t>
        </is>
      </c>
      <c r="C3897" t="inlineStr">
        <is>
          <t>Hello! 
I recently found out that I was exposed to COVID while I was with my immediate family. I have a newborn baby at home and so after leaving my family and  before going back home to my husband and baby I scheduled a rapid COVID test. The place I went to does a rapid test but also do a swap test that is sent to a lab. I didn’t have any symptoms but I wanted to be extra cautious. The results to my rapid test came back positive, I’ve been quarantined and still have no noticeable symptoms. Well yesterday I got a phone call that my lab test for covid came back negative. I’m so confused and don’t know what to trust. Another girl who was also exposed from the same family member is having all of the symptoms. I plan to continue to quarantine even though it breaks my heart being away from my baby, but I’m just curious if this has happened to anyone else? Would you recommend getting another test?</t>
        </is>
      </c>
      <c r="D3897" t="n">
        <v>1</v>
      </c>
      <c r="E3897" t="n">
        <v>5</v>
      </c>
      <c r="F3897">
        <f>HYPERLINK("https://www.reddit.com/r/COVID19positive/comments/i0vs0d/tested_positive_then_negative/")</f>
        <v/>
      </c>
      <c r="G3897" t="inlineStr">
        <is>
          <t>2020-07-30 15:33:49</t>
        </is>
      </c>
      <c r="H3897" t="inlineStr">
        <is>
          <t>Tested Positive - Me</t>
        </is>
      </c>
    </row>
    <row r="3898">
      <c r="A3898" t="inlineStr">
        <is>
          <t>i0vzup</t>
        </is>
      </c>
      <c r="B3898" t="inlineStr">
        <is>
          <t>A mild case, only 2 of my 5 family members contracted it.</t>
        </is>
      </c>
      <c r="C3898" t="inlineStr">
        <is>
          <t>Sunday, July 12th, some extended family went out of town, and my aunt went to watch their house and pets. A couple of days after my aunt came home, she came down with a fever, and unbeknownst to us, our extended family tested positive for covid.
My aunt has diverticulitis, and had been having issues so she thought the fever was related to that. She didn't mention to anyone in our household that she was exposed to Covid. 
The Saturday before last (July 18th) I came down with a sore throat. I had just cleaned the bathroom and breathed a bunch of bleach from way too close so I figured it was that. The next day I had a mild fever, but when I looked up symptoms of breathing in bleach, that was fairly normal.
On that Monday (July 20th) I lost my sense of taste and smell completely. I was also getting vertigo and overwhelming dizzy spells. The brain fog was rolling in. I called teledoc and they wanted me to get tested asap. This is also when we started treating it like Covid. Wearing masks, being careful. I was already on my 3rd day infected, and we still didn't know my aunt was infected, so it seemed silly. We figured we might as well try.
On Tuesday the 21st we all went to get tested. My aunt didn't want to go, but she ended up in the hospital the next day anyway. I was very sick, dizzy spells were taking up my waking hours and I have little memory of this time.
On Wednesday the 22nd we were all holed up in separate rooms. My aunt finally admitted that she had been exposed, and went to the hospital where she tested positive for Covid. We were all still awaiting results from the testing facility.
Not much happened through that week. My aunt was recovering in the hospital, I was hidden in my room. I kept our air purifier running 24/7 and when I knew my fiance was coming I would put a mask on for at least a few minutes before he came in. I was very sick, dizzy, nauseous, had trouble eating or drinking, couldn't sleep. My only fever was the one on July 18th, which was only 100.5 so barely a fever. We have central air and left that on the whole time. I spent an hour a day outside in the yard, stretching my legs, looking at the sky. It sucked and I never wanted to do it but my head always felt clearer afterwards.
I took Bulletproof ADK vitamins as well as drinking 1 zipfizz vitamin drink per day. I forced food down, and sat the on the verge of throwing up for hours just to drink enough water. I ate anything that sounded even vaguely appetizing. Better to have food that I can get down than eat healthy. I recommend oranges, you can eat them as slow as you want and without any taste they're still fine. I do not recommend McDonald's hamburgers. The texture without the flavor is pretty rough.
As of today, I think I'm better. I slept basically the whole day. We kicked my aunt out since she was so careless with our health. She got out of the hospital and came by today to pick up her stuff. Just walked through the house without a mask. She also managed to cut herself and get blood everywhere. Awesome. I hope no one else got infected because of her. She's waiting for a negative Covid test to get some surgery, so she isn't negative yet.
Let me know if anyone has any questions!</t>
        </is>
      </c>
      <c r="D3898" t="n">
        <v>1</v>
      </c>
      <c r="E3898" t="n">
        <v>5</v>
      </c>
      <c r="F3898">
        <f>HYPERLINK("https://www.reddit.com/r/COVID19positive/comments/i0vzup/a_mild_case_only_2_of_my_5_family_members/")</f>
        <v/>
      </c>
      <c r="G3898" t="inlineStr">
        <is>
          <t>2020-07-30 15:46:51</t>
        </is>
      </c>
      <c r="H3898" t="inlineStr">
        <is>
          <t>Tested Positive - Me</t>
        </is>
      </c>
    </row>
    <row r="3899">
      <c r="A3899" t="inlineStr">
        <is>
          <t>i0w7er</t>
        </is>
      </c>
      <c r="B3899" t="inlineStr">
        <is>
          <t>How to interpret the blood test results?</t>
        </is>
      </c>
      <c r="C3899" t="inlineStr">
        <is>
          <t>My father back in South America got a blood tested since he has not been feeling well. He has had symptoms such as shortness of breath, fever, etc.
He received the results, but the appointment with the doctor to read the results is in a few days since things there work very slow.
There is a part in the results that says: P.C.R Positive 12 MG/DL
Does this meant he tested positive for COVID-19? Any help from a doctor, nurse or someone who knows would be greatly appreciate it!</t>
        </is>
      </c>
      <c r="D3899" t="n">
        <v>1</v>
      </c>
      <c r="E3899" t="n">
        <v>6</v>
      </c>
      <c r="F3899">
        <f>HYPERLINK("https://www.reddit.com/r/COVID19positive/comments/i0w7er/how_to_interpret_the_blood_test_results/")</f>
        <v/>
      </c>
      <c r="G3899" t="inlineStr">
        <is>
          <t>2020-07-30 15:59:10</t>
        </is>
      </c>
      <c r="H3899" t="inlineStr">
        <is>
          <t>Presumed Positive - From Test</t>
        </is>
      </c>
    </row>
    <row r="3900">
      <c r="A3900" t="inlineStr">
        <is>
          <t>i0x3yo</t>
        </is>
      </c>
      <c r="B3900" t="inlineStr">
        <is>
          <t>My family had covid at home months ago, I think I need anxiety support</t>
        </is>
      </c>
      <c r="C3900" t="inlineStr">
        <is>
          <t>(I clarify that this post is mostly about emotions, I think I need to hear people that have gone through the same as my family)
Hi! I'm 26 and my father had COVID during the beginning of May. It was the most stressful time of my life because my mom and my aunt grandmother have risk factors. The rest of us were told (we live in Chile) to not get tested unless we developed serious symptoms.
We didn't. I had cold-like symptoms though, mainly nasal congestion, cough with phlegm that lasted a while and a mild pain in the ribs for like two days. I actually went to have myself tested at a clinic, I had an appointment booked and when I went there the guys were out of tests. I realized that I didn't want to go back to the hospital if they were gonna fail me like that again.
Everyone in my family turned out fine, they don't develop any symptoms at all, we recover and that's it.
So time goes by, a month of me feeling fine passes. During this time I begin to feel ultralucky to be alive, appreciating of things, but then more and more people that I know start getting covid positive. Every case more serious than ours (thankfully none of them died). I start worrying about them and take an emotional toll. Suddenly like three weeks ago I have had postnasal drip and a cough with phlegm. I got frustrated about that, then I had some body aches. The aches change locations, but were always muscular.
Now, I had strong health anxiety before all of this happened. When I realized that my muscle pains could be because of anxiety I started meditation. 3 days later they went away.
But now my nasal congestion and cough persists. My mucus is white which I'm understood it lowers my possibilities of actually having an infection.
I worry so much about having long lasting consequences. I know that I worry too much. I came across some articles claiming that they have discovered that people might have lasting symptoms. I don't know how to feel about this. I feel so alone with my feeling. Those symptoms might be anything but they worry the hell out of me.
At the end of the day I don't want to feel this alone with this anxiety. Thank you if you're reading this. If you are here because you have the virus I send all my love to you brother or sister, and hope you recover. Bless</t>
        </is>
      </c>
      <c r="D3900" t="n">
        <v>1</v>
      </c>
      <c r="E3900" t="n">
        <v>4</v>
      </c>
      <c r="F3900">
        <f>HYPERLINK("https://www.reddit.com/r/COVID19positive/comments/i0x3yo/my_family_had_covid_at_home_months_ago_i_think_i/")</f>
        <v/>
      </c>
      <c r="G3900" t="inlineStr">
        <is>
          <t>2020-07-30 16:54:03</t>
        </is>
      </c>
      <c r="H3900" t="inlineStr">
        <is>
          <t>Tested Positive - Family</t>
        </is>
      </c>
    </row>
    <row r="3901">
      <c r="A3901" t="inlineStr">
        <is>
          <t>i0xfnr</t>
        </is>
      </c>
      <c r="B3901" t="inlineStr">
        <is>
          <t>Do you know elderly ppl with covid ? How old ? How sever ? What symptoms?</t>
        </is>
      </c>
      <c r="C3901" t="inlineStr">
        <is>
          <t>I was tested positive and fully recovered and out of strict quarantine in a separate home . 
Since the start of pandemic I have been worried about my elderly loved ones . It’s like living in hell to be so worried all the time waiting for a disaster ... 
Any elderly friends and family in their 70s or 80s with covid ? Pls add details , gender , pre existing conditions , health etc</t>
        </is>
      </c>
      <c r="D3901" t="n">
        <v>1</v>
      </c>
      <c r="E3901" t="n">
        <v>14</v>
      </c>
      <c r="F3901">
        <f>HYPERLINK("https://www.reddit.com/r/COVID19positive/comments/i0xfnr/do_you_know_elderly_ppl_with_covid_how_old_how/")</f>
        <v/>
      </c>
      <c r="G3901" t="inlineStr">
        <is>
          <t>2020-07-30 17:14:55</t>
        </is>
      </c>
      <c r="H3901" t="inlineStr">
        <is>
          <t>Tested Positive - Me</t>
        </is>
      </c>
    </row>
    <row r="3902">
      <c r="A3902" t="inlineStr">
        <is>
          <t>i0y48g</t>
        </is>
      </c>
      <c r="B3902" t="inlineStr">
        <is>
          <t>Crashed Overnight</t>
        </is>
      </c>
      <c r="C3902" t="inlineStr">
        <is>
          <t>Hi, 
So about a month ago my boss at Zaxby's suddenly became ill. He was at work basically just fallen over sick. Of course with everything going on we sent him home, but the owner found no reason to shut down or do any necessary extra cleaning. FYI Zaxby's is franchised based so any complaints or concerns to their so called "corporate" does absolutely nothing. Anyway about less than two weeks goes by and my boss returns. He talks of his symptoms: fatigue, stomach pain, diarrhea, loss of taste and smell. Basically many symptoms that were COVID related. There was a positive test result at another store that is owned by the same guy and they didn't do anything either. So fast forward a few days from my boss returning and now he has told me that his covid test came back positive. I then proceed to ask him what kind of measures the store is going to take. He proceeded to tell me that HR guy felt no need to take any measures because he didn't work two days before showing symotoms and was not near anyone when he did. Now fast forward to the next day, I am having a little trouble breathing. This can be a little normal for me because of my asthma, if I get overheated very fast I can have a flare up. I took my emergency inhaler and seemed fine till later that night. It was wierd for me to have another flare up later in the day especially since I was just watching TV, but my inhaler worked again. Finally it hits around one in the morning, the pressure in my chest feels like a rock I take the inhaler and go back to sleep until finally I wake up and the pressure is unbearable. My lips are becoming very pale and I am exhausted. So guess what, I'm at the hospital for thd next 5 days with pneumonia and sepsis caused by covid according to the doctors. My test csme back negative but they found no other explanation for how I crashed so bad OVERNIGHT. My boss wants proof I've been admitted as I could no longer finish out my two weeks and once again they are keeping it very quiet on why I left. The only thing wierd was I never showed any symptoms other than fatigue, chest pain, unable to breathe without being on oxygen for four days, and my bpm was through the roof. I won't be going back to work for another week and a half and my quarantine ends in the next few days. The steroids I've been out on are making me even sicker at times but I can tell how hard my body has been fighting. Covid hits everyone differently, but I do feel a burning anger towards my former job.</t>
        </is>
      </c>
      <c r="D3902" t="n">
        <v>1</v>
      </c>
      <c r="E3902" t="n">
        <v>12</v>
      </c>
      <c r="F3902">
        <f>HYPERLINK("https://www.reddit.com/r/COVID19positive/comments/i0y48g/crashed_overnight/")</f>
        <v/>
      </c>
      <c r="G3902" t="inlineStr">
        <is>
          <t>2020-07-30 17:59:18</t>
        </is>
      </c>
      <c r="H3902" t="inlineStr">
        <is>
          <t>Presumed Positive - From Doctor</t>
        </is>
      </c>
    </row>
    <row r="3903">
      <c r="A3903" t="inlineStr">
        <is>
          <t>i0y9hq</t>
        </is>
      </c>
      <c r="B3903" t="inlineStr">
        <is>
          <t>Did we really have it? Can you trust the testing??</t>
        </is>
      </c>
      <c r="C3903" t="inlineStr">
        <is>
          <t>I’m so confused. Six year old son had a sore throat and since we were going to visit grandma for the first time in 6+ mos we wanted to be on the safe side. Took him in to be seen by doctor. Since he tested negative for strep, they wanted to check him for covid. Only symptom was the sore throat, no fever, nothing. He tested positive for covid. They also tested me and my husband, we were negative. We’d just spent all day in the car with him. He drank from my water bottle etc so we were all ‘exposed’. He was better in 3 days. No other issues, playing like a wild man etc. During this time, I had a few symptoms- headache, stiff neck, diarrhea, loss of taste, shortness of breath. Those only lasted 2 days for me. I figured I had it and the doc said false negatives are common so assume that I had it and we all needed to isolate for 14 days. Little difficult to isolate cuz we are preparing to move. So now it’s day 11, I had my son retested. It was a rapid result, so we found out 30 minutes later he’s negative and I repeated the test too, I’m also negative. Now I’m just confused because yeah maybe he got over it that fast but it doesn’t seem likely from what I’ve read, that the virus will still be shedding in your system for like 3 weeks. But what about me, did I never have it at all? I’m only 4 days post symptoms. Thoughts? I would like to get the antibody testing because I’m wondering if he really had it at all and if so why did no one else in the family catch it? Seems like we can’t trust the testing and I’m just confused.</t>
        </is>
      </c>
      <c r="D3903" t="n">
        <v>1</v>
      </c>
      <c r="E3903" t="n">
        <v>4</v>
      </c>
      <c r="F3903">
        <f>HYPERLINK("https://www.reddit.com/r/COVID19positive/comments/i0y9hq/did_we_really_have_it_can_you_trust_the_testing/")</f>
        <v/>
      </c>
      <c r="G3903" t="inlineStr">
        <is>
          <t>2020-07-30 18:08:36</t>
        </is>
      </c>
      <c r="H3903" t="inlineStr">
        <is>
          <t>Tested Positive</t>
        </is>
      </c>
    </row>
    <row r="3904">
      <c r="A3904" t="inlineStr">
        <is>
          <t>i0ycce</t>
        </is>
      </c>
      <c r="B3904" t="inlineStr">
        <is>
          <t>Dad has COVID-19</t>
        </is>
      </c>
      <c r="C3904" t="inlineStr">
        <is>
          <t>Hi everyone, I’m on here for a little bit of advice. My dad has COVID-19 and he is really really sick. I have never ever seen my dad sick, like EVER. Hes the type of person that doesnt go to the hospital... and well he’s gone to the hospital for the past two days and I am very concerned for him. Is it bad to visit my dad during this time and risk getting COVID-19? I really want to visit my dad :((</t>
        </is>
      </c>
      <c r="D3904" t="n">
        <v>1</v>
      </c>
      <c r="E3904" t="n">
        <v>6</v>
      </c>
      <c r="F3904">
        <f>HYPERLINK("https://www.reddit.com/r/COVID19positive/comments/i0ycce/dad_has_covid19/")</f>
        <v/>
      </c>
      <c r="G3904" t="inlineStr">
        <is>
          <t>2020-07-30 18:13:44</t>
        </is>
      </c>
      <c r="H3904" t="inlineStr">
        <is>
          <t>Tested Positive - Family</t>
        </is>
      </c>
    </row>
    <row r="3905">
      <c r="A3905" t="inlineStr">
        <is>
          <t>i0yfi2</t>
        </is>
      </c>
      <c r="B3905" t="inlineStr">
        <is>
          <t>My throat is hurting now. Was it the swab test, or is COVID attacking me AGAIN?</t>
        </is>
      </c>
      <c r="C3905" t="inlineStr">
        <is>
          <t>I already had a bad fever and stomach problems last week, I don’t want more:(</t>
        </is>
      </c>
      <c r="D3905" t="n">
        <v>1</v>
      </c>
      <c r="E3905" t="n">
        <v>3</v>
      </c>
      <c r="F3905">
        <f>HYPERLINK("https://www.reddit.com/r/COVID19positive/comments/i0yfi2/my_throat_is_hurting_now_was_it_the_swab_test_or/")</f>
        <v/>
      </c>
      <c r="G3905" t="inlineStr">
        <is>
          <t>2020-07-30 18:19:30</t>
        </is>
      </c>
      <c r="H3905" t="inlineStr">
        <is>
          <t>Tested Positive - Me</t>
        </is>
      </c>
    </row>
    <row r="3906">
      <c r="A3906" t="inlineStr">
        <is>
          <t>i0zkco</t>
        </is>
      </c>
      <c r="B3906" t="inlineStr">
        <is>
          <t>I've recovered from Covid. Now I'm travelling to visit my family. How to avoid infecting them?</t>
        </is>
      </c>
      <c r="C3906" t="inlineStr">
        <is>
          <t>I finally recovered from Covid after 2 months of ups and downs. I am not travelling to visit family across the U.S. My question is, should I quarantine for 14 days when I get there? Considerations:
1. I'm flying and will probably be exposed
2. I've already had covid and have recent antibodies
My family has one member with diabetes, so I'm trying to take all possible precautions in order to avoid bringing the virus in with me. 
Is it ok to arrive, don't touch anything or anyone on my way to the room, and desinfect everything? or should I quarantine for 14 days in a nearby airbnb?
So I guess the question is: once you've had covid, can you catch and spread it again?
Thanks for the insights!</t>
        </is>
      </c>
      <c r="D3906" t="n">
        <v>1</v>
      </c>
      <c r="E3906" t="n">
        <v>5</v>
      </c>
      <c r="F3906">
        <f>HYPERLINK("https://www.reddit.com/r/COVID19positive/comments/i0zkco/ive_recovered_from_covid_now_im_travelling_to/")</f>
        <v/>
      </c>
      <c r="G3906" t="inlineStr">
        <is>
          <t>2020-07-30 19:35:16</t>
        </is>
      </c>
      <c r="H3906" t="inlineStr">
        <is>
          <t>Tested Positive</t>
        </is>
      </c>
    </row>
    <row r="3907">
      <c r="A3907" t="inlineStr">
        <is>
          <t>i0zs8p</t>
        </is>
      </c>
      <c r="B3907" t="inlineStr">
        <is>
          <t>Indirect exposure</t>
        </is>
      </c>
      <c r="C3907" t="inlineStr">
        <is>
          <t>I had indirect exposure to COVID this past Saturday, a friend had it, he didn’t tell anyone. He wore a mask and we were outside and not super close. We got tested on Sunday and results came back negative on Tuesday. I have a bit of an irritated throat but I’m chalking that up to the fact I recently started smoking again, like within the last week. We self isolate at home and wear masks in public. Would you all assume I’m in the clear?</t>
        </is>
      </c>
      <c r="D3907" t="n">
        <v>1</v>
      </c>
      <c r="E3907" t="n">
        <v>3</v>
      </c>
      <c r="F3907">
        <f>HYPERLINK("https://www.reddit.com/r/COVID19positive/comments/i0zs8p/indirect_exposure/")</f>
        <v/>
      </c>
      <c r="G3907" t="inlineStr">
        <is>
          <t>2020-07-30 19:50:14</t>
        </is>
      </c>
      <c r="H3907" t="inlineStr">
        <is>
          <t>Tested Positive - Friends</t>
        </is>
      </c>
    </row>
    <row r="3908">
      <c r="A3908" t="inlineStr">
        <is>
          <t>i11y9b</t>
        </is>
      </c>
      <c r="B3908" t="inlineStr">
        <is>
          <t>Low BPM</t>
        </is>
      </c>
      <c r="C3908" t="inlineStr">
        <is>
          <t>Hi guys! I have been covid + for at least, 10 days already? I had several neurological symptoms including pins and needles in my hand, a paralyzing pain in my back, etc. however, recently I have felt kind of like anxious/out of breathe i dont know how to explain and when I go ahead and put the oximeter it says 96 SP02 and 52-55 BPM. I have been nauseous and had pain in my left arm and shoulder, which I no longer have it. Is 52-55 BPM considered normal in covid 19 positive patients? Has anyone experienced this? 
Thank you! 😊🙏 wishing speedy recovery for all</t>
        </is>
      </c>
      <c r="D3908" t="n">
        <v>1</v>
      </c>
      <c r="E3908" t="n">
        <v>5</v>
      </c>
      <c r="F3908">
        <f>HYPERLINK("https://www.reddit.com/r/COVID19positive/comments/i11y9b/low_bpm/")</f>
        <v/>
      </c>
      <c r="G3908" t="inlineStr">
        <is>
          <t>2020-07-30 22:29:21</t>
        </is>
      </c>
      <c r="H3908" t="inlineStr">
        <is>
          <t>Tested Positive - Me</t>
        </is>
      </c>
    </row>
    <row r="3909">
      <c r="A3909" t="inlineStr">
        <is>
          <t>i121gw</t>
        </is>
      </c>
      <c r="B3909" t="inlineStr">
        <is>
          <t>Day 40 Update</t>
        </is>
      </c>
      <c r="C3909" t="inlineStr">
        <is>
          <t>Update since it’s been a while and I think some might benefit from this. Done a few posts on covid and my thoughts, if you’d like to read my initial presentation it is in my history. 17, male. Today marks day 40 (I think?) symptoms are weird. Here goes:
- Random pains: pretty much everywhere, just get random nagging pains especially in my chest and abdomen.
-Joint pain: in its own category because it presents pretty consistently unlike the random pains, I have a feeling of inflammation and a “fullness” I guess along with pain in my knees and elbows, on and off.
-Arrhythmia: Cardiac symptoms started recently. Heart palpitations more than normal as well as random bouts of tachycardia with exertion beyond what’s normal.
-Nausea: hits me randomly when I’m lying down and persists for about an hour, like I’m going to pass out.
-SOB: not as persistent but still occasional.
-Insomnia: somewhat new but I seem to have heightened anxiety which may or may not have led to the insomnia or it may be a symptom of its own. Waking up multiple times throughout the night, not because of urination.
Symptoms seem to appear and disappear, who knows what may come next. Hanging in there.</t>
        </is>
      </c>
      <c r="D3909" t="n">
        <v>1</v>
      </c>
      <c r="E3909" t="n">
        <v>2</v>
      </c>
      <c r="F3909">
        <f>HYPERLINK("https://www.reddit.com/r/COVID19positive/comments/i121gw/day_40_update/")</f>
        <v/>
      </c>
      <c r="G3909" t="inlineStr">
        <is>
          <t>2020-07-30 22:36:31</t>
        </is>
      </c>
      <c r="H3909" t="inlineStr">
        <is>
          <t>Presumed Positive - From Doctor</t>
        </is>
      </c>
    </row>
    <row r="3910">
      <c r="A3910" t="inlineStr">
        <is>
          <t>i122sl</t>
        </is>
      </c>
      <c r="B3910" t="inlineStr">
        <is>
          <t>Day 40 Update</t>
        </is>
      </c>
      <c r="C3910" t="inlineStr">
        <is>
          <t>Day 40 Update
Update since it’s been a while and I think some might benefit from this. Done a few posts on covid and my thoughts, if you’d like to read my initial presentation it is in my history. 17, male. Today marks day 40 (I think?) symptoms are weird. Here goes:
- Random pains: pretty much everywhere, just get random nagging pains especially in my chest and abdomen.
-Joint pain: in its own category because it presents pretty consistently unlike the random pains, I have a feeling of inflammation and a “fullness” I guess along with pain in my knees and elbows, on and off.
-Arrhythmia: Cardiac symptoms started recently. Heart palpitations more than normal as well as random bouts of tachycardia with exertion beyond what’s normal.
-Nausea: hits me randomly when I’m lying down and persists for about an hour, like I’m going to pass out.
-SOB: not as persistent but still occasional.
-Insomnia: somewhat new but I seem to have heightened anxiety which may or may not have led to the insomnia or it may be a symptom of its own. Waking up multiple times throughout the night, not because of urination.
Symptoms seem to appear and disappear, who knows what may come next. Hanging in there.</t>
        </is>
      </c>
      <c r="D3910" t="n">
        <v>1</v>
      </c>
      <c r="E3910" t="n">
        <v>4</v>
      </c>
      <c r="F3910">
        <f>HYPERLINK("https://www.reddit.com/r/COVID19positive/comments/i122sl/day_40_update/")</f>
        <v/>
      </c>
      <c r="G3910" t="inlineStr">
        <is>
          <t>2020-07-30 22:39:36</t>
        </is>
      </c>
      <c r="H3910" t="inlineStr">
        <is>
          <t>Presumed Positive - From Doctor</t>
        </is>
      </c>
    </row>
    <row r="3911">
      <c r="A3911" t="inlineStr">
        <is>
          <t>i12c8z</t>
        </is>
      </c>
      <c r="B3911" t="inlineStr">
        <is>
          <t>COVID</t>
        </is>
      </c>
      <c r="C3911" t="inlineStr">
        <is>
          <t>Long story short my boyfriend got extremely sick from COVID on the 3rd of July and was sick until less than a week ago. At first he tested negative and we thought he was just sick as he had symptoms and just went about as usual in the house with no masks/gloves/disinfectant. Two days later he tested positive and that’s when we took precautions. I was with him the whole time and even slept in the same bed as we were quarantined through this whole situation. I have not came up with any symptoms and he is fully recovered now. His mom and dad are also in the same house without masks/gloves during the first couple days of his symptoms. Nobody in the house is sick. Do y’all think this virus is as contagious as the media is making it out to be?</t>
        </is>
      </c>
      <c r="D3911" t="n">
        <v>1</v>
      </c>
      <c r="E3911" t="n">
        <v>2</v>
      </c>
      <c r="F3911">
        <f>HYPERLINK("https://www.reddit.com/r/COVID19positive/comments/i12c8z/covid/")</f>
        <v/>
      </c>
      <c r="G3911" t="inlineStr">
        <is>
          <t>2020-07-30 23:02:04</t>
        </is>
      </c>
      <c r="H3911" t="inlineStr">
        <is>
          <t>Tested Positive - Family</t>
        </is>
      </c>
    </row>
    <row r="3912">
      <c r="A3912" t="inlineStr">
        <is>
          <t>i12cr9</t>
        </is>
      </c>
      <c r="B3912" t="inlineStr">
        <is>
          <t>My COVID Story</t>
        </is>
      </c>
      <c r="C3912" t="inlineStr">
        <is>
          <t>So today, 7/30/2020, is my official end of quarantine for COVID. 
Here is what I have dealt with over the last 14 days. I had a mild to moderate case and am so thankful I could ride mine out at home and not be in the hospital. 
Exhaustion ~ I cannot express just how tired I have been. It is unlike any other exhaustion I have ever had. I slept sometimes 20 hours a day and was still beyond tired. I am still tired. Only now it is because I am having issues with insomnia. I sleep for 20 minutes, wake up for an hour, sleep for 30 wake up for 2 hours. It is maddening. Before anyone suggests melatonin that is a nope, that gives me horrible nightmares. I can’t tolerate it. 
Headache ~ I am used to having headaches. I mean I have a headache every single day of my life. I have pseudo tumor cerebra so headaches are a given. Let me just say this is a completely different kind of headache. It is like my brain is on fire and screaming at me with fireworks going off at the same time. None of my headache meds even came close to touching the COVID headache. I maxed out my dosage and it was like I had taken a baby aspirin or a placebo. 
Cough ~ I have to say my cough was fairly mild compared to a lot of people with COVID. I had a cough for the first 4-5 days but it was never really all that bad. I’m thankful for that as I am prone to pneumonia. 
Loss of smell ~ Oh that hit very sudden on day 4. I could smell that morning and all of a sudden that afternoon my sense of smell was gone. I could not smell a thing. I am still struggling with this. Two days ago I could smell the scalloped potatoes I was cooking but I have not smelled a single thing since! 
Change in my taste ~ With the loss of smell came a change in my how I tasted everything. At first I could taste sweet, salty and metallic. I am better able to taste now and have been able to add in things that are heavy with a vinegar taste like pickles. I made BBQ Ribs tonight and the BBQ actually tasted like BBQ so I was happy about that! 
Body aches &amp;amp; pain ~ I have had extreme body ache &amp;amp; pain deep into my joints. I have been tender to the touch. I have felt like my fibromyalgia has been on steroids and way overactive. It physically hurt to take a shower. The water hitting my skin made me want to cry but crying would only make my head hurt more. I am still having issues with pain. 
Tinnitus ~ I know that this is not listed as something that occurs with COVID but if you read accounts from actual COVID patients there are a number of us that now have it. There are days when it is so bad I want to take something and puncture my right eardrum out. I now have to sleep with a white noise app at night because it is so bothersome. Maybe that is what is causing my insomnia.... tinnitus! 
Stomach issues/Loss of appetite ~ I’m going to say losing the 15# wasn’t exactly disappointing! Lol! Just wasn’t exactly how anyone would want to lose it. No one wants stomach issues and loss of appetite. There were a few days in there where I don’t think I ate at all. I am still experiencing stomach issues on a daily basis and wonder when that will be over! 
So that is my COVID story!</t>
        </is>
      </c>
      <c r="D3912" t="n">
        <v>1</v>
      </c>
      <c r="E3912" t="n">
        <v>9</v>
      </c>
      <c r="F3912">
        <f>HYPERLINK("https://www.reddit.com/r/COVID19positive/comments/i12cr9/my_covid_story/")</f>
        <v/>
      </c>
      <c r="G3912" t="inlineStr">
        <is>
          <t>2020-07-30 23:03:12</t>
        </is>
      </c>
      <c r="H3912" t="inlineStr">
        <is>
          <t>Tested Positive - Me</t>
        </is>
      </c>
    </row>
    <row r="3913">
      <c r="A3913" t="inlineStr">
        <is>
          <t>i12f6a</t>
        </is>
      </c>
      <c r="B3913" t="inlineStr">
        <is>
          <t>How do you stay optimistic?</t>
        </is>
      </c>
      <c r="C3913" t="inlineStr">
        <is>
          <t>Ever since I tested positive (day 16, recovered) for this virus, my anxiety has been through the roof.  
Every time I come here I see another horror story or scary resurgence of the virus :( Does anyone have any positive news on their recovery? And/or how do you stay optimistic about the future of the virus?</t>
        </is>
      </c>
      <c r="D3913" t="n">
        <v>1</v>
      </c>
      <c r="E3913" t="n">
        <v>3</v>
      </c>
      <c r="F3913">
        <f>HYPERLINK("https://www.reddit.com/r/COVID19positive/comments/i12f6a/how_do_you_stay_optimistic/")</f>
        <v/>
      </c>
      <c r="G3913" t="inlineStr">
        <is>
          <t>2020-07-30 23:09:00</t>
        </is>
      </c>
      <c r="H3913" t="inlineStr">
        <is>
          <t>Tested Positive</t>
        </is>
      </c>
    </row>
    <row r="3914">
      <c r="A3914" t="inlineStr">
        <is>
          <t>i13kki</t>
        </is>
      </c>
      <c r="B3914" t="inlineStr">
        <is>
          <t>How it went in my family: very mild cases and everything is ok.</t>
        </is>
      </c>
      <c r="C3914" t="inlineStr">
        <is>
          <t>My stepdad and his mom got COVID first. They are both high risk: stepdad has sleep apnea and smokes, and his mom is very elderly. They infected at least 5 other people at her birthday party (no symptoms at the time), and my stepdad infected my mom when she spent the night later that week. After that my mom spent a few nights with my 90 year old grandma. I was horrified and mentally preparing to lose them all. 
So what happened: everyone in my stepdad’s family who got it, recovered within a week (except one who is still struggling). They had really bad fatigue but never so sick that they felt the need to call the doctor.
My mom isolated in her apartment (she doesn’t live with my stepdad, long story) and only had extremely mild symptoms. So mild that she chalked it up to allergies or sitting in a weird posture. Just tiny, tiny things that felt like nothing to her. She tested negative on her first day of isolation (within 3 days of exposure, apparently this tends to result in false negatives) but tested positive last week. Now she has been in isolation for two weeks, no symptoms, and her doctor says she can come out of isolation this weekend. 
Best part? My grandma didn’t get it. She tested negative and never developed any symptoms. Other family members that my grandma was in contact with also tested negative. 
So.. my experience with covid in my family has been underwhelming. Everyone was fine in the end. I wanted to share this in case someone like me reads it. I am a very anxious and worrying type of person who always assumes the worst outcome, and hearing that my mom had COVID completely shattered me. I couldn’t get out of bed some days. But everything is ok now. I hope this story can give others hope and comfort! Wishing all of you strength &amp;amp; support!!</t>
        </is>
      </c>
      <c r="D3914" t="n">
        <v>1</v>
      </c>
      <c r="E3914" t="n">
        <v>43</v>
      </c>
      <c r="F3914">
        <f>HYPERLINK("https://www.reddit.com/r/COVID19positive/comments/i13kki/how_it_went_in_my_family_very_mild_cases_and/")</f>
        <v/>
      </c>
      <c r="G3914" t="inlineStr">
        <is>
          <t>2020-07-31 00:52:46</t>
        </is>
      </c>
      <c r="H3914" t="inlineStr">
        <is>
          <t>Tested Positive - Family</t>
        </is>
      </c>
    </row>
    <row r="3915">
      <c r="A3915" t="inlineStr">
        <is>
          <t>i14lvv</t>
        </is>
      </c>
      <c r="B3915" t="inlineStr">
        <is>
          <t>Taking test Tuesday worried. [25M]</t>
        </is>
      </c>
      <c r="C3915" t="inlineStr">
        <is>
          <t>Today would be day 3 for me of showing symptoms they are very light and idk what to really think.  Body temp is low im reading 96-97, nose is very runny and congestion is insane. Headache comes and goes at the base of the neck. Just noticed my smell is still there but its very light, I put my head into disinfectant and smelled it only faintly.  Im worried because I live with my 93 year old grandma I don't spend alot of time around her but still the fear is there. Especially since I'm not sure I have it and I won't test till Tuesday.</t>
        </is>
      </c>
      <c r="D3915" t="n">
        <v>1</v>
      </c>
      <c r="E3915" t="n">
        <v>6</v>
      </c>
      <c r="F3915">
        <f>HYPERLINK("https://www.reddit.com/r/COVID19positive/comments/i14lvv/taking_test_tuesday_worried_25m/")</f>
        <v/>
      </c>
      <c r="G3915" t="inlineStr">
        <is>
          <t>2020-07-31 02:31:43</t>
        </is>
      </c>
      <c r="H3915" t="inlineStr">
        <is>
          <t>Presumed Positive - From Test</t>
        </is>
      </c>
    </row>
    <row r="3916">
      <c r="A3916" t="inlineStr">
        <is>
          <t>i15tz6</t>
        </is>
      </c>
      <c r="B3916" t="inlineStr">
        <is>
          <t>61yo family member in ICU with ARDS - looking for hope / other stories of those with severe cases who overcame Covid</t>
        </is>
      </c>
      <c r="C3916" t="inlineStr">
        <is>
          <t>I have a close family member who is in ICU with COVID pneumonia and now has developed ARDS. 61 F, overweight; however, aside from being significantly overweight, she had no other notable pre-existing conditions prior to this (no diabetes, heart issues, High blood pressure, etc.) onset of symptoms was either Thursday or Friday July 9 / 10. She developed fever and what she described as severe chills and night sweats. By Sunday July 12, she went to the ER and had and oxygen level of 88, but was discharged. Monday July 13 she was confirmed Covid positive when she got her test results back. Tuesday July 14 she went back to the hospital after suffering from hallucinations and the continued high fever. Her oxygen was in the mid 80s and they admitted her to ICU. She has been on high oxygen flow and Bipap at night and her oxygen levels remain between 87-89. She was given remdesivir and plasma from a recovered covid patient the first week of her admittance. Looking for other stories of those who had serious and prolonged cases. Looking for some hope and curious to hear other stories about what the treatment path and prognosis was like for you or your loved one.  Also this is my first post, so I apologize if my formatting is off or if I missed something!</t>
        </is>
      </c>
      <c r="D3916" t="n">
        <v>1</v>
      </c>
      <c r="E3916" t="n">
        <v>21</v>
      </c>
      <c r="F3916">
        <f>HYPERLINK("https://www.reddit.com/r/COVID19positive/comments/i15tz6/61yo_family_member_in_icu_with_ards_looking_for/")</f>
        <v/>
      </c>
      <c r="G3916" t="inlineStr">
        <is>
          <t>2020-07-31 04:22:21</t>
        </is>
      </c>
      <c r="H3916" t="inlineStr">
        <is>
          <t>Tested Positive - Family</t>
        </is>
      </c>
    </row>
    <row r="3917">
      <c r="A3917" t="inlineStr">
        <is>
          <t>i17pdn</t>
        </is>
      </c>
      <c r="B3917" t="inlineStr">
        <is>
          <t>How do you stay optimistic?</t>
        </is>
      </c>
      <c r="C3917" t="inlineStr">
        <is>
          <t>Ever since I tested positive (day 16, recovered) for this virus, my anxiety has been through the roof.  
Every time I come here I see another horror story or scary resurgence of the virus :( Does anyone have any positive news on their recovery? And/or how do you stay optimistic about the future of the virus?</t>
        </is>
      </c>
      <c r="D3917" t="n">
        <v>1</v>
      </c>
      <c r="E3917" t="n">
        <v>6</v>
      </c>
      <c r="F3917">
        <f>HYPERLINK("https://www.reddit.com/r/COVID19positive/comments/i17pdn/how_do_you_stay_optimistic/")</f>
        <v/>
      </c>
      <c r="G3917" t="inlineStr">
        <is>
          <t>2020-07-31 06:41:47</t>
        </is>
      </c>
      <c r="H3917" t="inlineStr">
        <is>
          <t>Tested Positive</t>
        </is>
      </c>
    </row>
    <row r="3918">
      <c r="A3918" t="inlineStr">
        <is>
          <t>i18cvs</t>
        </is>
      </c>
      <c r="B3918" t="inlineStr">
        <is>
          <t>Description of teen symptoms and timeframe</t>
        </is>
      </c>
      <c r="C3918" t="inlineStr">
        <is>
          <t>So my teen became symptomatic 7/6, test came back  4 days later positive.  Today is day 26.  First symptoms came on quick - headache, vomiting, fever, fatigue.  Vomiting and fever subsided by day 3.  Various aches and pains have come and gone since then, with a headache, fatigue and vertigo being common factors.
Took teen to the dr today, after labs yesterday.  Dr said her symptoms are basically a reaction similar to mono/Epstein-Barr, though the dr did not label it as that as in  “teen has mono” but more of “covid is looking to produce a similar reaction as the other virus.”  Said could last a little while, could be months, could end and reoccur.
Still waiting on health dept to release teen from isolation, and results from covid test.  Crazy part is that even if the test is negative, teen might not be released because health dept is looking for a resolution of symptoms, not necessarily a test result or time frame.  
Will update.</t>
        </is>
      </c>
      <c r="D3918" t="n">
        <v>1</v>
      </c>
      <c r="E3918" t="n">
        <v>2</v>
      </c>
      <c r="F3918">
        <f>HYPERLINK("https://www.reddit.com/r/COVID19positive/comments/i18cvs/description_of_teen_symptoms_and_timeframe/")</f>
        <v/>
      </c>
      <c r="G3918" t="inlineStr">
        <is>
          <t>2020-07-31 07:22:46</t>
        </is>
      </c>
      <c r="H3918" t="inlineStr">
        <is>
          <t>Tested Positive</t>
        </is>
      </c>
    </row>
    <row r="3919">
      <c r="A3919" t="inlineStr">
        <is>
          <t>i1ajr8</t>
        </is>
      </c>
      <c r="B3919" t="inlineStr">
        <is>
          <t>when should i get re-tested?</t>
        </is>
      </c>
      <c r="C3919" t="inlineStr">
        <is>
          <t>exposure was almost certainly july 11
positive test was taken july 21
my symptoms were mild: mostly headaches and myalgia, and some chills. maybe confusion, but that was probably just the stress.
they are gone now, but i am left with this weird congestion, which seems to basically consist of my sinuses draining into my throat.
it might just be allergies+quitting smoking, but should i wait? i can't find much information on how the congestion works, and i keep hearing about people testing positive for months afterward, which is rather scary.</t>
        </is>
      </c>
      <c r="D3919" t="n">
        <v>1</v>
      </c>
      <c r="E3919" t="n">
        <v>9</v>
      </c>
      <c r="F3919">
        <f>HYPERLINK("https://www.reddit.com/r/COVID19positive/comments/i1ajr8/when_should_i_get_retested/")</f>
        <v/>
      </c>
      <c r="G3919" t="inlineStr">
        <is>
          <t>2020-07-31 09:28:45</t>
        </is>
      </c>
      <c r="H3919" t="inlineStr">
        <is>
          <t>Tested Positive - Me</t>
        </is>
      </c>
    </row>
    <row r="3920">
      <c r="A3920" t="inlineStr">
        <is>
          <t>i1bbmr</t>
        </is>
      </c>
      <c r="B3920" t="inlineStr">
        <is>
          <t>Should I go to the Hospital? (Coughing up blood in morning)</t>
        </is>
      </c>
      <c r="C3920" t="inlineStr">
        <is>
          <t>Hello,
I made a thread earlier this week about having symptoms of the virus. I took a test earlier this week, still haven’t gotten my results from 7/28. Overall, it’s been fine. No more fever, just a cough with some wheezing. Nothing I haven’t experienced before except: 
The last 2 days when I wake up in the morning I have a wet coughing fit. And I ended up coughing up a good deal of blood. I took a photo of you wish to see it. It was 2 loads of bloody phlegm this morning. It has now stopped. Just like the other two days, this is only when I first wake up. I have an oximeter, my levels are 96-98 with a bpm of 70-85. I check it regularly.
I went to the doctor this afternoon and told him my symptoms, he didn’t see me privately, this happened in the doctors waiting area. He told me to go to urgent care for a chest X-ray. And gave me a prescription for antibiotics. Should I just stay home since my results for covid 19 haven’t come in yet if I’m doing just fine right now? I don’t have any issues breathing/shortness of breath, no fever, no aches or pains. Just a cough and some wheezing. 
Thanks for reading.</t>
        </is>
      </c>
      <c r="D3920" t="n">
        <v>1</v>
      </c>
      <c r="E3920" t="n">
        <v>14</v>
      </c>
      <c r="F3920">
        <f>HYPERLINK("https://www.reddit.com/r/COVID19positive/comments/i1bbmr/should_i_go_to_the_hospital_coughing_up_blood_in/")</f>
        <v/>
      </c>
      <c r="G3920" t="inlineStr">
        <is>
          <t>2020-07-31 10:10:40</t>
        </is>
      </c>
      <c r="H3920" t="inlineStr">
        <is>
          <t>Presumed Positive - From Doctor</t>
        </is>
      </c>
    </row>
    <row r="3921">
      <c r="A3921" t="inlineStr">
        <is>
          <t>i1bzou</t>
        </is>
      </c>
      <c r="B3921" t="inlineStr">
        <is>
          <t>For those who received an antibody test</t>
        </is>
      </c>
      <c r="C3921" t="inlineStr">
        <is>
          <t>I tested positive for covid antibodies and I’m wondering if anyone knows if a higher number on the tests means you have more antibodies?
For example if my results show 54.2 AU/mL. Does that mean I would have more antibodies than someone who tested and got 38 AU/mL? Or does it not matter what the number is as long as it’s larger than the standard range?</t>
        </is>
      </c>
      <c r="D3921" t="n">
        <v>1</v>
      </c>
      <c r="E3921" t="n">
        <v>3</v>
      </c>
      <c r="F3921">
        <f>HYPERLINK("https://www.reddit.com/r/COVID19positive/comments/i1bzou/for_those_who_received_an_antibody_test/")</f>
        <v/>
      </c>
      <c r="G3921" t="inlineStr">
        <is>
          <t>2020-07-31 10:46:53</t>
        </is>
      </c>
      <c r="H3921" t="inlineStr">
        <is>
          <t>Tested Positive - Me</t>
        </is>
      </c>
    </row>
    <row r="3922">
      <c r="A3922" t="inlineStr">
        <is>
          <t>i1d0bq</t>
        </is>
      </c>
      <c r="B3922" t="inlineStr">
        <is>
          <t>i dont really post here as much since im mostly recovered</t>
        </is>
      </c>
      <c r="C3922" t="inlineStr">
        <is>
          <t>Pushing through seemed to really help getting up and movement seemed to helped i went through ups and downs but pushing myself to move around has really contributed to me being able to work 25 hrs a week of a physically demanding job just dont push yourself to much listen to your body bedrest honestly made me feel worse its been 4 months dealing with this virus now btw</t>
        </is>
      </c>
      <c r="D3922" t="n">
        <v>1</v>
      </c>
      <c r="E3922" t="n">
        <v>8</v>
      </c>
      <c r="F3922">
        <f>HYPERLINK("https://www.reddit.com/r/COVID19positive/comments/i1d0bq/i_dont_really_post_here_as_much_since_im_mostly/")</f>
        <v/>
      </c>
      <c r="G3922" t="inlineStr">
        <is>
          <t>2020-07-31 11:41:49</t>
        </is>
      </c>
      <c r="H3922" t="inlineStr">
        <is>
          <t>Tested Positive - Me</t>
        </is>
      </c>
    </row>
    <row r="3923">
      <c r="A3923" t="inlineStr">
        <is>
          <t>i1dmny</t>
        </is>
      </c>
      <c r="B3923" t="inlineStr">
        <is>
          <t>Any at home treatments for bloating?</t>
        </is>
      </c>
      <c r="C3923" t="inlineStr">
        <is>
          <t>I mainly got GI symptoms and it sucks, the bloating sometimes won't let me breathe or move. Is there any remedies or treatments that you guys do at home?</t>
        </is>
      </c>
      <c r="D3923" t="n">
        <v>1</v>
      </c>
      <c r="E3923" t="n">
        <v>13</v>
      </c>
      <c r="F3923">
        <f>HYPERLINK("https://www.reddit.com/r/COVID19positive/comments/i1dmny/any_at_home_treatments_for_bloating/")</f>
        <v/>
      </c>
      <c r="G3923" t="inlineStr">
        <is>
          <t>2020-07-31 12:15:54</t>
        </is>
      </c>
      <c r="H3923" t="inlineStr">
        <is>
          <t>Tested Positive</t>
        </is>
      </c>
    </row>
    <row r="3924">
      <c r="A3924" t="inlineStr">
        <is>
          <t>i1e2ur</t>
        </is>
      </c>
      <c r="B3924" t="inlineStr">
        <is>
          <t>Heart monitor results, possibly good news. And a little history of my illness.</t>
        </is>
      </c>
      <c r="C3924" t="inlineStr">
        <is>
          <t>So, some of you know be by now and might be familiar with my various symptom history. 
A quick summary: 
I first became symptomatic on May 17. I loss my taste and smell like out of nowhere. I had been very active all day. A 5 mile walk and another
 1 1/2 climbing session on my home 40 degree climbing wall.  I was not feeling sick whatsoever. 
I decided to treat myself to a small portion of ice cream with melted dark chocolate chips on it. 
I started eating it and it just tasted off. All I could taste was bitter. WTF? So I dumped it. 
I decided to see what other stuff tasted like. I either couldn’t taste anything or it tasted off.
Shortly after this I became lightheaded. I felt high, but not in a fun way. 
Oh boy...
That’s where it all began.
From May 17 till July 22  I was on a symptom roller coaster. 
My symptoms to try to sum them up were: 
Loss of taste and smell w/metallic taste 
Red, wet, gunky/ crusty eyes w/ puffy lids 
Hoarse voice
Drippy nose 
Full feeling in ears 
Brain fog
Mental confusion
High like, lightheadedness 
Blurry vision (in a couple different ways) 
Body weakness 
Malaise 
Fatigue 
Random body aches, pains and 
skin sensations 
A constant elevated temp between 98-99+ 
Loss of appetite 
Sleep problems 
Vivid dreams 
A dry cough 
Tachycardia/ Bradycardia / Heart palpitations 
High Blood pressure 
Slight shortness of breath 
And easily winded 
Burning or pressure in chest 
Tinnitus
So just to name a few...  
there’s more but this a general list 
So for the main point. 
I had a 3 day holter heart monitor test a few weeks back.  The heart palpitations were getting troublesome.
I just spoke to my primary doc. And he said , that while I did have 5 premature beats, it wasn’t enough for concern. They confirmed the tachycardia and bradycardia symptoms, but during those times my heart was still functioning normally. 
So what that suggests is a signaling problem from the brain. 
To attempt to rule out any further damage. We’re going test for inflammation and do a heart ultrasound. And just keep monitoring for long term problems. 
I hope this posts helps anyone experiencing similar problems. The damage may be there, but  to my mind it was best case scenario, I had hoped for. 
Also, I finally feel validated by my doctor and that’s very cathartic.</t>
        </is>
      </c>
      <c r="D3924" t="n">
        <v>1</v>
      </c>
      <c r="E3924" t="n">
        <v>15</v>
      </c>
      <c r="F3924">
        <f>HYPERLINK("https://www.reddit.com/r/COVID19positive/comments/i1e2ur/heart_monitor_results_possibly_good_news_and_a/")</f>
        <v/>
      </c>
      <c r="G3924" t="inlineStr">
        <is>
          <t>2020-07-31 12:41:05</t>
        </is>
      </c>
      <c r="H3924" t="inlineStr">
        <is>
          <t>Presumed Positive - From Doctor</t>
        </is>
      </c>
    </row>
    <row r="3925">
      <c r="A3925" t="inlineStr">
        <is>
          <t>i1e8dm</t>
        </is>
      </c>
      <c r="B3925" t="inlineStr">
        <is>
          <t>My boyfriend tested negative, his mom tested positive</t>
        </is>
      </c>
      <c r="C3925" t="inlineStr">
        <is>
          <t>So on Monday, my boyfriend told me he had a headache and his body felt weak. Very mild symptoms. His mom had the same symptoms. They both went to get tested yesterday. She came back positive but his test came back negative, somehow. He’s obviously positive however and so they are both taking precautions and staying home now. 
My boyfriend started having symptoms on the 27th. I last saw him on the 22nd. 
I’m now quarantining and staying home from work. I’m not leaving my house at all for the next two weeks. So my question is, what are the chances that I will eventually test positive? I read on a department of health website that people are generally contagious two days before they begin to feel sick. I didn’t see my boyfriend during this time. There’s so much information out there so I thought I’d ask other people who have had a similar experience.</t>
        </is>
      </c>
      <c r="D3925" t="n">
        <v>1</v>
      </c>
      <c r="E3925" t="n">
        <v>6</v>
      </c>
      <c r="F3925">
        <f>HYPERLINK("https://www.reddit.com/r/COVID19positive/comments/i1e8dm/my_boyfriend_tested_negative_his_mom_tested/")</f>
        <v/>
      </c>
      <c r="G3925" t="inlineStr">
        <is>
          <t>2020-07-31 12:49:39</t>
        </is>
      </c>
      <c r="H3925" t="inlineStr">
        <is>
          <t>Tested Positive - Family</t>
        </is>
      </c>
    </row>
    <row r="3926">
      <c r="A3926" t="inlineStr">
        <is>
          <t>i1ehfz</t>
        </is>
      </c>
      <c r="B3926" t="inlineStr">
        <is>
          <t>Contracting COVID twice?</t>
        </is>
      </c>
      <c r="C3926" t="inlineStr">
        <is>
          <t>I (21M) tested positive almost 2 months ago and have been over it for a while. A friend of mine came in contact with the virus Friday, we hooked up Saturday, and she’s feeling sick this week and is likely positive. Are the chances of transmission high once you’re recently recovered and have the antibodies? I’ve been feeling totally fine</t>
        </is>
      </c>
      <c r="D3926" t="n">
        <v>1</v>
      </c>
      <c r="E3926" t="n">
        <v>16</v>
      </c>
      <c r="F3926">
        <f>HYPERLINK("https://www.reddit.com/r/COVID19positive/comments/i1ehfz/contracting_covid_twice/")</f>
        <v/>
      </c>
      <c r="G3926" t="inlineStr">
        <is>
          <t>2020-07-31 13:04:02</t>
        </is>
      </c>
      <c r="H3926" t="inlineStr">
        <is>
          <t>Tested Positive - Friends</t>
        </is>
      </c>
    </row>
    <row r="3927">
      <c r="A3927" t="inlineStr">
        <is>
          <t>i1eit4</t>
        </is>
      </c>
      <c r="B3927" t="inlineStr">
        <is>
          <t>Mental Complications after testing positive?</t>
        </is>
      </c>
      <c r="C3927" t="inlineStr">
        <is>
          <t>Hi all,
I’m a 19 year old EMT and I tested positive for COVID in late April. I was symptomatic for a week (fever, chills, pounding headache, diarrhea, fatigue, insomnia). I’ve had a history of depression and anxiety since I was a child and I recently got diagnosed with ADHD. My depression, anxiety, and especially my ADHD symptoms have been much more prevalent ever since I tested positive. I’ve been having suicidal intentions almost every day, I can’t seem to find joy from anything, nothing seems to make me happy anymore. While I am seeking help in this regard, has anyone else experienced a decline in their mental health after testing positive?</t>
        </is>
      </c>
      <c r="D3927" t="n">
        <v>1</v>
      </c>
      <c r="E3927" t="n">
        <v>16</v>
      </c>
      <c r="F3927">
        <f>HYPERLINK("https://www.reddit.com/r/COVID19positive/comments/i1eit4/mental_complications_after_testing_positive/")</f>
        <v/>
      </c>
      <c r="G3927" t="inlineStr">
        <is>
          <t>2020-07-31 13:05:59</t>
        </is>
      </c>
      <c r="H3927" t="inlineStr">
        <is>
          <t>Tested Positive</t>
        </is>
      </c>
    </row>
    <row r="3928">
      <c r="A3928" t="inlineStr">
        <is>
          <t>i1ej1v</t>
        </is>
      </c>
      <c r="B3928" t="inlineStr">
        <is>
          <t>Loss of taste/smell discussion</t>
        </is>
      </c>
      <c r="C3928" t="inlineStr">
        <is>
          <t>I tested positive 5 days ago. Over the course of about 7 days I slowly lost my ability to smell and taste. I think it’s starting to come back - I’ve been testing it out with candles, foods, etc. and can faintly pick up on some stuff. Anyone experience anything similar and have some suggestions of anything I can do to help it along?</t>
        </is>
      </c>
      <c r="D3928" t="n">
        <v>1</v>
      </c>
      <c r="E3928" t="n">
        <v>6</v>
      </c>
      <c r="F3928">
        <f>HYPERLINK("https://www.reddit.com/r/COVID19positive/comments/i1ej1v/loss_of_tastesmell_discussion/")</f>
        <v/>
      </c>
      <c r="G3928" t="inlineStr">
        <is>
          <t>2020-07-31 13:06:22</t>
        </is>
      </c>
      <c r="H3928" t="inlineStr">
        <is>
          <t>Tested Positive - Me</t>
        </is>
      </c>
    </row>
    <row r="3929">
      <c r="A3929" t="inlineStr">
        <is>
          <t>i1evak</t>
        </is>
      </c>
      <c r="B3929" t="inlineStr">
        <is>
          <t>Has anyone started asymptomatic then got worse?</t>
        </is>
      </c>
      <c r="C3929" t="inlineStr">
        <is>
          <t>I tested positive on Tuesday and haven’t had any symptoms. I am anxious that symptoms will start to get worse.</t>
        </is>
      </c>
      <c r="D3929" t="n">
        <v>1</v>
      </c>
      <c r="E3929" t="n">
        <v>6</v>
      </c>
      <c r="F3929">
        <f>HYPERLINK("https://www.reddit.com/r/COVID19positive/comments/i1evak/has_anyone_started_asymptomatic_then_got_worse/")</f>
        <v/>
      </c>
      <c r="G3929" t="inlineStr">
        <is>
          <t>2020-07-31 13:25:29</t>
        </is>
      </c>
      <c r="H3929" t="inlineStr">
        <is>
          <t>Tested Positive - Me</t>
        </is>
      </c>
    </row>
    <row r="3930">
      <c r="A3930" t="inlineStr">
        <is>
          <t>i1fhvv</t>
        </is>
      </c>
      <c r="B3930" t="inlineStr">
        <is>
          <t>Question to convalescent plasma donors, how is it?</t>
        </is>
      </c>
      <c r="C3930" t="inlineStr">
        <is>
          <t>I tested positive (tested June 27th, symptoms started June 21st) and I went in today for my HLA test (because I have had a prior pregnancy) and if I am negative for HLA I am excited to start doing my part to help fight this virus. 
I also found out today that since I'm AB+ I am an universal plasma donor! 
Wish my blood luck and hope I am HLA negative! 
How is plasma donations? Do you enjoy it and any tips for before and after donation is appreciated.</t>
        </is>
      </c>
      <c r="D3930" t="n">
        <v>1</v>
      </c>
      <c r="E3930" t="n">
        <v>13</v>
      </c>
      <c r="F3930">
        <f>HYPERLINK("https://www.reddit.com/r/COVID19positive/comments/i1fhvv/question_to_convalescent_plasma_donors_how_is_it/")</f>
        <v/>
      </c>
      <c r="G3930" t="inlineStr">
        <is>
          <t>2020-07-31 14:01:03</t>
        </is>
      </c>
      <c r="H3930" t="inlineStr">
        <is>
          <t>Tested Positive - Me</t>
        </is>
      </c>
    </row>
    <row r="3931">
      <c r="A3931" t="inlineStr">
        <is>
          <t>i1h7ol</t>
        </is>
      </c>
      <c r="B3931" t="inlineStr">
        <is>
          <t>Day 12 COVID</t>
        </is>
      </c>
      <c r="C3931" t="inlineStr">
        <is>
          <t>I am currently on day 12 since testing positive. Only symptoms is a cough. What should I expect?</t>
        </is>
      </c>
      <c r="D3931" t="n">
        <v>1</v>
      </c>
      <c r="E3931" t="n">
        <v>4</v>
      </c>
      <c r="F3931">
        <f>HYPERLINK("https://www.reddit.com/r/COVID19positive/comments/i1h7ol/day_12_covid/")</f>
        <v/>
      </c>
      <c r="G3931" t="inlineStr">
        <is>
          <t>2020-07-31 15:40:34</t>
        </is>
      </c>
      <c r="H3931" t="inlineStr">
        <is>
          <t>Tested Positive - Me</t>
        </is>
      </c>
    </row>
    <row r="3932">
      <c r="A3932" t="inlineStr">
        <is>
          <t>i1hes6</t>
        </is>
      </c>
      <c r="B3932" t="inlineStr">
        <is>
          <t>My Experience So Far</t>
        </is>
      </c>
      <c r="C3932" t="inlineStr">
        <is>
          <t>Day 1 - Felt kind of shaky and tired. That "pre-flu" feeling.
Day 2 - Achy, fever, nausea. Dry cough. No appetite.
Day 3 - Achy, fever. Dry cough. Chest tight. No appetite.
Day 4 - Achy, no fever. Cough mostly gone. Chest tight. No appetite.
Day 5 - Fatigued. Sometimes a cough here or there... randomly my chest would feel weird. No appetite.
Day 6 - Fatigued. Congested. Appetite returning.
Day 7 (today) - Fatigued. Congested. Appetite returning.
I haven't really lost my sense of taste or smell like others have. It's a little stunted, but nothing significant. I think I'm on the upswing now. The aches and fever at the beginning were no joke though. Felt like I got hit by a bus.</t>
        </is>
      </c>
      <c r="D3932" t="n">
        <v>1</v>
      </c>
      <c r="E3932" t="n">
        <v>10</v>
      </c>
      <c r="F3932">
        <f>HYPERLINK("https://www.reddit.com/r/COVID19positive/comments/i1hes6/my_experience_so_far/")</f>
        <v/>
      </c>
      <c r="G3932" t="inlineStr">
        <is>
          <t>2020-07-31 15:53:01</t>
        </is>
      </c>
      <c r="H3932" t="inlineStr">
        <is>
          <t>Tested Positive - Me</t>
        </is>
      </c>
    </row>
    <row r="3933">
      <c r="A3933" t="inlineStr">
        <is>
          <t>i1j631</t>
        </is>
      </c>
      <c r="B3933" t="inlineStr">
        <is>
          <t>Anyone had this twice?</t>
        </is>
      </c>
      <c r="C3933" t="inlineStr">
        <is>
          <t>I went back to the doctor yesterday with a sore throat and laryngitis. He swore it couldn’t be Covid again. I had it at the beginning of July, tested negative after three weeks, and had no symptoms for a couple weeks. Well, the test came back positive. 
Did I really get this twice, or was the last test a false negative? I know there’s no way to know. Could I have gotten this twice?? I’m so sick of this.</t>
        </is>
      </c>
      <c r="D3933" t="n">
        <v>1</v>
      </c>
      <c r="E3933" t="n">
        <v>44</v>
      </c>
      <c r="F3933">
        <f>HYPERLINK("https://www.reddit.com/r/COVID19positive/comments/i1j631/anyone_had_this_twice/")</f>
        <v/>
      </c>
      <c r="G3933" t="inlineStr">
        <is>
          <t>2020-07-31 17:45:37</t>
        </is>
      </c>
      <c r="H3933" t="inlineStr">
        <is>
          <t>Tested Positive - Me</t>
        </is>
      </c>
    </row>
    <row r="3934">
      <c r="A3934" t="inlineStr">
        <is>
          <t>i1j8lv</t>
        </is>
      </c>
      <c r="B3934" t="inlineStr">
        <is>
          <t>I’m only experiencing neurological symptoms. I’m worried about how long they’re going to last, and what from I’m seeing, it seems like it’s going to potentially be months.</t>
        </is>
      </c>
      <c r="C3934" t="inlineStr">
        <is>
          <t>My boyfriend and I both tested positive.  I’m glad we decided to get tested because I had no idea that these neurological issues were actually symptoms until the day we got tested.  Dizziness, confusion, memory loss, feelings of depression. 
I am dizzy most of the day, but the most difficult part is the confusion.  It hits me like a brick, and the best way I can try to explain it is like...my brain knows what sentence I want to speak, but it chops the words up into 20 pieces and scrambles them.  My brain just shuts down trying to unscramble my thoughts and words, and by the time I figure out the first couple of words, it’s scrambled again.  I can’t even speak.
Our doctors say that having these symptoms (especially ONLY these symptoms) is super atypical and it scares me to death because nobody knows if this is going to be a long-term effect or even a permanent problem. 
Has anyone else experienced Covid like this?  With only these symptoms?  And has it gotten better for anyone?</t>
        </is>
      </c>
      <c r="D3934" t="n">
        <v>1</v>
      </c>
      <c r="E3934" t="n">
        <v>35</v>
      </c>
      <c r="F3934">
        <f>HYPERLINK("https://www.reddit.com/r/COVID19positive/comments/i1j8lv/im_only_experiencing_neurological_symptoms_im/")</f>
        <v/>
      </c>
      <c r="G3934" t="inlineStr">
        <is>
          <t>2020-07-31 17:50:25</t>
        </is>
      </c>
      <c r="H3934" t="inlineStr">
        <is>
          <t>Tested Positive</t>
        </is>
      </c>
    </row>
    <row r="3935">
      <c r="A3935" t="inlineStr">
        <is>
          <t>i1jol0</t>
        </is>
      </c>
      <c r="B3935" t="inlineStr">
        <is>
          <t>Coworker tested positive and was out for 2 weeks.</t>
        </is>
      </c>
      <c r="C3935" t="inlineStr">
        <is>
          <t>He’s now back at work. He and HR both claiming that 10 days after diagnosis he’s no longer able to pass it. I don’t believe they know what they’re talking about. I’ve since stopped going to work as I’d be required to work directly with him. They fired me the 3 day when I ran out of PTO. I’ve gotten a lawyer I’m the process of pressing charges. I’m sure many of you have had similar experiences?</t>
        </is>
      </c>
      <c r="D3935" t="n">
        <v>1</v>
      </c>
      <c r="E3935" t="n">
        <v>92</v>
      </c>
      <c r="F3935">
        <f>HYPERLINK("https://www.reddit.com/r/COVID19positive/comments/i1jol0/coworker_tested_positive_and_was_out_for_2_weeks/")</f>
        <v/>
      </c>
      <c r="G3935" t="inlineStr">
        <is>
          <t>2020-07-31 18:20:54</t>
        </is>
      </c>
      <c r="H3935" t="inlineStr">
        <is>
          <t>Tested Positive - Friends</t>
        </is>
      </c>
    </row>
    <row r="3936">
      <c r="A3936" t="inlineStr">
        <is>
          <t>i1jx7y</t>
        </is>
      </c>
      <c r="B3936" t="inlineStr">
        <is>
          <t>Day 63 - (23 M) Testicular/groin pain</t>
        </is>
      </c>
      <c r="C3936" t="inlineStr">
        <is>
          <t>Hey guys. I've been following this sub since the pandemic started more or less and I've read a lot of stories of people who are still dealing with symptoms months after initial infection. I think I am also suffering from a relapse. I became infected around ~May 28 and had a mild case. My highest recorded temp was around 99.9, I had no breathing issues, but I did have chest pains/muscle aches. Lost my sense of smell for around a week as well. I tested negative on June 27. Had been feeling fine for the most part except for the occasional muscle aches. 
I had been reading stories of people who would relapse after exercising. Despite reading these stories, I decided to go to a basketball court around 2 weeks ago since it rained on that day and I figured it would be empty. It was, and I was able to shoot around/practice some moves like I always used to do pre-pandemic. I became winded really quickly. A lot faster than before.  I thought nothing of it, and felt fine once I sat down for a bit. This was on a Saturday. Tuesday afternoon, I began to feel pain in my right lower back area. The next day, I started feeling it in my right groin and I would feel it in my right testicle as well. I figured it would go away so I waited a day and it persisted. I ended up seeking medical care and had blood work done, an ultrasound of my testes/abdominal area, including a CT of my lungs and abdominal area as well. Everything came back normal. A couple days ago, I felt pain on my left testicle and my left hip as well. It's incredibly annoying and really triggers my anxiety.
In the following days following my test results I began to feel numbness in my left arm, sometimes on my face, and sometimes on my legs. I'll admit, those symptoms were scary. There was also a day in which I felt as if a feather was brushing up against my nose. Sort of like a tingling feeling. My temperature has also been fluctuating, sometimes I feel hot and sometimes I feel cold. My appetite has also gone down a bit and I just don't feel like myself. I've also had small headaches that come and go throughout the day. 
I really don't get it. I was feeling fine. Before I went out to the park that day, I remember thinking to myself that it was a bad idea and that it would surely affect my recovery. I regret going out there that day. I'm actually quite a hypochondriac so these past 2 weeks have been absolute hell for me. I'm mentally exhausted at this point.</t>
        </is>
      </c>
      <c r="D3936" t="n">
        <v>1</v>
      </c>
      <c r="E3936" t="n">
        <v>7</v>
      </c>
      <c r="F3936">
        <f>HYPERLINK("https://www.reddit.com/r/COVID19positive/comments/i1jx7y/day_63_23_m_testiculargroin_pain/")</f>
        <v/>
      </c>
      <c r="G3936" t="inlineStr">
        <is>
          <t>2020-07-31 18:37:27</t>
        </is>
      </c>
      <c r="H3936" t="inlineStr">
        <is>
          <t>Tested Positive - Me</t>
        </is>
      </c>
    </row>
    <row r="3937">
      <c r="A3937" t="inlineStr">
        <is>
          <t>i1jzvo</t>
        </is>
      </c>
      <c r="B3937" t="inlineStr">
        <is>
          <t>I was sick for a week or so</t>
        </is>
      </c>
      <c r="C3937" t="inlineStr">
        <is>
          <t>Both my partner and I fell ill within 6 hours of each other
Day 1: extreme tiredness and mild fatigue, slept all day 
Day 2: Fever, chills, body aches, weakness and fatigue, headaches, nausea, loss of appetite. Strange dreams begin 
Day 3: fever, chills, body aches, dry cough, continued fatigue and weakness, loss of appetite, headaches (partner lost taste and smell) strange dreams continue
Day 4: Less fever, body aches lessened, more coughing which was productive, less fatigue, headache worsens. I could tell there was a little fluid in my lungs
Strange dreams continue 
Day 5:  Low grade fever, some coughing (partner's taste and smell mostly returned)
Strange dreams continue
Day 6: Low grade fever, chills, headaches
Strange dreams continue
Day 7: low grade fever morning and afternoon, worsening in the evening. Body aches, fatigue, chills, and loss of appetite returns with a vengeance. Headaches worsen. Tested positive 
Strange dreams continue
Day 8: Fever, body aches, fatigue, headache, chills, loss of appetite remain throughout the day. 
Strange dreams continue
Day 9: symptoms significantly improve. Mainly had headaches off and on. Strange dreams continue
Day 10 (today): I really don't feel sick anymore. It feels like we've beat this thing but we're still having these strange fever dreams.
For others who have had this, does it sound like we're out of the woods yet? I know this virus affects everyone differently, and I wonder if I'll show symptoms again.</t>
        </is>
      </c>
      <c r="D3937" t="n">
        <v>1</v>
      </c>
      <c r="E3937" t="n">
        <v>3</v>
      </c>
      <c r="F3937">
        <f>HYPERLINK("https://www.reddit.com/r/COVID19positive/comments/i1jzvo/i_was_sick_for_a_week_or_so/")</f>
        <v/>
      </c>
      <c r="G3937" t="inlineStr">
        <is>
          <t>2020-07-31 18:42:44</t>
        </is>
      </c>
      <c r="H3937" t="inlineStr">
        <is>
          <t>Tested Positive</t>
        </is>
      </c>
    </row>
    <row r="3938">
      <c r="A3938" t="inlineStr">
        <is>
          <t>i1k6wy</t>
        </is>
      </c>
      <c r="B3938" t="inlineStr">
        <is>
          <t>Day 16 since total loss of taste and smell....</t>
        </is>
      </c>
      <c r="C3938" t="inlineStr">
        <is>
          <t>I can only really taste drinks. Not a soda drinker but I can taste juices and powerades. I can still hardly taste foods.... is this typical with recovering ?</t>
        </is>
      </c>
      <c r="D3938" t="n">
        <v>1</v>
      </c>
      <c r="E3938" t="n">
        <v>3</v>
      </c>
      <c r="F3938">
        <f>HYPERLINK("https://www.reddit.com/r/COVID19positive/comments/i1k6wy/day_16_since_total_loss_of_taste_and_smell/")</f>
        <v/>
      </c>
      <c r="G3938" t="inlineStr">
        <is>
          <t>2020-07-31 18:56:53</t>
        </is>
      </c>
      <c r="H3938" t="inlineStr">
        <is>
          <t>Tested Positive - Me</t>
        </is>
      </c>
    </row>
    <row r="3939">
      <c r="A3939" t="inlineStr">
        <is>
          <t>i1k84a</t>
        </is>
      </c>
      <c r="B3939" t="inlineStr">
        <is>
          <t>Symptoms after recovering?</t>
        </is>
      </c>
      <c r="C3939" t="inlineStr">
        <is>
          <t>Hi!
So I was not symptomatic but tested anyway because of possible exposure. I ended up testing positive on the 18th of July but then tested negative on the 20th and again on the 25th. Doctor believes I tested positive at the tail end of my having it. Looking back I did have a few days of diarrhea and feeling jittery. I had maybe a cough here and there. Never a fever. I lived life normally those weeks not knowing I had it. I exercised, drank caffeine and alcohol, etc - not to excess but I didn’t stop either as I didn’t know. 
Now that I am recovered according to the tests, I feel sort of like I have a hard time taking a full satisfying deep breath. I can do it sometimes and I can do it if I yawn. But most of the time if I force myself to take a deep breath it’s like something is stopping me from being able to take a fully satisfying deep breath (like one you take while yawning).  Is this psychosomatic? Or is it possible I caused damage to myself without knowing it while I had the virus? Anyone else experience this? My O2 reading is normal as is my resting respiratory rate.</t>
        </is>
      </c>
      <c r="D3939" t="n">
        <v>1</v>
      </c>
      <c r="E3939" t="n">
        <v>4</v>
      </c>
      <c r="F3939">
        <f>HYPERLINK("https://www.reddit.com/r/COVID19positive/comments/i1k84a/symptoms_after_recovering/")</f>
        <v/>
      </c>
      <c r="G3939" t="inlineStr">
        <is>
          <t>2020-07-31 18:59:13</t>
        </is>
      </c>
      <c r="H3939" t="inlineStr">
        <is>
          <t>Tested Positive - Me</t>
        </is>
      </c>
    </row>
    <row r="3940">
      <c r="A3940" t="inlineStr">
        <is>
          <t>i1k9z7</t>
        </is>
      </c>
      <c r="B3940" t="inlineStr">
        <is>
          <t>Almost had a fire in my kitchen this morning because I couldn't smell the smoke.</t>
        </is>
      </c>
      <c r="C3940" t="inlineStr">
        <is>
          <t>Thank god for fire alarms! I put some toast in the toaster this morning right after my fiance left for his morning walk. And because of my covid brain fog I completely forgot about it. As I'm laying in bed scrolling through Facebook I hear the fire alarm go off. So I jump up and look around me, but I dont see any smoke. My fiance and I are quarantining at a rental since we live with my immune compromised father. It's a small 2 bedroom duplex, and the way the kitchen is set up I couldn't see the toaster since its around a corner far left of the kitchen, and hidden by the fridge. I grab a chair and pull the batteries out of the alarm because it wouldn't turn off. My fire alarm at home goes off after taking a hot shower or using my blow dryer (it's right outside my bathroom door) so my mind didn't automatically think "danger!" like it should have. I really dont know how I didn't notice the smoke right away, but when I did that's when I remembered putting the toast in. I ran to the kitchen and saw a flame coming from the toaster, unplugged it and ran to throw it on the back porch. After I put my heart back in my chest I looked at the toaster and saw something stuck inside that prevented the toast from popping up and turning off, and whatever it was that was stuck inside cought fire. Had the fire alarm here not worked I would not had noticed anything wrong until it was probably too late. Theres only a few inches between where the top of the toaster was to the bottom of a wooden cabinet. After opened up some windows and doors to clear out the smoke I put the batteries back in the smoke alarm. Fiance came back from his walk, smelled smoke and asked me what happened. I told him I almost burnt the place down, so now he's on cooking duty till I get my smell back, lol. 
So... that was my day, how was yours?</t>
        </is>
      </c>
      <c r="D3940" t="n">
        <v>1</v>
      </c>
      <c r="E3940" t="n">
        <v>9</v>
      </c>
      <c r="F3940">
        <f>HYPERLINK("https://www.reddit.com/r/COVID19positive/comments/i1k9z7/almost_had_a_fire_in_my_kitchen_this_morning/")</f>
        <v/>
      </c>
      <c r="G3940" t="inlineStr">
        <is>
          <t>2020-07-31 19:02:50</t>
        </is>
      </c>
      <c r="H3940" t="inlineStr">
        <is>
          <t>Tested Positive - Me</t>
        </is>
      </c>
    </row>
    <row r="3941">
      <c r="A3941" t="inlineStr">
        <is>
          <t>i1kb9x</t>
        </is>
      </c>
      <c r="B3941" t="inlineStr">
        <is>
          <t>I took a test, I don't have the results but it seems fairly certain I have it, I feel terrible.</t>
        </is>
      </c>
      <c r="C3941" t="inlineStr">
        <is>
          <t>What helped? I'm so scared.</t>
        </is>
      </c>
      <c r="D3941" t="n">
        <v>1</v>
      </c>
      <c r="E3941" t="n">
        <v>4</v>
      </c>
      <c r="F3941">
        <f>HYPERLINK("https://www.reddit.com/r/COVID19positive/comments/i1kb9x/i_took_a_test_i_dont_have_the_results_but_it/")</f>
        <v/>
      </c>
      <c r="G3941" t="inlineStr">
        <is>
          <t>2020-07-31 19:05:23</t>
        </is>
      </c>
      <c r="H3941" t="inlineStr">
        <is>
          <t>Presumed Positive - From Doctor</t>
        </is>
      </c>
    </row>
    <row r="3942">
      <c r="A3942" t="inlineStr">
        <is>
          <t>i1lnnd</t>
        </is>
      </c>
      <c r="B3942" t="inlineStr">
        <is>
          <t>finally tested negative twice but still showing symptoms?</t>
        </is>
      </c>
      <c r="C3942" t="inlineStr">
        <is>
          <t>hi guys, i took a test on the 16th and again on the 28th and both came back negative after i first got sick on june 14. almost 2 weeks ago i drank some coffee and i felt a lot of my symptoms come back. i’ve been dealing with a consistent low grade fever, really bad headaches, and sometimes upper back pain. i went to my doctor and he put me on antibiotics because he is convinced it’s not covid anymore even though it’s the same thing as what i had when i was positive. anyways, any tips to feel better? i’ve been taking vitamin D, C, zinc, magnesium, and iron (i’m anemic). tylenol and advil dont really help with the fever or headache. the headache is so bad the best way i can describe it is as though i got hit in the head. it’s just under migraine level. i’m getting really frustrated that i’m still not better and it’s been over a month and a half</t>
        </is>
      </c>
      <c r="D3942" t="n">
        <v>1</v>
      </c>
      <c r="E3942" t="n">
        <v>3</v>
      </c>
      <c r="F3942">
        <f>HYPERLINK("https://www.reddit.com/r/COVID19positive/comments/i1lnnd/finally_tested_negative_twice_but_still_showing/")</f>
        <v/>
      </c>
      <c r="G3942" t="inlineStr">
        <is>
          <t>2020-07-31 20:43:12</t>
        </is>
      </c>
      <c r="H3942" t="inlineStr">
        <is>
          <t>Tested Positive</t>
        </is>
      </c>
    </row>
    <row r="3943">
      <c r="A3943" t="inlineStr">
        <is>
          <t>i1loz8</t>
        </is>
      </c>
      <c r="B3943" t="inlineStr">
        <is>
          <t>My Experience as an ICU RN with COVID-19 (as it unfolds)</t>
        </is>
      </c>
      <c r="C3943" t="inlineStr">
        <is>
          <t>So a little background, I work in the ICU with COVID positive patients for the last 4 months and have seen the sickest of the sick. About 4 months into this pandemic I believe I have acquired COVID-19. Test is still pending, but has all the classical markers of the virus (high fevers, dry cough, body aches). I am a perfect picture of health upper 20s male with no underlying health conditions that is a nonsmoker.
It started as a sore throat, one that I attributed to allergies l, as allergen counts were elevated in the area and I had no other symptoms. Lots of sneezing and a runny nose. So it sounds like the perfect allergy description. I didn't pay too much attention to it and proceeded with life as previously, minus taking some Flonase and Xysal for my allergies.
Much to my dismay, the allergy mediation did not help with the symptoms, with additional Sudafed used to attempt to stem the secretions (with minimal effect, at doses of 30-60 mg Pseudoephedrine). The day after my sore throat started, I woke up with chills and a low grade fever of 100.1, which on recheck was 99.6. I called the COVID-19 Hotline to get tested anyway, due to my high risk as an RN in the ICU dealing with COVID-19 patients at least weekly. Took the swab test, and am awaiting results.
In the meantime, here is a timeline of my symptoms:
*Day 1:* Sore throat, runny nose, sneezing.
*Day 2:* Fever up to 102.2 F, some mild tachypnea, congestion, headache, clogged Eustachian tubes.
*Day 3:* to be determined...</t>
        </is>
      </c>
      <c r="D3943" t="n">
        <v>1</v>
      </c>
      <c r="E3943" t="n">
        <v>59</v>
      </c>
      <c r="F3943">
        <f>HYPERLINK("https://www.reddit.com/r/COVID19positive/comments/i1loz8/my_experience_as_an_icu_rn_with_covid19_as_it/")</f>
        <v/>
      </c>
      <c r="G3943" t="inlineStr">
        <is>
          <t>2020-07-31 20:45:49</t>
        </is>
      </c>
      <c r="H3943" t="inlineStr">
        <is>
          <t>Presumed Positive - From Doctor</t>
        </is>
      </c>
    </row>
    <row r="3944">
      <c r="A3944" t="inlineStr">
        <is>
          <t>i1moli</t>
        </is>
      </c>
      <c r="B3944" t="inlineStr">
        <is>
          <t>Tested negative, but wait! there’s more...</t>
        </is>
      </c>
      <c r="C3944" t="inlineStr">
        <is>
          <t>Tested positive on the 10th of July. Began isolating in a hotel on the 11th for 2 weeks, mostly asymptomatic and any symptoms I had were gone by the 14th. I’m really thankful to have had a really mild case and not passed it onto anyone else. 
While in Isolation, I had scheduled 2x tests once I was free to go out, one the day I left the hotel and another the week after (which took place yesterday). Took both tests and got the results for the first one today which came back NEGATIVE. 
BUT WAIT
Two hours later, the results for the second test comes in which is also a NEGATIVE. 
Double negative!! I’m clear and good and I’m gonna go donate some blood :)
Anyways, anyone else feeling any after effects? My lungs definitely don’t feel like 100% capacity and my body is still exhausted from fighting off COVID.</t>
        </is>
      </c>
      <c r="D3944" t="n">
        <v>1</v>
      </c>
      <c r="E3944" t="n">
        <v>8</v>
      </c>
      <c r="F3944">
        <f>HYPERLINK("https://www.reddit.com/r/COVID19positive/comments/i1moli/tested_negative_but_wait_theres_more/")</f>
        <v/>
      </c>
      <c r="G3944" t="inlineStr">
        <is>
          <t>2020-07-31 22:01:13</t>
        </is>
      </c>
      <c r="H3944" t="inlineStr">
        <is>
          <t>Tested Positive - Me</t>
        </is>
      </c>
    </row>
    <row r="3945">
      <c r="A3945" t="inlineStr">
        <is>
          <t>i1musz</t>
        </is>
      </c>
      <c r="B3945" t="inlineStr">
        <is>
          <t>Negative but wtf how</t>
        </is>
      </c>
      <c r="C3945" t="inlineStr">
        <is>
          <t>I got negative but fuck off there’s no way. What else causes muscle fatigue, fatigue, low grade fever in fucking July?</t>
        </is>
      </c>
      <c r="D3945" t="n">
        <v>1</v>
      </c>
      <c r="E3945" t="n">
        <v>11</v>
      </c>
      <c r="F3945">
        <f>HYPERLINK("https://www.reddit.com/r/COVID19positive/comments/i1musz/negative_but_wtf_how/")</f>
        <v/>
      </c>
      <c r="G3945" t="inlineStr">
        <is>
          <t>2020-07-31 22:15:26</t>
        </is>
      </c>
      <c r="H3945" t="inlineStr">
        <is>
          <t>Tested Positive - Me</t>
        </is>
      </c>
    </row>
    <row r="3946">
      <c r="A3946" t="inlineStr">
        <is>
          <t>i1nf4i</t>
        </is>
      </c>
      <c r="B3946" t="inlineStr">
        <is>
          <t>I TESTED POSITIVE, I NEED MOTIVATION</t>
        </is>
      </c>
      <c r="C3946" t="inlineStr">
        <is>
          <t>I am 22 and tested positive today. Yesterday I went to a testing site and the result came out negative; I didn't believe it so I went to another site today and as suspected it came out positive. I have been having many symptoms: cough, body aches, blocked nose, a sore/scratchy throat, low-grade fever, headache and malaise. Walking or physical exertion gets me tired and gives me dizziness. My anxiety doesn't help me at all.  
I'm just a little afraid now that I actually have COVID because of it's unprecedented nature. Any words of motivation or remedies will help very much. Thank you and a fast/speedy recovery for all.</t>
        </is>
      </c>
      <c r="D3946" t="n">
        <v>1</v>
      </c>
      <c r="E3946" t="n">
        <v>13</v>
      </c>
      <c r="F3946">
        <f>HYPERLINK("https://www.reddit.com/r/COVID19positive/comments/i1nf4i/i_tested_positive_i_need_motivation/")</f>
        <v/>
      </c>
      <c r="G3946" t="inlineStr">
        <is>
          <t>2020-07-31 23:04:40</t>
        </is>
      </c>
      <c r="H3946" t="inlineStr">
        <is>
          <t>Tested Positive</t>
        </is>
      </c>
    </row>
    <row r="3947">
      <c r="A3947" t="inlineStr">
        <is>
          <t>i1ntki</t>
        </is>
      </c>
      <c r="B3947" t="inlineStr">
        <is>
          <t>For anyone who had covid-19 themselves, had family or friends that got it, and/or knows someone that died from it, how do you handle all the constant news, social media posts, anti-maskers, etc. now?</t>
        </is>
      </c>
      <c r="C3947" t="inlineStr">
        <is>
          <t>My grandpa, granny, myself, and my brother all battled covid-19 in July. My grandpa was hit the worst and passed away on Monday. We have taken this virus and pandemic seriously since everything happened. I had been appalled and tired of the stupidity, but now that I've watched an immediate family member deteriorate and die from it, I'm furious and have no patience for it. I'm tired of "laugh" reacts on covid-19 posts. I'm tired of people minimizing a covid-19 related death if the person was eldery or had underlying issues. I'm tired of public health being politicized. I'm tired of anti-maskers who have no regard for anyone else. I'm tired of the asinine people who STILL think this is all fake and much more.
I had been tired of all of this, but my grandpa's death has exacerbated my feelings. Does anyone else feel this way? How do you cope when you've been personally impacted? Do you have arguments with people or share your experience? I had to deactivate my social media because I just want a break from it all.</t>
        </is>
      </c>
      <c r="D3947" t="n">
        <v>1</v>
      </c>
      <c r="E3947" t="n">
        <v>40</v>
      </c>
      <c r="F3947">
        <f>HYPERLINK("https://www.reddit.com/r/COVID19positive/comments/i1ntki/for_anyone_who_had_covid19_themselves_had_family/")</f>
        <v/>
      </c>
      <c r="G3947" t="inlineStr">
        <is>
          <t>2020-07-31 23:41:43</t>
        </is>
      </c>
      <c r="H3947" t="inlineStr">
        <is>
          <t>Tested Positive - Family</t>
        </is>
      </c>
    </row>
    <row r="3948">
      <c r="A3948" t="inlineStr">
        <is>
          <t>i1olwi</t>
        </is>
      </c>
      <c r="B3948" t="inlineStr">
        <is>
          <t>When will I feel better? It's been 4 weeks.</t>
        </is>
      </c>
      <c r="C3948" t="inlineStr">
        <is>
          <t>I've been feeling like crap the past 4 weeks since I tested positive and pretty much everyone from my family. I'm really thankful none of us got any serious symptoms like a fever or a cough. I did have some pretty constant extremely uncomfortable symptoms that have not dropped in severity since testing positive:
I'd like to note that I have other health issues prior to getting the virus which is amplifying my symptoms and just making it a lot more unbearable than it should be.
Fibromyalgia-like symptoms, hands feel weak, entire body feels stiff -
extreme fluctuations in energy but mostly VERY fatigued (don't move much from bed lol)
occasionally feel like I can't breath
complete loss of smell/taste - partially recovered but seem to have plateaued the last week or two.
anxiety and depression
I already had brain fog before corona due to health issues, so corona made that 10x worse.</t>
        </is>
      </c>
      <c r="D3948" t="n">
        <v>1</v>
      </c>
      <c r="E3948" t="n">
        <v>3</v>
      </c>
      <c r="F3948">
        <f>HYPERLINK("https://www.reddit.com/r/COVID19positive/comments/i1olwi/when_will_i_feel_better_its_been_4_weeks/")</f>
        <v/>
      </c>
      <c r="G3948" t="inlineStr">
        <is>
          <t>2020-08-01 01:00:11</t>
        </is>
      </c>
      <c r="H3948" t="inlineStr">
        <is>
          <t>Tested Positive</t>
        </is>
      </c>
    </row>
    <row r="3949">
      <c r="A3949" t="inlineStr">
        <is>
          <t>i1omhm</t>
        </is>
      </c>
      <c r="B3949" t="inlineStr">
        <is>
          <t>Is there any medicine or treatment for getting my taste and smell back.</t>
        </is>
      </c>
      <c r="C3949" t="inlineStr">
        <is>
          <t>I tested + about 50 days ago and just had a 101-degree fever for one day and after that, I isolated myself for a week and tested again and this time it was negative. However, my taste and smell are lost and I can't eat anything. I went to the doctor and he said there is nothing he can do about this and suggested some shitty therapy which I tried but it didn't work. Is there any medicine or treatment that can help me to get back the taste and smell.</t>
        </is>
      </c>
      <c r="D3949" t="n">
        <v>1</v>
      </c>
      <c r="E3949" t="n">
        <v>8</v>
      </c>
      <c r="F3949">
        <f>HYPERLINK("https://www.reddit.com/r/COVID19positive/comments/i1omhm/is_there_any_medicine_or_treatment_for_getting_my/")</f>
        <v/>
      </c>
      <c r="G3949" t="inlineStr">
        <is>
          <t>2020-08-01 01:01:40</t>
        </is>
      </c>
      <c r="H3949" t="inlineStr">
        <is>
          <t>Tested Positive</t>
        </is>
      </c>
    </row>
    <row r="3950">
      <c r="A3950" t="inlineStr">
        <is>
          <t>i1p544</t>
        </is>
      </c>
      <c r="B3950" t="inlineStr">
        <is>
          <t>Potentially rigged testing?</t>
        </is>
      </c>
      <c r="C3950" t="inlineStr">
        <is>
          <t>So before I get into the meat of this post, I do want to address that I fully agree that COVID-19 is real, and that this post is not in any way going to negate that. I know I have COVID-19, I tested positive and I had all of the symptoms. What this post is going to address, however, is a flaw I noticed with some testing sites and testing methods, specifically, the issue with false negative results. Obviously this is just speculation and the last thing I want to do is perpetuate a fallacy, but I thought it wouldn’t hurt to share my story. About two weeks ago a few people in my family started getting mildly ill. No one thought it was COVID but they’re pretty proactive and decided to get tested anyway. Everyone came back negative. A week after that I developed symptoms and when I started losing my taste and smell I knew it was Covid and I too went to get tested. The testing site was a drive-thru facility where they give you a swab, a tube with solution, and a bag for you to administer the test to yourself. Also it is important to note that the best method of detecting the presence of COVID-19 is to insert a swab up the nose and touch the pharynx. Although, the lady at the window guiding me through the procedure told me to snap the swab in half, where it only went about halfway up my nostrils. Obviously I can see why they do this, but it seems absolutely counter-productive. I took her advice and snapped it in half but I also made sure to go as far back into my nose as I could to ensure my results weren’t skewed. My results came back positive. Mind you, everyone else in my family who had a false negative either had this procedure or the saliva test. I’m convinced both methods are pretty inaccurate. 
Has anyone else noticed this? Am I fixating too much on the details? I’m kinda convinced this is some fucked up way to lower the case count. I completely understand it might just be a flaw in the system but with the way things have been going I really wouldn’t be surprised. Either way, this many false negatives shouldn’t be happening. While I do understand that COVID is a novel virus and obviously testing has room for improvement, the noticeably faulty testing methods do have be kinda sus.</t>
        </is>
      </c>
      <c r="D3950" t="n">
        <v>1</v>
      </c>
      <c r="E3950" t="n">
        <v>7</v>
      </c>
      <c r="F3950">
        <f>HYPERLINK("https://www.reddit.com/r/COVID19positive/comments/i1p544/potentially_rigged_testing/")</f>
        <v/>
      </c>
      <c r="G3950" t="inlineStr">
        <is>
          <t>2020-08-01 01:53:28</t>
        </is>
      </c>
      <c r="H3950" t="inlineStr">
        <is>
          <t>Tested Positive - Me</t>
        </is>
      </c>
    </row>
    <row r="3951">
      <c r="A3951" t="inlineStr">
        <is>
          <t>i1pg83</t>
        </is>
      </c>
      <c r="B3951" t="inlineStr">
        <is>
          <t>I just want the old me back</t>
        </is>
      </c>
      <c r="C3951" t="inlineStr">
        <is>
          <t>At 22, I now have anxiety after what I went through with Covid and I just don’t know how to pick myself back up again. 
Im just needing some support. That’s it. Encouragement, Reassurance, Positivity. I’m tired of feeling down all the time. I am tired of just being alone experiencing this all. I know I’m not alone because other people out there are feeling what I am feeling after having Covid, but personally in my family and friends I feel alone. No one knows what I went through. I am a mess. I am alone mentally. I am just alone. 
I miss the fun, loving, adventurous, goofy person I was. I want to be her again. 
My anxiety is what’s kicking my ass. It’s making me be anxious about every little thing in my life now. I have medical issues now that’s setting me back of being a normal 22 year old women. I am unable to breath normally like I use to. I now have a small heart murmur and low blood pressure. Its causing a lot of anxiety now. I’m unable to be “normal” like I use to and it’s hard that I can’t control anything anymore. I can’t even be with the guy I love because I’m afraid to be around people that are not safe. I love him with everything and I haven’t even been able to see him in over 3 months. I don’t want Covid again. It may be my end. 
Is this normal?? I just want to talk to other feeling what I’m feeling.</t>
        </is>
      </c>
      <c r="D3951" t="n">
        <v>1</v>
      </c>
      <c r="E3951" t="n">
        <v>20</v>
      </c>
      <c r="F3951">
        <f>HYPERLINK("https://www.reddit.com/r/COVID19positive/comments/i1pg83/i_just_want_the_old_me_back/")</f>
        <v/>
      </c>
      <c r="G3951" t="inlineStr">
        <is>
          <t>2020-08-01 02:24:43</t>
        </is>
      </c>
      <c r="H3951" t="inlineStr">
        <is>
          <t>Tested Positive - Me</t>
        </is>
      </c>
    </row>
    <row r="3952">
      <c r="A3952" t="inlineStr">
        <is>
          <t>i1pgp1</t>
        </is>
      </c>
      <c r="B3952" t="inlineStr">
        <is>
          <t>Probably going to kick out room mate because he wont get a test or stop hanging out with people</t>
        </is>
      </c>
      <c r="C3952" t="inlineStr">
        <is>
          <t>My room mate has constantly been hanging out with people. I have tried to tell him to stop but he doesn't listen or take it serious. He only wears a mask when going in somewhere(because he has to) but never around people which is crazy. He is bringing people over to the house and I constantly tell him not to. I have told him to go get a test. He says he will but never does. Its starting to really agitate me and he is putting me at risk with his stupidity. 
Probably going to kick him out as if I get sick, then I can't go back to work and I will get evicted. Sucks as my bills are going to double but its better than dying or infecting someone.
I luckily just got a negative result on 7/21, but I want to keep it that way.</t>
        </is>
      </c>
      <c r="D3952" t="n">
        <v>1</v>
      </c>
      <c r="E3952" t="n">
        <v>74</v>
      </c>
      <c r="F3952">
        <f>HYPERLINK("https://www.reddit.com/r/COVID19positive/comments/i1pgp1/probably_going_to_kick_out_room_mate_because_he/")</f>
        <v/>
      </c>
      <c r="G3952" t="inlineStr">
        <is>
          <t>2020-08-01 02:26:06</t>
        </is>
      </c>
      <c r="H3952" t="inlineStr">
        <is>
          <t>Tested Positive - Friends</t>
        </is>
      </c>
    </row>
    <row r="3953">
      <c r="A3953" t="inlineStr">
        <is>
          <t>i1q1f8</t>
        </is>
      </c>
      <c r="B3953" t="inlineStr">
        <is>
          <t>I’m a RN who just tested positive after being forced to work a shift without a medical grade mask.</t>
        </is>
      </c>
      <c r="C3953" t="inlineStr">
        <is>
          <t>I was told to wear a cloth mask since there were no medical masks. What rights do I have?</t>
        </is>
      </c>
      <c r="D3953" t="n">
        <v>1</v>
      </c>
      <c r="E3953" t="n">
        <v>23</v>
      </c>
      <c r="F3953">
        <f>HYPERLINK("https://www.reddit.com/r/COVID19positive/comments/i1q1f8/im_a_rn_who_just_tested_positive_after_being/")</f>
        <v/>
      </c>
      <c r="G3953" t="inlineStr">
        <is>
          <t>2020-08-01 03:22:24</t>
        </is>
      </c>
      <c r="H3953" t="inlineStr">
        <is>
          <t>Tested Positive - Me</t>
        </is>
      </c>
    </row>
    <row r="3954">
      <c r="A3954" t="inlineStr">
        <is>
          <t>i1qwr6</t>
        </is>
      </c>
      <c r="B3954" t="inlineStr">
        <is>
          <t>5-year-old son tested positive</t>
        </is>
      </c>
      <c r="C3954" t="inlineStr">
        <is>
          <t>Here was his timeline:  
We're not certain where he was exposed to it, but it was on either 7/23, 7/24, or 7/25  
7/27 - no symptoms in the morning. he started saying he was cold around 11am, so i'm guessing that's when he started getting a fever. his temperature was around 101deg the rest of the day. he was verrrry lethargic, wouldn't eat anything, tried to walk across the living room and sat down on the floor after a few steps because he didn't have the energy. at 8:30pm, his temperature spiked to 103.5. we gave him tylenol and that brought it down immediately.  
7/28 - he woke up appearing 90% recovered. we got him tested for covid.  
7/29 - appears completely recovered  
7/30 - appears completely recovered  
7/31 - appears completely recovered. test results came back showing he tested positive.</t>
        </is>
      </c>
      <c r="D3954" t="n">
        <v>1</v>
      </c>
      <c r="E3954" t="n">
        <v>141</v>
      </c>
      <c r="F3954">
        <f>HYPERLINK("https://www.reddit.com/r/COVID19positive/comments/i1qwr6/5yearold_son_tested_positive/")</f>
        <v/>
      </c>
      <c r="G3954" t="inlineStr">
        <is>
          <t>2020-08-01 04:45:05</t>
        </is>
      </c>
      <c r="H3954" t="inlineStr">
        <is>
          <t>Tested Positive - Family</t>
        </is>
      </c>
    </row>
    <row r="3955">
      <c r="A3955" t="inlineStr">
        <is>
          <t>i1rmcs</t>
        </is>
      </c>
      <c r="B3955" t="inlineStr">
        <is>
          <t>My wife is PCR positive and I am IgG/IgM negative</t>
        </is>
      </c>
      <c r="C3955" t="inlineStr">
        <is>
          <t>My wife started with the symptoms (sore throat) on 7/20. She was tested by PCR On 7/24, the results arrived on 7/29, positive. She is doing very well and yesterday she did a lung CT scan, her lung is clean. She beat COVID.
Me, on the other hand, have no symptoms. 7/29, when my wife's PCR result came, I ran and did an IgG / IgM, which was negative for me. On 7/31, I was tested by PCR, the results will arrive next week.
So how can she have COVID and not me? Do you believe that PCR will show that I have it too or not?</t>
        </is>
      </c>
      <c r="D3955" t="n">
        <v>1</v>
      </c>
      <c r="E3955" t="n">
        <v>10</v>
      </c>
      <c r="F3955">
        <f>HYPERLINK("https://www.reddit.com/r/COVID19positive/comments/i1rmcs/my_wife_is_pcr_positive_and_i_am_iggigm_negative/")</f>
        <v/>
      </c>
      <c r="G3955" t="inlineStr">
        <is>
          <t>2020-08-01 05:43:30</t>
        </is>
      </c>
      <c r="H3955" t="inlineStr">
        <is>
          <t>Tested Positive - Family</t>
        </is>
      </c>
    </row>
    <row r="3956">
      <c r="A3956" t="inlineStr">
        <is>
          <t>i1t8y1</t>
        </is>
      </c>
      <c r="B3956" t="inlineStr">
        <is>
          <t>A Positive Household</t>
        </is>
      </c>
      <c r="C3956" t="inlineStr">
        <is>
          <t>My grandparents and mother have just told me they lost their smell and taste. They wore their masks for a few days and social distanced but now they’re not wearing masks at all and going about the house like normal while coughing..
Is their anything I could do to protect myself?? My room is separated from the house so my contact is minimal. I have to go in to shower and such.</t>
        </is>
      </c>
      <c r="D3956" t="n">
        <v>1</v>
      </c>
      <c r="E3956" t="n">
        <v>2</v>
      </c>
      <c r="F3956">
        <f>HYPERLINK("https://www.reddit.com/r/COVID19positive/comments/i1t8y1/a_positive_household/")</f>
        <v/>
      </c>
      <c r="G3956" t="inlineStr">
        <is>
          <t>2020-08-01 07:40:47</t>
        </is>
      </c>
      <c r="H3956" t="inlineStr">
        <is>
          <t>Tested Positive - Family</t>
        </is>
      </c>
    </row>
    <row r="3957">
      <c r="A3957" t="inlineStr">
        <is>
          <t>i1tzoo</t>
        </is>
      </c>
      <c r="B3957" t="inlineStr">
        <is>
          <t>My COVID-19 experience</t>
        </is>
      </c>
      <c r="C3957" t="inlineStr">
        <is>
          <t>MY COVID SYMPTOMS 🦠 
July 6th- Headache and dehydrated. Pressure in head. 97.7 temp. 
July 7th- Migraine and dehydrated. 97.7 temp
July 8th- Pressure in head to where it felt like it was going to explode. Congested. Dehydrated. No sense of taste or smell. 97.3 temp. 
July 9th- Pressure in head but not as bad. Congested. No sense of taste or smell. Neck and back feel stiff and tight. Feeling less dehydrated. 97.7 temp. 
July 10th- Woke up with significantly less pressure in my head. No sense of taste or smell. 97.5 temp. 
July 11th- Woke up with no pressure in head but congested. No sense of taste or smell. Couldn’t sleep. 97.3 temp.
July 12th- Woke up way more congested than before. Ears feel and sound like I’m under water. No sense of taste or smell. Couldn’t sleep. Would nod off and wake up gasping for air. 97.7 temp. 
July 13th- Woke up feeling better. Got tested at 12:45pm. No sense of taste or smell. Slept 12 hours this night. 97.7 temp. 
July 14th- Tested positive for COVID-19 (got my results in 19 hours!) Feel great but sense of taste or smell. 97.7 temp. 
July 15th- Feel great. No sense of taste or smell. 
July 16th- Feel great. No sense of taste or smell. 
July 17th- Feel great. Slight sense of taste &amp;amp; smell (10%)
July 18th- Feel great. Slight sense of taste &amp;amp; smell (15%)
July 19th- Feel great. Slight sense of taste &amp;amp; smell (20%)
July 20th-30th- Feel great. Sense of taste and smell mostly returned (80%)
Aug 1st- FINALLY FEEL 100%!!!</t>
        </is>
      </c>
      <c r="D3957" t="n">
        <v>1</v>
      </c>
      <c r="E3957" t="n">
        <v>55</v>
      </c>
      <c r="F3957">
        <f>HYPERLINK("https://www.reddit.com/r/COVID19positive/comments/i1tzoo/my_covid19_experience/")</f>
        <v/>
      </c>
      <c r="G3957" t="inlineStr">
        <is>
          <t>2020-08-01 08:27:47</t>
        </is>
      </c>
      <c r="H3957" t="inlineStr">
        <is>
          <t>Tested Positive - Me</t>
        </is>
      </c>
    </row>
    <row r="3958">
      <c r="A3958" t="inlineStr">
        <is>
          <t>i1u7wx</t>
        </is>
      </c>
      <c r="B3958" t="inlineStr">
        <is>
          <t>Almost 2 months, still can’t smell</t>
        </is>
      </c>
      <c r="C3958" t="inlineStr">
        <is>
          <t>Ok so I found out I had COVID about a month and a half ago. I had most of the symptoms and decided to just relax and quarantine for 14 days. Before the 14 days were over I felt better but remained quarantined for the rest of the days. When I got out I realized I lost my sense of smell. I could taste perfectly fine through the whole time but now I realized that I couldn’t smell. I saw many stories that this was normal and my smell would eventually come back. I even did some smell training to try and help speed it up. It’s been a whole month and my sense smell is still not back. Can anyone help? What should I do?</t>
        </is>
      </c>
      <c r="D3958" t="n">
        <v>1</v>
      </c>
      <c r="E3958" t="n">
        <v>3</v>
      </c>
      <c r="F3958">
        <f>HYPERLINK("https://www.reddit.com/r/COVID19positive/comments/i1u7wx/almost_2_months_still_cant_smell/")</f>
        <v/>
      </c>
      <c r="G3958" t="inlineStr">
        <is>
          <t>2020-08-01 08:41:20</t>
        </is>
      </c>
      <c r="H3958" t="inlineStr">
        <is>
          <t>Tested Positive</t>
        </is>
      </c>
    </row>
    <row r="3959">
      <c r="A3959" t="inlineStr">
        <is>
          <t>i1u9vq</t>
        </is>
      </c>
      <c r="B3959" t="inlineStr">
        <is>
          <t>Loss of taste and smell</t>
        </is>
      </c>
      <c r="C3959" t="inlineStr">
        <is>
          <t>I am on day 7 of Corona, I got word that I tested positive on Thursday, my symptoms started last Saturday. A few days ago things started tasting terrible then the sense of smell and taste just completely went away. I am still battling fevers, congestion, and headaches but I am functioning fine.
Just out of curiosity how long did the loss of taste and smell last for you guys? I’ve tried to smell everything and can’t even get a whiff lol</t>
        </is>
      </c>
      <c r="D3959" t="n">
        <v>1</v>
      </c>
      <c r="E3959" t="n">
        <v>6</v>
      </c>
      <c r="F3959">
        <f>HYPERLINK("https://www.reddit.com/r/COVID19positive/comments/i1u9vq/loss_of_taste_and_smell/")</f>
        <v/>
      </c>
      <c r="G3959" t="inlineStr">
        <is>
          <t>2020-08-01 08:44:52</t>
        </is>
      </c>
      <c r="H3959" t="inlineStr">
        <is>
          <t>Tested Positive - Me</t>
        </is>
      </c>
    </row>
    <row r="3960">
      <c r="A3960" t="inlineStr">
        <is>
          <t>i1uw4s</t>
        </is>
      </c>
      <c r="B3960" t="inlineStr">
        <is>
          <t>I’m just so tired but I have insomnia.</t>
        </is>
      </c>
      <c r="C3960" t="inlineStr">
        <is>
          <t>I am on day 16 of being tested positive and 5 of post hospitalization. I am so tired, I just feel fatigue and sleepiness, but I’m having trouble sleeping at night and staying asleep. 
I am still quarantined because I have shortness of breath, loss of taste, and fatigue; which my doctor states indicates I am still symptomatic. I have come a long way though. 
Anyone else having sleep issues?</t>
        </is>
      </c>
      <c r="D3960" t="n">
        <v>1</v>
      </c>
      <c r="E3960" t="n">
        <v>12</v>
      </c>
      <c r="F3960">
        <f>HYPERLINK("https://www.reddit.com/r/COVID19positive/comments/i1uw4s/im_just_so_tired_but_i_have_insomnia/")</f>
        <v/>
      </c>
      <c r="G3960" t="inlineStr">
        <is>
          <t>2020-08-01 09:23:20</t>
        </is>
      </c>
      <c r="H3960" t="inlineStr">
        <is>
          <t>Tested Positive - Me</t>
        </is>
      </c>
    </row>
    <row r="3961">
      <c r="A3961" t="inlineStr">
        <is>
          <t>i1v06k</t>
        </is>
      </c>
      <c r="B3961" t="inlineStr">
        <is>
          <t>What are my chances of survival?? 22F with asthma</t>
        </is>
      </c>
      <c r="C3961" t="inlineStr">
        <is>
          <t>I got tested at a CVS recently. Unfortunately my test result was TNP for whatever reason so I'll need to be retested. But I'm scared. I have asthma and lung damage from two pulmonary embolism I got after smoking black market THC carts when I was 19. I'm also overweight at 5'4 and 195 lbs. Will I be okay if my test ends up being positive?</t>
        </is>
      </c>
      <c r="D3961" t="n">
        <v>1</v>
      </c>
      <c r="E3961" t="n">
        <v>23</v>
      </c>
      <c r="F3961">
        <f>HYPERLINK("https://www.reddit.com/r/COVID19positive/comments/i1v06k/what_are_my_chances_of_survival_22f_with_asthma/")</f>
        <v/>
      </c>
      <c r="G3961" t="inlineStr">
        <is>
          <t>2020-08-01 09:30:14</t>
        </is>
      </c>
      <c r="H3961" t="inlineStr">
        <is>
          <t>Presumed Positive - From Doctor</t>
        </is>
      </c>
    </row>
    <row r="3962">
      <c r="A3962" t="inlineStr">
        <is>
          <t>i1v1qx</t>
        </is>
      </c>
      <c r="B3962" t="inlineStr">
        <is>
          <t>COVID experience plus lingering side effects</t>
        </is>
      </c>
      <c r="C3962" t="inlineStr">
        <is>
          <t>I wanted to post this because my symptoms were not as common and hopefully this post could help someone on the fence about testing. 
Situation:
I tested positive for COVID 19 on July 2nd after an inconclusive test on June 24th. I believe I was exposed by going to a pool in my apartment complex. It was my fault because I did not wear my mask and I thought I could keep the children from the complex away from me. 
Inital Symptoms 
I got tested thinking my symptoms were breathing problems and some head congestion. 
Actual Symptoms 
When I tested positive, those symptoms disappeared and I had very bad diarrhea that smells acidic, profuse, short burst of sweating, lack of appetite, and head congestion causing dizziness. After 3 weeks, I tested negative twice within 24 hours on July 16th. 
Current Issues
My stool can be loose one day and solid the next but usually always yellow green. It also still smells acidic which is concerning. Overall, I think COVID has destroyed my gastrointestinal track and I will be making an appointment that see a gastro doctor soon.</t>
        </is>
      </c>
      <c r="D3962" t="n">
        <v>1</v>
      </c>
      <c r="E3962" t="n">
        <v>9</v>
      </c>
      <c r="F3962">
        <f>HYPERLINK("https://www.reddit.com/r/COVID19positive/comments/i1v1qx/covid_experience_plus_lingering_side_effects/")</f>
        <v/>
      </c>
      <c r="G3962" t="inlineStr">
        <is>
          <t>2020-08-01 09:32:51</t>
        </is>
      </c>
      <c r="H3962" t="inlineStr">
        <is>
          <t>Tested Positive - Me</t>
        </is>
      </c>
    </row>
    <row r="3963">
      <c r="A3963" t="inlineStr">
        <is>
          <t>i1v4ki</t>
        </is>
      </c>
      <c r="B3963" t="inlineStr">
        <is>
          <t>Testing positive while out of town</t>
        </is>
      </c>
      <c r="C3963" t="inlineStr">
        <is>
          <t>My boyfriend travelled via plane to another state (about 2 days drive). He took a COVID-19 test on Tuesday. His test results came back positive this morning (Saturday). He is asymptomatic and currently staying with family (2 adults, 1 child). He doesn't know what to do. 
Should he rent an Airbnb or hotel room and self isolate? Rent a car and drive back home? Wait it out in the other state until he's supposed to fly back in a week? There doesn't seem to be any good options at all.</t>
        </is>
      </c>
      <c r="D3963" t="n">
        <v>1</v>
      </c>
      <c r="E3963" t="n">
        <v>7</v>
      </c>
      <c r="F3963">
        <f>HYPERLINK("https://www.reddit.com/r/COVID19positive/comments/i1v4ki/testing_positive_while_out_of_town/")</f>
        <v/>
      </c>
      <c r="G3963" t="inlineStr">
        <is>
          <t>2020-08-01 09:37:09</t>
        </is>
      </c>
      <c r="H3963" t="inlineStr">
        <is>
          <t>Tested Positive - Family</t>
        </is>
      </c>
    </row>
    <row r="3964">
      <c r="A3964" t="inlineStr">
        <is>
          <t>i1w3kt</t>
        </is>
      </c>
      <c r="B3964" t="inlineStr">
        <is>
          <t>My Symptoms</t>
        </is>
      </c>
      <c r="C3964" t="inlineStr">
        <is>
          <t>So I took a test 6 days ago and still haven’t received the results, however, my doctor has presumed me positive, even if I get a negative/inconclusive result due to all my symptoms. I went to a CVS drive through and had to do the nasal swab on myself, and I could not get it all the way up, so the test may not be accurate. 
Figured I would post my experience and symptoms over the past week, to hopefully help others who think they may have it: 
July 25 - sneezed all day, slight headache, mental fog, everything tasted bland until right before bed when I lost my taste completely. No Fever.
July 26 - sore throat, zero taste, watery nose. No Fever. Took test this day.
July 27 - slightly elevated morning fever of 99.5 that went away. Itchy throat but no longer sore. More congested than before. As the day went on, things came in waves. I’d feel tired and slightly short of breath with a headache, then I would feel better. My taste came back about 20%. At night my temp went up to 100.9 before I took something to manage it and bring it down. Some dry coughs. 
July 28 - No fever in the AM. Coughing a lot more, this time a mix of dry coughs and wet coughs from the congestion. Felt better during day, but fatigue set in late afternoon. Had a slightly elevated fever of 99.1 before bed.
July 29 - No fever. Very lightheaded, fatigued, and dizzy. Headache and very intense pressure in my ears (felt like they were ready to pop). Also had some pressure in my back near my shoulder blades and felt like I had a weight on my chest. Some confusion and mild congestion. Occasional dry coughs. Taste is about 50%.
July 30 - No fever. Pain behind right eye. Exhausted but can’t sleep. Headache. No taste again. Called doctor, they put me on a Z Pak and monitoring me 2 times a day. Scary coughing fit at night, dry unproductive coughs consecutively in a row that just produced air from my lungs and made it hard to breathe. I’ve been describing it like a bike pump sound. The coughing fit lasted about 5 minutes and made me panic and cry. 
July 31 - No fever. Woke up feeling like I had a terrible hangover. Throbbing headache behind my right eye. Coughing worsened and a lot more frequent, all dry unproductive coughs. Symptoms would come in waves, I’d have bouts of energy and mild symptoms that would trick me into thinking I was feeling better. Very anxious and ansy. I felt like I wanted to move, but when I stood up I was dizzy and fatigued. It made me want to jump out of my skin and I didn’t know what to do with myself. I’ve lost 5 pounds at this point because I haven’t had an appetite. 
August 1 (today) - Lessening symptoms. Cough is manageable and still dry but more productive. Clogged left ear, stuffy nose and minor congestion. Still some weird pains in my body, but feeling a lot better. We will see how the rest of the day/night goes because I’ve been tricked before.</t>
        </is>
      </c>
      <c r="D3964" t="n">
        <v>1</v>
      </c>
      <c r="E3964" t="n">
        <v>2</v>
      </c>
      <c r="F3964">
        <f>HYPERLINK("https://www.reddit.com/r/COVID19positive/comments/i1w3kt/my_symptoms/")</f>
        <v/>
      </c>
      <c r="G3964" t="inlineStr">
        <is>
          <t>2020-08-01 10:35:40</t>
        </is>
      </c>
      <c r="H3964" t="inlineStr">
        <is>
          <t>Presumed Positive - From Doctor</t>
        </is>
      </c>
    </row>
    <row r="3965">
      <c r="A3965" t="inlineStr">
        <is>
          <t>i1w9r4</t>
        </is>
      </c>
      <c r="B3965" t="inlineStr">
        <is>
          <t>Day 4. Moderate symptoms, cannot imagine it getting worse</t>
        </is>
      </c>
      <c r="C3965" t="inlineStr">
        <is>
          <t>I’m a healthy, mid 30s White male, non-smoker. I’ve barely left my house since February and have been hyper vigilant about masks, gloves, sanitizing EVERYTHING due to my wife (immunocompromised).
7/29- Had a major headache all day that I couldn’t kick. Fever dreams all night.
7/30- woke up with 103 deg fever. Body aches, headache, chills, vomiting diarrhea, tingling tastebuds/phantom taste sensations. Only major category I seemed to have avoided is respiratory. Went to get tested, should see results in 3-5 days.
8/1- basically holding at the same level with all of the symptoms. I can barely stand up, my energy level is so low. The only good news is no one else in my family is showing symptoms so far and I’ve successfully been able to isolate.</t>
        </is>
      </c>
      <c r="D3965" t="n">
        <v>1</v>
      </c>
      <c r="E3965" t="n">
        <v>10</v>
      </c>
      <c r="F3965">
        <f>HYPERLINK("https://www.reddit.com/r/COVID19positive/comments/i1w9r4/day_4_moderate_symptoms_cannot_imagine_it_getting/")</f>
        <v/>
      </c>
      <c r="G3965" t="inlineStr">
        <is>
          <t>2020-08-01 10:45:31</t>
        </is>
      </c>
      <c r="H3965" t="inlineStr">
        <is>
          <t>Presumed Positive - From Doctor</t>
        </is>
      </c>
    </row>
    <row r="3966">
      <c r="A3966" t="inlineStr">
        <is>
          <t>i1wp9x</t>
        </is>
      </c>
      <c r="B3966" t="inlineStr">
        <is>
          <t>16 yo son with Covid: Is lethargy sign of contagiousness? Throat clearing cough?</t>
        </is>
      </c>
      <c r="C3966" t="inlineStr">
        <is>
          <t xml:space="preserve"> My 16 yo son has Covid. It's a unique situation in that he was living in a Residential Treatment Facility. They released him mildly sick with the cavalier warning that another kiddo had tested positive, but they didn't think my son could have it. I took him to get tested before even coming home and found out the next day he was positive. My husband and other children are living with my parents right now in order to keep them healthy. My youngest son has quite a long medical history and I do NOT want him to catch this. My biggest concern is, when will it be safe for my family to move back into the house.   I added a ? before the day because I don't know when he ACTUALLY started showing symptoms. He tells me he did July 4th, but I'm certain this is just a date he has heard (communication for him is difficult) and the facility does not have records of him being sick, but they clearly didn't notice he was sick when he came home.
Day?+1: Temp in 99s, no sense of taste or smell, said he felt fine, decreased appetite
Day?+2-3: Slight cough (barely), no sense of taste or smell, returning appetite and no fever, tired, but still wants to play ball and have fun:)
Day?+4: Felt "bad," achey, developed tightness in chest and pain in center of back, trip to ER found pneumonia and he was admitted into a Children's Hospital. Still no fever, no sense of smell or taste
Day?+5: Vitals and everything looked good, he said he felt "great," discharged from hospital, went home to play basketball right away (which he had been doing off and on), only tightness with deep breath
Day?+6: Returning taste and smell, feels good during day (still naps though), but doesn't feel as good in the evening
Day?+7: achy and tired all day, downright difficult day
Day?+8-9: felt GREAT all day
Day ?+10: Felt great until evening when he got an upset stomach and felt chest tightness and achy - cough came back and sounded more productive
Day?+11: Woke up feeling bad but progressively got better. Cough present (still productive)
Day?+12: Said he felt good all day but seemed sluggish and I did hear him cough a few times/more of a throat clear) (still played bball)
Day ?+13:  Said he feels great, but is napping already.
So - I have no idea...is he overdoing it when he feels okay?  He knows the family WAS coming home on Sunday but because he felt bad they aren't now, so I'm worried he will HIDE symptoms. I'm also worried he will MILK IT and I won't be able to trust when he says he doesn't feel good - or in his words, he feels "crummy."  I want my family home. I want my son to be able to integrate into society and DO fun things. But I want to keep everyone safe, especially my youngest son that has a history of medical problems. Lastly: I deal strongly with anxiety over medical issues, which doesn't help! For those of you that have had this...advice?</t>
        </is>
      </c>
      <c r="D3966" t="n">
        <v>1</v>
      </c>
      <c r="E3966" t="n">
        <v>13</v>
      </c>
      <c r="F3966">
        <f>HYPERLINK("https://www.reddit.com/r/COVID19positive/comments/i1wp9x/16_yo_son_with_covid_is_lethargy_sign_of/")</f>
        <v/>
      </c>
      <c r="G3966" t="inlineStr">
        <is>
          <t>2020-08-01 11:10:33</t>
        </is>
      </c>
      <c r="H3966" t="inlineStr">
        <is>
          <t>Tested Positive - Family</t>
        </is>
      </c>
    </row>
    <row r="3967">
      <c r="A3967" t="inlineStr">
        <is>
          <t>i1x5jk</t>
        </is>
      </c>
      <c r="B3967" t="inlineStr">
        <is>
          <t>Just got my positive results back...</t>
        </is>
      </c>
      <c r="C3967" t="inlineStr">
        <is>
          <t>Just got a call that my test came back positive. I haven’t had too many symptoms. I’ve had a cough for 5 day’s. Have other people had similar mild symptoms? Did you get better or worse?
Also feeling really bad because my cat is now sick. My boyfriend that lives with me has had no symptoms thus far but is getting tested tomorrow.</t>
        </is>
      </c>
      <c r="D3967" t="n">
        <v>1</v>
      </c>
      <c r="E3967" t="n">
        <v>6</v>
      </c>
      <c r="F3967">
        <f>HYPERLINK("https://www.reddit.com/r/COVID19positive/comments/i1x5jk/just_got_my_positive_results_back/")</f>
        <v/>
      </c>
      <c r="G3967" t="inlineStr">
        <is>
          <t>2020-08-01 11:37:20</t>
        </is>
      </c>
      <c r="H3967" t="inlineStr">
        <is>
          <t>Tested Positive - Me</t>
        </is>
      </c>
    </row>
    <row r="3968">
      <c r="A3968" t="inlineStr">
        <is>
          <t>i1xnpu</t>
        </is>
      </c>
      <c r="B3968" t="inlineStr">
        <is>
          <t>My experience with what I now know is COVID.</t>
        </is>
      </c>
      <c r="C3968" t="inlineStr">
        <is>
          <t>Day 1-2 Woke up from golfing with really bad allergies. I have always had bad allergies but my face felt like it was pushing on my skill and i had an extremely runny nose and sneezing a lot. This was my only symptom , I thought nothing of it and took flonase to help. (actually did help but not completely)
Day 3-5 I just feel off that day, for some reason really tired, not really interested in anything. Didn't necessarily feel sick but I definitely wasn't great. It was almost as if I was depressed. I had no appetite and just wasn't in the mood for anything, and I barely ate anything.
Day 4-6 (NIGHTS)- Yeah the nights deserve there own category for this one because they are completely awful. I can never sleep because of anxiety or COVID. For some reason my lungs just start to feel like they are being attacked only at night. I still have not developed a fever at this point.
Day 7 (TODAY) - Very minor shortness of breath but if I havent had these other symptoms I would brush it off. Woke up today with like 90% of my smell and taste gone. Still no fever at this point. Feel off but hopefully I'm near the end of it. Wish me luck.
Knock on wood but I feel extremely lucky with how I've been dealing with this virus. I just recently lost weight from 300 to 250 pounds because of this virus scaring me so much. For those wondering I am a 20 year old male.</t>
        </is>
      </c>
      <c r="D3968" t="n">
        <v>1</v>
      </c>
      <c r="E3968" t="n">
        <v>5</v>
      </c>
      <c r="F3968">
        <f>HYPERLINK("https://www.reddit.com/r/COVID19positive/comments/i1xnpu/my_experience_with_what_i_now_know_is_covid/")</f>
        <v/>
      </c>
      <c r="G3968" t="inlineStr">
        <is>
          <t>2020-08-01 12:06:52</t>
        </is>
      </c>
      <c r="H3968" t="inlineStr">
        <is>
          <t>Presumed Positive - From Doctor</t>
        </is>
      </c>
    </row>
    <row r="3969">
      <c r="A3969" t="inlineStr">
        <is>
          <t>i208ik</t>
        </is>
      </c>
      <c r="B3969" t="inlineStr">
        <is>
          <t>Antibody weirdness - IgM and IgG, and nasal swab.</t>
        </is>
      </c>
      <c r="C3969" t="inlineStr">
        <is>
          <t>Hey everyone! I wanted to check in and see if anyone has similar testing status/symptoms like I do. 
6/30- gastro symptoms only 
7/3- full blown exhaustion, chest pain, headache, heart rate elevated (no fever or cough at all)
7/6- tested positive via nasal swab at urgent care. Prescribed dexamethasone for 14 days
7/6-7/15- felt like absolute crap- basically bed ridden with exhaustion 
7/17- tested positive via another nasal swab again. I’ve seen some info that repeated positive nasal swabs are just detecting dead RNA
7/19-7/28- still feeling crappy but improving 
7/29- feel like a normal person yay! 
7/30- got a rapid antibody test- it’s showing only IgM antibodies (short term, released at early stages of infection) but NO IgG antibodies(long term, usually develop at higher level. The place that did the rapid test then did another nasal swab, but I’m in Florida so it will be another 1-2 weeks probably until I get that test. 
7/31- today- feeling like shit again. Gastro flare up and exhausted. 
What the heck is going on? Reinfection? Why didn’t my immune system make IgG antibodies yet? My blood test basically indicates that I’m in the early stages. I don’t wanna get it again😢
Is anyone else in the same boat? Positive for IgM, negative for IgG, and positive nasal swabs. I read an article that there is some debate now about how the body fights it- that some people don’t make IgG in response to it, rather T cells are doing the work. But why still high levels of IgM? My boss/company need me and I want to go back but it’s just weird and I will be so sad if I bring it to them.</t>
        </is>
      </c>
      <c r="D3969" t="n">
        <v>1</v>
      </c>
      <c r="E3969" t="n">
        <v>19</v>
      </c>
      <c r="F3969">
        <f>HYPERLINK("https://www.reddit.com/r/COVID19positive/comments/i208ik/antibody_weirdness_igm_and_igg_and_nasal_swab/")</f>
        <v/>
      </c>
      <c r="G3969" t="inlineStr">
        <is>
          <t>2020-08-01 14:30:43</t>
        </is>
      </c>
      <c r="H3969" t="inlineStr">
        <is>
          <t>Tested Positive</t>
        </is>
      </c>
    </row>
    <row r="3970">
      <c r="A3970" t="inlineStr">
        <is>
          <t>i20e7v</t>
        </is>
      </c>
      <c r="B3970" t="inlineStr">
        <is>
          <t>For those of us dealing with leg pain and swelling</t>
        </is>
      </c>
      <c r="C3970" t="inlineStr">
        <is>
          <t>i’ve noticed a lot of posts describing leg pain, swelling, discomfort especially around the calf area and i’ve been dealing with the same symptoms. my question is have any of you gotten checked by a dr. to figure out what’s causing it. i don’t want to be a downer but covid can cause blood clotting and i’m hoping this isn’t the reason why we’re having these symptoms. if anyone has good news it would help me ease my mind. also for anyone who has had clotting what were your symptoms and when did you know to go to the er? thanks :)</t>
        </is>
      </c>
      <c r="D3970" t="n">
        <v>1</v>
      </c>
      <c r="E3970" t="n">
        <v>7</v>
      </c>
      <c r="F3970">
        <f>HYPERLINK("https://www.reddit.com/r/COVID19positive/comments/i20e7v/for_those_of_us_dealing_with_leg_pain_and_swelling/")</f>
        <v/>
      </c>
      <c r="G3970" t="inlineStr">
        <is>
          <t>2020-08-01 14:40:31</t>
        </is>
      </c>
      <c r="H3970" t="inlineStr">
        <is>
          <t>Tested Positive - Me</t>
        </is>
      </c>
    </row>
    <row r="3971">
      <c r="A3971" t="inlineStr">
        <is>
          <t>i20q7y</t>
        </is>
      </c>
      <c r="B3971" t="inlineStr">
        <is>
          <t>Recovered! Tested Negative after testing Positive 4 weeks ago, Still Can't smell</t>
        </is>
      </c>
      <c r="C3971" t="inlineStr">
        <is>
          <t>So About 4 1/2 weeks ago, I tested positive for COVID-19, my only symptom was that I could not smell and it stayed that way. I paid and took a Rapid COVID test from a clinic in my area and tested negative, but I still cannot smell. I just wanted to make this post for anyone who has the same worries, you can be recovered from COVID and still not smell, but get a test to make sure you are negative!</t>
        </is>
      </c>
      <c r="D3971" t="n">
        <v>1</v>
      </c>
      <c r="E3971" t="n">
        <v>5</v>
      </c>
      <c r="F3971">
        <f>HYPERLINK("https://www.reddit.com/r/COVID19positive/comments/i20q7y/recovered_tested_negative_after_testing_positive/")</f>
        <v/>
      </c>
      <c r="G3971" t="inlineStr">
        <is>
          <t>2020-08-01 15:00:42</t>
        </is>
      </c>
      <c r="H3971" t="inlineStr">
        <is>
          <t>Tested Positive - Me</t>
        </is>
      </c>
    </row>
    <row r="3972">
      <c r="A3972" t="inlineStr">
        <is>
          <t>i2199o</t>
        </is>
      </c>
      <c r="B3972" t="inlineStr">
        <is>
          <t>Anyone else experience dizziness??</t>
        </is>
      </c>
      <c r="C3972" t="inlineStr">
        <is>
          <t>Hi! So a quick timeline for my Covid case:
Saturday, July 18 - exposed to covid
Day 1: nothing
Day 2: weird pain in lymph node
Day 3: feeling tired but nothing to think something was wrong
Day 4: sore throat and nasal drainage - both mild
Day 5: sore throat continued, feeling out of breath easy
Day 6: tested positive - neck pain, stuffed nose, chest tightness, malaise
Day 7-8: chest pain/tightness continues, malaise, fatigue, and some dizziness at night 
Day 9: slight improvements, need to take my inhaler though
Day 10: lost sense of smell - 90%, some improvements
Day 11-13: every day I’m improving, no more chest pain/tightness, less tired/fatigued, still lost about 80% of my smell
Day 14: TODAY - wake up with migraine, have been dizzy/nauseous all day.
Should I be concerned? I thought I was getting better:/ anyone else experience dizziness this far in? I never get dizzy so it’s just a terrible feeling.</t>
        </is>
      </c>
      <c r="D3972" t="n">
        <v>1</v>
      </c>
      <c r="E3972" t="n">
        <v>18</v>
      </c>
      <c r="F3972">
        <f>HYPERLINK("https://www.reddit.com/r/COVID19positive/comments/i2199o/anyone_else_experience_dizziness/")</f>
        <v/>
      </c>
      <c r="G3972" t="inlineStr">
        <is>
          <t>2020-08-01 15:34:07</t>
        </is>
      </c>
      <c r="H3972" t="inlineStr">
        <is>
          <t>Tested Positive - Me</t>
        </is>
      </c>
    </row>
    <row r="3973">
      <c r="A3973" t="inlineStr">
        <is>
          <t>i22jhu</t>
        </is>
      </c>
      <c r="B3973" t="inlineStr">
        <is>
          <t>Mild case here - head pangs / brain zaps?</t>
        </is>
      </c>
      <c r="C3973" t="inlineStr">
        <is>
          <t>Hello all,
It's been helpful reading people's experiences and I feel for those of you who have it harder than I have. 
I wish to add my experience to-date to those who are new to covid, and may feel scared by the severe cases, as well as to ask about symptoms I've been having.
### Strange symptom?
Has anyone else experienced brain zaps or head pangs? The best way I can describe it is like SSRI withdrawal syndrome. There will be a single short and not-painful zap feeling, which totally stops my train of thought. There's only been a few. It's mostly just an odd feeling. Asking as I'm curious.
### My experience 
My experience has been thankfully mild - no sense of smell or taste, rolling dull headaches, fatigue (in bed most of the day but can take self care), general aches and pains.
My smell disappeared over 24h - my Friday afternoon coffee from a new coffee shop nearby tasted weird, my evening meal tasted naff, and I had sinus pain which I attributed to some manual work I'd been doing that day. The next day it was gone, and that was when I ordered a test.
If you're unsure on whether your loss of smell is covid or not, put your nose into a jar or bag of coffee. If you can't smell it, get a test and isolate. 
Just over a week later, today, I think I'm through the worst of it. I'm thankful for my neighbours who supported me and brought my shopping to my door, my friends who offered any help I needed and my family. I'm not through the woods yet, but even if things do get worse I'm thankful for the mild experience so far.
Stay strong and remember, This Too Shall Pass.</t>
        </is>
      </c>
      <c r="D3973" t="n">
        <v>1</v>
      </c>
      <c r="E3973" t="n">
        <v>16</v>
      </c>
      <c r="F3973">
        <f>HYPERLINK("https://www.reddit.com/r/COVID19positive/comments/i22jhu/mild_case_here_head_pangs_brain_zaps/")</f>
        <v/>
      </c>
      <c r="G3973" t="inlineStr">
        <is>
          <t>2020-08-01 16:57:50</t>
        </is>
      </c>
      <c r="H3973" t="inlineStr">
        <is>
          <t>Tested Positive - Me</t>
        </is>
      </c>
    </row>
    <row r="3974">
      <c r="A3974" t="inlineStr">
        <is>
          <t>i22l33</t>
        </is>
      </c>
      <c r="B3974" t="inlineStr">
        <is>
          <t>Lymph Node inflammation</t>
        </is>
      </c>
      <c r="C3974" t="inlineStr">
        <is>
          <t>So I've been tested and I am COVID19 positive, I've posted a few times about my symptoms and my timeline. I do know the virus hits everyone differently. 
Now with that said, who in here has experienced throat pain where it feels like you have a goofball in your throat? Like my ear hurts on the side where it hurts. It's not my throat part where it hurts to swallow, but like inside if that makes sense? Cervical lymph node for those who have medical background. 
I do know what it does and how covid may be causing it to swell. But like wow it sucks. It pulses too if I move around too much like a headache in my neck.</t>
        </is>
      </c>
      <c r="D3974" t="n">
        <v>1</v>
      </c>
      <c r="E3974" t="n">
        <v>33</v>
      </c>
      <c r="F3974">
        <f>HYPERLINK("https://www.reddit.com/r/COVID19positive/comments/i22l33/lymph_node_inflammation/")</f>
        <v/>
      </c>
      <c r="G3974" t="inlineStr">
        <is>
          <t>2020-08-01 17:00:48</t>
        </is>
      </c>
      <c r="H3974" t="inlineStr">
        <is>
          <t>Tested Positive - Me</t>
        </is>
      </c>
    </row>
    <row r="3975">
      <c r="A3975" t="inlineStr">
        <is>
          <t>i22tgb</t>
        </is>
      </c>
      <c r="B3975" t="inlineStr">
        <is>
          <t>Hanging out with others who are covid19 positive?</t>
        </is>
      </c>
      <c r="C3975" t="inlineStr">
        <is>
          <t>My friend, my fiancée and I all came down with Covid19 and started experiencing symptoms the same day. We believe we got it from the same restaurant we ate at together. Is it ok for us to hang out with one another? It’s not like you can worsen your covid can you?</t>
        </is>
      </c>
      <c r="D3975" t="n">
        <v>1</v>
      </c>
      <c r="E3975" t="n">
        <v>10</v>
      </c>
      <c r="F3975">
        <f>HYPERLINK("https://www.reddit.com/r/COVID19positive/comments/i22tgb/hanging_out_with_others_who_are_covid19_positive/")</f>
        <v/>
      </c>
      <c r="G3975" t="inlineStr">
        <is>
          <t>2020-08-01 17:16:23</t>
        </is>
      </c>
      <c r="H3975" t="inlineStr">
        <is>
          <t>Tested Positive</t>
        </is>
      </c>
    </row>
    <row r="3976">
      <c r="A3976" t="inlineStr">
        <is>
          <t>i2365p</t>
        </is>
      </c>
      <c r="B3976" t="inlineStr">
        <is>
          <t>So, I went to my primary care doctor for a follow up appointment. My COVID ICU Isolation was out of the area from where I live.</t>
        </is>
      </c>
      <c r="C3976" t="inlineStr">
        <is>
          <t>Been cleared by a treating physician for about a month. I sent an electronic copy of my medical records to my primary so he could have them to refer to. The consultation (more like me briefing him) was going along "ok". Didn't really listen as much as say "uh huh" as he read through the records. Started to say what I am experiencing currently, and added during the worst part of my illness I had lost approximately 30 lbs in 3 weeks. He looked up and said, "that's good. You needed to lose a few more pounds."
I was stunned to say the least. I wasn't expecting sympathy, but wasn't expecting him to root for a worse experience with COVID. 
I had a second follow up appointment with another doctor, and he wasn't quite as brash, but had a very cavalier attitude about COVID. 
I got that there is a big disconnect between primary care (clinical)  and ICU doctors. ICU doctors would at least admit they (the medical community) are still learning about COVID, yet these clinical doctors think they already know and understand it all. Heads up, Survivors.</t>
        </is>
      </c>
      <c r="D3976" t="n">
        <v>1</v>
      </c>
      <c r="E3976" t="n">
        <v>102</v>
      </c>
      <c r="F3976">
        <f>HYPERLINK("https://www.reddit.com/r/COVID19positive/comments/i2365p/so_i_went_to_my_primary_care_doctor_for_a_follow/")</f>
        <v/>
      </c>
      <c r="G3976" t="inlineStr">
        <is>
          <t>2020-08-01 17:40:35</t>
        </is>
      </c>
      <c r="H3976" t="inlineStr">
        <is>
          <t>Tested Positive - Me</t>
        </is>
      </c>
    </row>
    <row r="3977">
      <c r="A3977" t="inlineStr">
        <is>
          <t>i23ed1</t>
        </is>
      </c>
      <c r="B3977" t="inlineStr">
        <is>
          <t>A few concerns</t>
        </is>
      </c>
      <c r="C3977" t="inlineStr">
        <is>
          <t>I tested positive around 4 days ago. 2 days after being positive I started having flu-like symptoms. The past couple of days have been the worse. Overall, I just haven’t been feeling well. I’ve had a trip planned (nature trip) all summer now, and it’s going to be on August 8th which is 11 days since my positive test, 10 since symptoms... Would it still be safe to travel with a few friends? Also my sense of smell has started to sort of diminish should I be concerned? Is this permanent?</t>
        </is>
      </c>
      <c r="D3977" t="n">
        <v>1</v>
      </c>
      <c r="E3977" t="n">
        <v>10</v>
      </c>
      <c r="F3977">
        <f>HYPERLINK("https://www.reddit.com/r/COVID19positive/comments/i23ed1/a_few_concerns/")</f>
        <v/>
      </c>
      <c r="G3977" t="inlineStr">
        <is>
          <t>2020-08-01 17:57:27</t>
        </is>
      </c>
      <c r="H3977" t="inlineStr">
        <is>
          <t>Tested Positive - Family</t>
        </is>
      </c>
    </row>
    <row r="3978">
      <c r="A3978" t="inlineStr">
        <is>
          <t>i24gm2</t>
        </is>
      </c>
      <c r="B3978" t="inlineStr">
        <is>
          <t>Thought I was getting better, more symptoms now</t>
        </is>
      </c>
      <c r="C3978" t="inlineStr">
        <is>
          <t>29th July: had dizziness, night chills, headache, and extreme fatigue
30th July: went to the doctor. Gave the test and took medications
31st July: result came out positive. Was advised home quarantine and to get admitted only if temperature is pretty high or oxygen levels go down. Except throat pain, things are fine
1st August: same as yesterday
2nd August: some diarrhoea has joined along with extreme migraine
I can't even talk to my family about this. They'll just start panicking 😑</t>
        </is>
      </c>
      <c r="D3978" t="n">
        <v>1</v>
      </c>
      <c r="E3978" t="n">
        <v>12</v>
      </c>
      <c r="F3978">
        <f>HYPERLINK("https://www.reddit.com/r/COVID19positive/comments/i24gm2/thought_i_was_getting_better_more_symptoms_now/")</f>
        <v/>
      </c>
      <c r="G3978" t="inlineStr">
        <is>
          <t>2020-08-01 19:14:26</t>
        </is>
      </c>
      <c r="H3978" t="inlineStr">
        <is>
          <t>Tested Positive - Me</t>
        </is>
      </c>
    </row>
    <row r="3979">
      <c r="A3979" t="inlineStr">
        <is>
          <t>i24iqi</t>
        </is>
      </c>
      <c r="B3979" t="inlineStr">
        <is>
          <t>Should my family get tested even though I completely isolated myself in my room?</t>
        </is>
      </c>
      <c r="C3979" t="inlineStr">
        <is>
          <t>My family was gone and they came back home this weekend, but I wiped and disinfected everything down before they got in. I’ve been isolated in my room and the only time I was kinda close to them was when I had to open the door for them. I told them to wipe down the door but I’m not sure they did that. Should they get tested? They’re only home for the weekend, so it’s only been two days they’ve been in the house and I’ve been in my room.</t>
        </is>
      </c>
      <c r="D3979" t="n">
        <v>1</v>
      </c>
      <c r="E3979" t="n">
        <v>4</v>
      </c>
      <c r="F3979">
        <f>HYPERLINK("https://www.reddit.com/r/COVID19positive/comments/i24iqi/should_my_family_get_tested_even_though_i/")</f>
        <v/>
      </c>
      <c r="G3979" t="inlineStr">
        <is>
          <t>2020-08-01 19:18:51</t>
        </is>
      </c>
      <c r="H3979" t="inlineStr">
        <is>
          <t>Tested Positive - Family</t>
        </is>
      </c>
    </row>
    <row r="3980">
      <c r="A3980" t="inlineStr">
        <is>
          <t>i26370</t>
        </is>
      </c>
      <c r="B3980" t="inlineStr">
        <is>
          <t>My experience as a middle-class worker with COVID-19 in a 3rd world country</t>
        </is>
      </c>
      <c r="C3980" t="inlineStr">
        <is>
          <t>I'm a 25 year old male who works in an office that actually adapted really well to the new normal standards for workplace safety. Every corner of the office has an alcohol dispenser, going in and out if the office requires us to pass through thermal scanning doors, we minimized manual processes to prevent physical contacts, we have acrylic glass shields on every desk, we had a questionnaire that we needed to answer everyday to monitor our wellbeing, and they even provided shuttle services for employees so we won't take our country's horrible public transportation service everyday.
All these precautionary measures are kinda hindered by the fact that our government leaders here haven't been the best in managing this crisis. Citizens like me are frustrated cos we need the money but that means we need go out and expose ourselves to the risk of getting the disease. Local government wasn't helpful, really. Pointless ordinances are being implemented and cases here are still rising. I don't see it coming down in the near future.
So here I am now on my 4th day of quarantine in my room. I guess I got the sickness from a co-worker that took the same shuttle service with me. We had some interactions but I guess the fact that we were in an enclosed vehicle multiple times is enough for the virus to get to me. She didn't go to work one day and all of us who shared the shuttle with her got tested immediately the next day. Word around the office is that she had the symptoms already but she kept it to herself. I didn't want to entertain these rumors but my other co-workers just kept on messaging me these details so I didn't have a choice, really.
I'm not really feeling anything weird but maybe the closest thing to a symptom that I had was the loss of my appetite. I got lucky. The support that I got from my friends and family was really helpful too.
I guess what I'm trying to say is that even if I'm stuck here in my room alone right now, I'm not really that angry at my co-worker for keeping it a secret. I'm doing okay and what's done is done. I imagine that she was just thinking about providing for her family back then. I can't blame her entirely for this. I'm more disappointed at our government leaders, actually. I don't want to be too political but I they really play a big part in this thing. Our country's like a huge circus already before the pandemic.
Anyway, I'm hoping that all of us that are infected will recover soon. Please always remind your folks to practice safety measures even if things look okay and please take your vitamins daily.</t>
        </is>
      </c>
      <c r="D3980" t="n">
        <v>1</v>
      </c>
      <c r="E3980" t="n">
        <v>6</v>
      </c>
      <c r="F3980">
        <f>HYPERLINK("https://www.reddit.com/r/COVID19positive/comments/i26370/my_experience_as_a_middleclass_worker_with/")</f>
        <v/>
      </c>
      <c r="G3980" t="inlineStr">
        <is>
          <t>2020-08-01 21:18:05</t>
        </is>
      </c>
      <c r="H3980" t="inlineStr">
        <is>
          <t>Tested Positive</t>
        </is>
      </c>
    </row>
    <row r="3981">
      <c r="A3981" t="inlineStr">
        <is>
          <t>i26m6w</t>
        </is>
      </c>
      <c r="B3981" t="inlineStr">
        <is>
          <t>Gastro only symptoms</t>
        </is>
      </c>
      <c r="C3981" t="inlineStr">
        <is>
          <t>I'm a 32y/o White male. In March, at the beginning of the pandemic stateside, my uncle contracted the virus and passed away. I was one of the last people to see him, and ran out to get tested for both the virus and antibodies as soon as it was made public. At the time I tested negative. I did however develop gastrointestinal symptoms, attributed by endoscopy (after another negative COVID test) to esophagitis and a mild hiatal hernia. These symptoms would make it difficult for me to breath or sleep without belching. With testing being free in my state and readily available, I have gone to the drive thru test facilities 5 times over the course of the pandemic. I do my best to limit contact, but I do buy, trade, and sell items with others (all outdoors and I always wear a mask and gloves).  On July 19th I took a test and it came back negative on the 22nd. I did begin to feel post nasal drip in between this time and decided to get retested on the 24th. **That test came back positive on the 27th.** I took another test on the 28th because at the time I had no symptoms and the positive result made no sense. I also called my doctor and he scheduled a drive thru test at a hospital for me (which I am still waiting on the results of). **The test I took on the 28th came back negative.** 
&amp;amp;#x200B;
Since the 27th, it seems the gastrointestinal symptoms I had back in late March / early April have returned even though I am now taking a prescription PPI. The area around my esophagus has a burning feeling again, I often feel the need to belch excessively, and there's a strong acidy feeling in my stomach. I have been quarantining since the 27th other than going out for walks around 1am in my rural neighborhood (there's nobody out) with two masks on. Other than gastrointestinal symptoms, I've got none of the other common ones. The post nasal drip feeling has subsided, no headaches, nausea, shortness of breath, cough, fever, etc. I do have a pulse oximeter and my levels are typically between 97-99%.  I do have some chest pain, but I had this exact pain with my gastro issues.  
My girlfriend (who I live with) also tested negative and she's been quarantining in a separate room, however she has experienced stomach pain over the past week as well (7-27 / 8-1).   
Has anyone experienced COVID and ONLY had symptoms that would be attributed to GERD?</t>
        </is>
      </c>
      <c r="D3981" t="n">
        <v>1</v>
      </c>
      <c r="E3981" t="n">
        <v>10</v>
      </c>
      <c r="F3981">
        <f>HYPERLINK("https://www.reddit.com/r/COVID19positive/comments/i26m6w/gastro_only_symptoms/")</f>
        <v/>
      </c>
      <c r="G3981" t="inlineStr">
        <is>
          <t>2020-08-01 22:00:51</t>
        </is>
      </c>
      <c r="H3981" t="inlineStr">
        <is>
          <t>Presumed Positive - From Test</t>
        </is>
      </c>
    </row>
    <row r="3982">
      <c r="A3982" t="inlineStr">
        <is>
          <t>i26x46</t>
        </is>
      </c>
      <c r="B3982" t="inlineStr">
        <is>
          <t>My story from back in March/April</t>
        </is>
      </c>
      <c r="C3982" t="inlineStr">
        <is>
          <t>Thought I would chime in and throw my story in as well. It's encouraging to hear I am not alone in testing negative yet my doctors are confident I had the disease. For a bit of background, I work at a hospital in radiology with an ER as a CT/IR tech and have no prior health conditions beyond migraines and seasonal allergies. We had been getting COVID-19 patients for awhile but the first several, no notice was given despite the number of pneumonia that were climbing. They were not tested for the virus until weeks after they were still sick. The US was so focused on people coming from China and Europe at this time that no one was paying attention domestically. Very few were looking. Now the main story of what COVID-19 did to me...it is a long one but I tell it to hopefully encourage you all as you have encouraged me. 
At the beginning of April I had noticed a truly horrible cough but I pushed it aside as allergies as it was the end of March turning into April. I had to run to the store to get a few grocery items. When I got to the store and was walking around I noticed that I was not feeling that well. My breathing was as if I had just sprinted up a hill. I also felt just fatigue that felt unusually potent for someone who had just gotten up. As I went through the store to get my grocery items, I realized that I was indeed having a difficult time catching my breath. Now at work I have always been known as the guy who always takes the stairs because I refused to use them to give myself exercise and for environmental reasons. This was beyond unusual for me. I called my wife to let her know my issues and set up a virtual urgent consult to make sure I was not overreacting. After my consult refused to even try to treat any of my symptoms and referred me for testing, I phoned my supervisor who told me to not return to work. I was assigned a time slot to go get tested later that day. I tried to eat lunch and realized then I could not taste anything. I will never forget it as I had bought habanero potato chips to eat with my lunch that day and I tasted no flavor. I could feel the burning of the peppers but no flavor whatsoever. 
Over the next 3 days at home I gradually slowed down overall. I felt exhausted doing basic activities and just felt an overwhelming desire to nap (which I never do). On the 3rd night after I first felt ill, I realized my heart was pounding and I could not seem to catch my breath. I prayed, meditated and listened to calming music. Nothing helped and I felt like I was going to pass out. I then told my wife I needed to go to the hospital (which we had planned for just in case). I tried to go down the stairs of our house and I essentially slide down the first flight because I was too weak to use my legs. We called EMS that noted when they arrived my o2 was at 100% but my heart was pounding at 165-175BPM. They placed me on oxygen which, within minutes, slowed my heartrate and cleared a headache I did not even realized I had. I could not stop violently coughing. 
I was immediately placed in isolation at the hospital.   My CAT scan showed no signs of pneumonia but, the pulmonologists stated that they heard the early signs of it in one of my lungs. I took them at their word for it because when it comes to how lungs are supposed to sound, I don't have the slightest clue. At the time I was just thankful it wasn't worse. They assured me that this was the best time to come in before the pneumonia set it because it dramatically increases my odds to beat the disease. I had more tests done on me than I could count being done to myself...my nose didn't stop bleeding for a week because they swabbed me so often. I tested negative for every viral and bacterial infection that there is a test for in the hospital including twice for COVID-19. Despite this, my condition did not improve and symptoms got worse. I started throwing up (which makes it the sixth time I have ever thrown up before in my life), having horrible diarrhea, night shakes and sweat so bad that my nurses rushed into my room every night to make sure I wasn't having seizure, and still requiring oxygen to not have a ridiculously high heart rate. 
My days at the hospital, despite only being a week, started to blend into a blur. I cannot begin to describe the exhaustion...it was worse than a time in my life when I was awake for over 2 days straight. I remember meeting doctor after doctor checking on me, telling me they were deciding on an experimental regimen. They told me there was a team dedicated to keeping the various doctors on the same page to decide the best regimen. I told them I was willing for anything and would do my best to comply. Unfortunately, this was a not a good time to discover I was allergic to azirthromycin...I remember yelling in pain as my arm and chest turned red all over, seconds from when the medication entered my IV line. I remember volunteering again to receive azirthromycin a second time despite the first horrible reaction as they really wanted me to receive it. The second attempt was even worse and the agony it caused seconds after being administered is beyond words. Fortunately I did not suffer an asphyxiation from these attempts. I remember a few hours after this, they told me they were switching me to a more supportive regimen that would aid my lungs to open up more but I would need to take an anticoagulant. I have always fear anti-clotting medication but I told them to do what they think best. I just wanted some relief. My lungs could no longer draw in more than 1000mls of air according to a spirometer they had given me. 
Then...I improved. I was abled to be weaned off oxygen. My appetite came back. I slowly was able to draw in more than 1000mls of air. I met again with numerous doctors who said they wanted me to finish my recovery at home to free up another hospital bed for a sicker patient. They told me, despite my negative covid tests, they were confident I had the virus. I had too many symptoms, known close contact exposure without proper PPE, and tested negative for everything else that could have caused my issues...with tests that are way more accurate than the covid ones. They worked with me to coordinate my medications being available at my house and told me to let my parents take my daughter away out of precaution. They said I may have exposed her but it would be a higher risk of exposing her now than before. My symptoms being worse now gave her a higher chance of contracting it according to the doctors. They told me to protect her because of the limited data on children.  
My parents graciously volunteered to take our daughter in despite the risk to themselves. They knew they'd need to isolate too but agreed with it being more risky for her to be at home. I thank God everyday that they chose to help us. 
I spent another 3 weeks better than before the hospital but still extraordinarily ill. My wife lived on the botton floor of our house and I on the top. I stayed in our bedroom masked when I could. My wife would cook meals for me and leave them either at my door (if I was feeling weak) or on a table. All of the plates, cups, utinsles I used were disposable. I always wore a mask when going to get either my medication or food until it was time to eat. I had to take more pills than I ever have in my entire life...on a schedule that was so complicated I had to program reminders into my phone. For the first 6 hours of my day I could have no fruits, vitamins, vegetables or dairy. I then had to wait 2 hours after my afternoon medication to be allowed to eat other foods. We kept a window cracked despite the heat in Texas to reduce my wife's chances of contracting the disease. We ordered an air filter to not have to do this and keep us more comfortable. That air filter stayed on all the time. 
Slowly I indeed did get better. I was weaker than I ever was in my life but around week 3 I noticed that I was not as short of breath as much anymore unless I pushed myself. It took a month time for me to not require a chair to shower but I did get there. My wife and my daughter did not get sick. My parents did not either. Somehow one or more of our precautions worked. It's possible they were asymptomatic but we really have no way of knowing. I ended up needing to return to work around week 4 as I had exhausted all of my PTO options but I knew that after I and others got sick they reduced our workload. I knew my bosses would also make as many arrangements in their power to help me return with support. I kept them in the loop throughout my sickness and they helped distribute more PPE to my colleagues than before (particularly face shields which was what I had not had). My bosses helped in turning a blind eye to my snail's pace of work, showing up a few minutes late here and there, them actually volunteering to do more of the heavy lifting, ensuring I was not alone for the first couple of weeks, letting me take a proper break every few hours. They also worked to get 2 weeks of my PTO back and didn't require any further documentation if I called in for a sick day. I'm still very grateful.  
As for me now? I am much much better, but I would be lying if I said I felt the same. I'm still one supportive medication that I am told is for COPD and another medication for my stomach as my gut did not agree with the cocktail that was given to me. But I am alive. I am much stronger than even a month ago. My taste buds and smell are not the same. A few things taste different to me than before. Lobster tasted like fried chicken the other day... but fried chicken tasted like breaded rubber. It's a mixed bag. I find myself wanting to nap all the time. According to my wife and some of our friends who go way back, my voice has changed to some degree. But I am adjusting to the new normal. I still cannot run but I can finally walk a normal pace for short periods of time. Somedays are better than others. But there is finally hope for long term improvement. 
Thank you if you made it to the end of my story. I am so thankful for this sub...it's so supportive and has helped me get through this emotionally.  Stay safe everyone.</t>
        </is>
      </c>
      <c r="D3982" t="n">
        <v>1</v>
      </c>
      <c r="E3982" t="n">
        <v>10</v>
      </c>
      <c r="F3982">
        <f>HYPERLINK("https://www.reddit.com/r/COVID19positive/comments/i26x46/my_story_from_back_in_marchapril/")</f>
        <v/>
      </c>
      <c r="G3982" t="inlineStr">
        <is>
          <t>2020-08-01 22:26:43</t>
        </is>
      </c>
      <c r="H3982" t="inlineStr">
        <is>
          <t>Presumed Positive - From Doctor</t>
        </is>
      </c>
    </row>
    <row r="3983">
      <c r="A3983" t="inlineStr">
        <is>
          <t>i29wax</t>
        </is>
      </c>
      <c r="B3983" t="inlineStr">
        <is>
          <t>Got covid in early april, still dealing with extreme brain fog, tachycardia, fatigue, memory issues, neuro issues and unable to do any exercise what so ever. Wear your god damn mask!</t>
        </is>
      </c>
      <c r="C3983" t="inlineStr">
        <is>
          <t>I got covid in early april and I'm still almost disabled. HR through the roof walking slowly (130+), intense headaches, fatigue, muscle weakness and numbness in face and jaws etc. I think it's interesting that the long term effects are not spoken about much in this pandemic but it looks like I went from previously healthy active athlete to disabled and probably unable to return to full time work. It's been almost 4 months.
The mental health aspect has been the worst when dealing with this. Going from super fit and healthy to sick and disabled just like that really fucks with my mind. My doctors are useless and have no idea whats going on since the virus is still so new and not much is known about long term issues. Before this happened I went to the gym 4 times a week and rode my bike 5 miles a day to work. Im now unable to take a walk because it leads to a crash the next 24 hours rendering me dysfunctional for the whole day (fatigue, pain, brain fog)
WEAR YOUR GOD DAMN MASK!</t>
        </is>
      </c>
      <c r="D3983" t="n">
        <v>1</v>
      </c>
      <c r="E3983" t="n">
        <v>184</v>
      </c>
      <c r="F3983">
        <f>HYPERLINK("https://www.reddit.com/r/COVID19positive/comments/i29wax/got_covid_in_early_april_still_dealing_with/")</f>
        <v/>
      </c>
      <c r="G3983" t="inlineStr">
        <is>
          <t>2020-08-02 03:22:33</t>
        </is>
      </c>
      <c r="H3983" t="inlineStr">
        <is>
          <t>Presumed Positive - From Doctor</t>
        </is>
      </c>
    </row>
    <row r="3984">
      <c r="A3984" t="inlineStr">
        <is>
          <t>i2a44n</t>
        </is>
      </c>
      <c r="B3984" t="inlineStr">
        <is>
          <t>Shortness of breath up to Day 8 - but no other symptoms</t>
        </is>
      </c>
      <c r="C3984" t="inlineStr">
        <is>
          <t>21 M and I exercised. Whenever I breathe, I feel like the air going inside me never fully fills my lungs. It's a consistence occurence for eight days and worsens after I eat. I got tested negative for COVID but I was exposed to someone who had it. 
Weirdest part is I haven't got any other major symptoms. I did experience nausea at some point, but that went away. My Blood preasure and O2 levels are pretty normal. Did anyone else have similar experiences? How did you medicate and treat yourself? Would love to know people's SOB experiences cause I feel like my case is a bit rare one since I have never in between day 1-8 managed to take a lung full of air.</t>
        </is>
      </c>
      <c r="D3984" t="n">
        <v>1</v>
      </c>
      <c r="E3984" t="n">
        <v>12</v>
      </c>
      <c r="F3984">
        <f>HYPERLINK("https://www.reddit.com/r/COVID19positive/comments/i2a44n/shortness_of_breath_up_to_day_8_but_no_other/")</f>
        <v/>
      </c>
      <c r="G3984" t="inlineStr">
        <is>
          <t>2020-08-02 03:44:40</t>
        </is>
      </c>
      <c r="H3984" t="inlineStr">
        <is>
          <t>Presumed Positive - From Doctor</t>
        </is>
      </c>
    </row>
    <row r="3985">
      <c r="A3985" t="inlineStr">
        <is>
          <t>i2bufy</t>
        </is>
      </c>
      <c r="B3985" t="inlineStr">
        <is>
          <t>Do not press the panic button prematurely</t>
        </is>
      </c>
      <c r="C3985" t="inlineStr">
        <is>
          <t>I guess I am “privileged” in the way that when I got sick , I went from sore throat for 2-3 days to full on bedridden , covid was a reasonable assumption ,got tested positive and here we are . 
I know many people get mild symptoms and it’s more difficult to discern what’s going on. If you were exposed and have even minor symptoms , I get being nervous and you should probably get tested .
I see a lot of people here , have no known exposure and describe everyday ailments such as allergies , common colds, stomach upset , teething and are freaking out thinking they have it . 
I have seen people worry about symptoms they had for a day, offer a reasonable explanation for that symptom and still are freaking out . 
For example : I ate some fish that I don’t think was cooked right and then I vomited and couldn’t get off toilet . Could I have covid ?
My muscles have been sore for two days . I just moved and did a lot of lifting so it could be that but I still think I may have covid.
I have seen a lot of posts also my mother  has xyz Preexisting  conditions and I am terrified if she gets it , she will die . Do you know anyone this age who has it with this condition and how did they do ?
Those comparisons are problematic because the virus hits us all different . 
If you have been exposed or are nervous you may be ill, call your dr and get tested .
Please just remember, normal
Ailments still occur. You are still going to have sore muscles if you do exercise you aren’t accustomed to. You are probably going to get sick if you eat spoiled food . Your throat may be sore if just started vaping. If  your allergic to cats and you visit Aunt Millie who has a cat, your eyes may water and you may sneeze .
Not everything is corana .
I say this not to be critical , but to be helpful .
Stay safe , wear a mask , and wash your hands !</t>
        </is>
      </c>
      <c r="D3985" t="n">
        <v>1</v>
      </c>
      <c r="E3985" t="n">
        <v>4</v>
      </c>
      <c r="F3985">
        <f>HYPERLINK("https://www.reddit.com/r/COVID19positive/comments/i2bufy/do_not_press_the_panic_button_prematurely/")</f>
        <v/>
      </c>
      <c r="G3985" t="inlineStr">
        <is>
          <t>2020-08-02 06:13:19</t>
        </is>
      </c>
      <c r="H3985" t="inlineStr">
        <is>
          <t>Tested Positive - Me</t>
        </is>
      </c>
    </row>
    <row r="3986">
      <c r="A3986" t="inlineStr">
        <is>
          <t>i2c4a0</t>
        </is>
      </c>
      <c r="B3986" t="inlineStr">
        <is>
          <t>Feeling extremely guilty about possibly infecting my family.</t>
        </is>
      </c>
      <c r="C3986" t="inlineStr">
        <is>
          <t>I live in a household with my parents, my brother, and my 2 cousins. As a healthcare worker, I've always been careful about the virus. I suddenly tested positive and my parents and I took the necessary steps to isolate ourselves. We moved to an old family house in the province where my parents are currently taking care of me. My brother and 2 cousins stayed a home. This was a week ago.
A while ago, my younger brother called saying he felt like he had a sore throat. And I just absolutely feel terrible. I feel extremely guilty putting everyone at risk and my heart just feels so heavy. I keep telling myself if I had just been a little more careful, none of this would've happened. 
My parents are also in isolation since they've been in contact with me but they aren't showing any symptoms yet. My brother is starting school (online) in a few weeks and this virus will only inconvenience him and put him in danger. If he does turn out to be positive, he could've had contact with my 2 cousins. 
I feel terrible just uprooting everyone's lives and putting them at risk. Has anyone been in this situation before? How do you cope with the guilt and anxiety?</t>
        </is>
      </c>
      <c r="D3986" t="n">
        <v>1</v>
      </c>
      <c r="E3986" t="n">
        <v>4</v>
      </c>
      <c r="F3986">
        <f>HYPERLINK("https://www.reddit.com/r/COVID19positive/comments/i2c4a0/feeling_extremely_guilty_about_possibly_infecting/")</f>
        <v/>
      </c>
      <c r="G3986" t="inlineStr">
        <is>
          <t>2020-08-02 06:33:29</t>
        </is>
      </c>
      <c r="H3986" t="inlineStr">
        <is>
          <t>Tested Positive - Me</t>
        </is>
      </c>
    </row>
    <row r="3987">
      <c r="A3987" t="inlineStr">
        <is>
          <t>i2c9fu</t>
        </is>
      </c>
      <c r="B3987" t="inlineStr">
        <is>
          <t>Phlegm/Cough post-COVID</t>
        </is>
      </c>
      <c r="C3987" t="inlineStr">
        <is>
          <t>I’m on week 5 of symptoms. My SOB has improved but not 100% gone. I still have this stupid cough and even some phlegm that comes up. I’m noticing a pattern where my breathing is much clearer after I cough up phlegm and I’m able to get deeper breaths at that point. 
Anyone else experience this in relation to the SOB? How long before the cough and phlegm resolves? Anything I can do to help move it along? Thanks!</t>
        </is>
      </c>
      <c r="D3987" t="n">
        <v>1</v>
      </c>
      <c r="E3987" t="n">
        <v>23</v>
      </c>
      <c r="F3987">
        <f>HYPERLINK("https://www.reddit.com/r/COVID19positive/comments/i2c9fu/phlegmcough_postcovid/")</f>
        <v/>
      </c>
      <c r="G3987" t="inlineStr">
        <is>
          <t>2020-08-02 06:43:31</t>
        </is>
      </c>
      <c r="H3987" t="inlineStr">
        <is>
          <t>Tested Positive</t>
        </is>
      </c>
    </row>
    <row r="3988">
      <c r="A3988" t="inlineStr">
        <is>
          <t>i2d4rs</t>
        </is>
      </c>
      <c r="B3988" t="inlineStr">
        <is>
          <t>GF tested positive today, and probably had it back in March</t>
        </is>
      </c>
      <c r="C3988" t="inlineStr">
        <is>
          <t>Just sharing our story here to spread awareness. You CAN get this thing twice, or symptoms can rear up again. 
Back in March (coincidentally, on the same day the National Emergency was declared, and Friday the 13th), my girlfriend left work early with a fever and dizziness. No one took us seriously: “it’s just a cold”, “you’re overreacting”, even my intelligent parents downplayed the possibilities. This “cold” lasted two weeks and involved crazy body aches, headaches, fatigue, dizziness, and a mild cough and sore throat. She said she’s never felt anything like it. At this time we couldn’t get tested because doctors would laugh at us with the “honey, you have a cold” line. So she powered through and hoped it was nothing severe.
Fast forward 4 months, to last week. We moved across the country to be with family, all the while using masks and social distancing. My mom is immunocompromised, so we take this incredibly seriously. My dad divorced her a few years back, and contact with him is somewhat limited, but we saw him twice since we arrived. A few days after the second time we saw him, he lets us know that his girlfriend’s exhusband who she shares a child with tested positive. A day later, my girlfriend begins to feel ill with the same symptoms from March, albeit milder. We get a test immediately (scheduling through project baseline was EASY) and 7 days later it comes back positive. Luckily we quarantined the whole time, and she’s already feeling better. Below is a breakdown of her symptoms:
Fever never got above 98.9 either time
Feel normal in mornings besides major body aches (felt like she ran a marathon one morning), late afternoon brings feverish feelings and getting winded after mild exertion.
Mild cough and sore throat, shortness of breath only when attempting to work out (and sometimes just walking across the room)
Diarrhea on one or two of the days, both times
Intense migraines accompanied by eye twitching
Major fatigue, dizziness when standing up
Mild loss of smell but that fluctuates, sense of taste is fine 
That’s it - through all of this, I have been completely asymptomatic and actually tested negative this time. I can’t remember the last time I was actually sick, so I think my immune system is crazy good or something. 
The main things I want to emphasize are:
1. Be CAREFUL with this disease. It’s not one and done, you can get it again. There’s so much we don’t know about it, and with the reports of new issues cropping up and long lasting damage to people’s organs, we MUST take all precautions.
2. Testing used to be awful here in the US, but it’s gotten better. I had the wrong idea that getting a test would be impossible, but it turns out it literally took 5 minutes to schedule online and get it the next day, AND it was free. Granted, results took 7 days, which is too long to contact trace and might not come back before the disease takes a turn for the worse, but it’s much better than it was in March. If you feel sick, get tested!</t>
        </is>
      </c>
      <c r="D3988" t="n">
        <v>1</v>
      </c>
      <c r="E3988" t="n">
        <v>7</v>
      </c>
      <c r="F3988">
        <f>HYPERLINK("https://www.reddit.com/r/COVID19positive/comments/i2d4rs/gf_tested_positive_today_and_probably_had_it_back/")</f>
        <v/>
      </c>
      <c r="G3988" t="inlineStr">
        <is>
          <t>2020-08-02 07:42:03</t>
        </is>
      </c>
      <c r="H3988" t="inlineStr">
        <is>
          <t>Tested Positive - Family</t>
        </is>
      </c>
    </row>
    <row r="3989">
      <c r="A3989" t="inlineStr">
        <is>
          <t>i2e4ev</t>
        </is>
      </c>
      <c r="B3989" t="inlineStr">
        <is>
          <t>Just got positive results.</t>
        </is>
      </c>
      <c r="C3989" t="inlineStr">
        <is>
          <t>So my dad went and got tested two-three weeks ago still hadnt gotten his test results back but  ended up taking him to the emergency department this morning due to issues related to covid. I went and got tested last weekend and just got my results back today testing positive. I havent had the experience he has, what should i watch for and if he is discharged will i be able to pick him up?</t>
        </is>
      </c>
      <c r="D3989" t="n">
        <v>1</v>
      </c>
      <c r="E3989" t="n">
        <v>3</v>
      </c>
      <c r="F3989">
        <f>HYPERLINK("https://www.reddit.com/r/COVID19positive/comments/i2e4ev/just_got_positive_results/")</f>
        <v/>
      </c>
      <c r="G3989" t="inlineStr">
        <is>
          <t>2020-08-02 08:43:58</t>
        </is>
      </c>
      <c r="H3989" t="inlineStr">
        <is>
          <t>Tested Positive</t>
        </is>
      </c>
    </row>
    <row r="3990">
      <c r="A3990" t="inlineStr">
        <is>
          <t>i2ebc2</t>
        </is>
      </c>
      <c r="B3990" t="inlineStr">
        <is>
          <t>Being treated differently because of COVID</t>
        </is>
      </c>
      <c r="C3990" t="inlineStr">
        <is>
          <t>Anyone being treated differently because you had COVID? Or your family member being treated differently because YOU had COVID?
I had a severe case but have since recovered. According to the latest CDC guidelines I can discontinue isolation. I had sent my two sons (13 and 11) away when I first became sick over a month ago; they never got sick, and have since tested negative. But I have some people who absolutely refuse to come near me even with a mask on etc. Luckily I work from home so I don’t need to prove to an employer I am no longer contagious. But I feel like taking another test and carry the negative results with me to show people lol
What got me kind of ticked off is a couple of my younger son’s friends’ moms refuse to let him hang out, saying “it’s too risky” because I was sick. I would totally understand and respect if they’re choosing to continue quarantine, but they’re not; they have other friends over with no mask, no social distancing - it’s just my son because his momma was sick. Am I wrong to feel a little hurt?  When I called them out I was told I was being too sensitive and taking it too personal, and that I wasn’t respecting their decision.....</t>
        </is>
      </c>
      <c r="D3990" t="n">
        <v>1</v>
      </c>
      <c r="E3990" t="n">
        <v>18</v>
      </c>
      <c r="F3990">
        <f>HYPERLINK("https://www.reddit.com/r/COVID19positive/comments/i2ebc2/being_treated_differently_because_of_covid/")</f>
        <v/>
      </c>
      <c r="G3990" t="inlineStr">
        <is>
          <t>2020-08-02 08:55:34</t>
        </is>
      </c>
      <c r="H3990" t="inlineStr">
        <is>
          <t>Tested Positive - Me</t>
        </is>
      </c>
    </row>
    <row r="3991">
      <c r="A3991" t="inlineStr">
        <is>
          <t>i2ekmf</t>
        </is>
      </c>
      <c r="B3991" t="inlineStr">
        <is>
          <t>Lingering symptoms and about to be a Dad</t>
        </is>
      </c>
      <c r="C3991" t="inlineStr">
        <is>
          <t>I work at a hospital in Brooklyn, NY. 
Back in March in the SAME DAY I found out that my wife was pregnant and that I’d tested positive for COVID. So crazy. 
I’m gonna be a first time dad and, at 43 years old, very, very excited to finally be on this journey. 
But I’m so mad because lingering symptoms from COVID are causing me daily pain and worry. 
My case wasn’t too too bad. I was home sick for two weeks and mostly laid on the couch feeling weak, slight cough and shortness of breath. No fever or loss of smell. I just felt wiped out. I returned to work but then was sent home for another 10 days because I still wasn’t completely recovered. I was prescribed hydroxycloroquine and zpack antibiotics by a virologist doc at my hospital but I never took them for fear of side effects from the meds. These were only prescribed to me after already having the COVID for 2+ weeks. 
Anyway I recovered and felt great but then about 3 weeks later the pain started. 
It feels like my heart and left arm are sore and achy. They feel weak and worn out. It’s very scary. I’m afraid of having a stroke or something horrible that will kill me or handicap me. 
The pain comes and goes throughout the day. 
I went for an ekg and stress test and an echocardiogram and the cardiologist doc said everything looks fine. But what is this? 
I’ve tried changing my diet, stopping supplements (vitamins and probiotics etc) but nothing helps. 
I’m so mad that this happened now just when I’m gonna be a dad in 4 1/2 months. Will i get better? I was fine and healthy before this. I get a bit irritable when the pain starts and I don’t want to be a dick to my wife but this stresses me out. 
I have another appointment next week with a doctor and will get bloodwork done. 
Any thoughts or similar experiences?
Thanks for reading!</t>
        </is>
      </c>
      <c r="D3991" t="n">
        <v>1</v>
      </c>
      <c r="E3991" t="n">
        <v>5</v>
      </c>
      <c r="F3991">
        <f>HYPERLINK("https://www.reddit.com/r/COVID19positive/comments/i2ekmf/lingering_symptoms_and_about_to_be_a_dad/")</f>
        <v/>
      </c>
      <c r="G3991" t="inlineStr">
        <is>
          <t>2020-08-02 09:10:42</t>
        </is>
      </c>
      <c r="H3991" t="inlineStr">
        <is>
          <t>Tested Positive - Me</t>
        </is>
      </c>
    </row>
    <row r="3992">
      <c r="A3992" t="inlineStr">
        <is>
          <t>i2esit</t>
        </is>
      </c>
      <c r="B3992" t="inlineStr">
        <is>
          <t>I tested positive 5 days ago, my partner who I live with tested negative this morning...</t>
        </is>
      </c>
      <c r="C3992" t="inlineStr">
        <is>
          <t>Anyone with similar experience?
Background:
I had allergy like symptoms starting somewhere around the 24th or 25th of this month (I don’t remember an exact date. I wasn’t tracking symptoms at the time, just remember having a runny nose and scratchy throat)
Day 1-3(ish): Allergy like symptoms. 
Day 4: Slight cough
Day 5: Cough progressed, chest tightness, and chest pressure
Day 6: Same symptoms as before, went in to get tested today.
Day 7-9: No change. Luckily no fever throughout this. Test result came back positive on day 9.
Day 10: No change in symptoms. Cough and chest tightness.
Today, day 10 from when I believe my symptoms started (I’m 5 days into noticeable symptoms) my partner got a rapid test and it came back negative.
We spend all of our time together, we have no way to isolate as we share a small 1 bedroom apartment. I have no idea how he came back negative. Anyone else have a similar experience. 
I’ve been so worried about him getting it since he has asthma.</t>
        </is>
      </c>
      <c r="D3992" t="n">
        <v>1</v>
      </c>
      <c r="E3992" t="n">
        <v>12</v>
      </c>
      <c r="F3992">
        <f>HYPERLINK("https://www.reddit.com/r/COVID19positive/comments/i2esit/i_tested_positive_5_days_ago_my_partner_who_i/")</f>
        <v/>
      </c>
      <c r="G3992" t="inlineStr">
        <is>
          <t>2020-08-02 09:23:46</t>
        </is>
      </c>
      <c r="H3992" t="inlineStr">
        <is>
          <t>Tested Positive - Me</t>
        </is>
      </c>
    </row>
    <row r="3993">
      <c r="A3993" t="inlineStr">
        <is>
          <t>i2fqzk</t>
        </is>
      </c>
      <c r="B3993" t="inlineStr">
        <is>
          <t>Just heard I'm positive today! But feeling better.</t>
        </is>
      </c>
      <c r="C3993" t="inlineStr">
        <is>
          <t>The beginning of last week I felt like I was getting a sinus infection. Congested nose and bad sinus pressure but no other symptoms. No fever or cough.
Then last Thursday I got the chills and a 100.1 fever for an hour and it never came back. I also was exhausted. 
Obviously went to the doctor to get tested and checked out. They prescribed me some medicine and here we are today.
I have a cough now that occasionally coughs up phlegm. Don't have any shortness of breath and when I take a deep breath it makes my throat tickle and want to cough. But that is becoming less and less. I also have always got a cough at the end of colds and such that can last for weeks. Weirdly I need to take zyrtec D for it to go away. 
Ironically, the day I hear I'm positive is the day I feel the best overall.
My wife is getting tested tomorrow and the pediatrician said that to keep an eye on our 4 year old but she doesn't think he needs a test and to just quarantine him with us.
It should be noted before I got sick my son was sick. But the doctor said it was an ear infection, which then my wife became sick and was knocked out for a couple days, followed by me.</t>
        </is>
      </c>
      <c r="D3993" t="n">
        <v>1</v>
      </c>
      <c r="E3993" t="n">
        <v>2</v>
      </c>
      <c r="F3993">
        <f>HYPERLINK("https://www.reddit.com/r/COVID19positive/comments/i2fqzk/just_heard_im_positive_today_but_feeling_better/")</f>
        <v/>
      </c>
      <c r="G3993" t="inlineStr">
        <is>
          <t>2020-08-02 10:19:42</t>
        </is>
      </c>
      <c r="H3993" t="inlineStr">
        <is>
          <t>Tested Positive</t>
        </is>
      </c>
    </row>
    <row r="3994">
      <c r="A3994" t="inlineStr">
        <is>
          <t>i2ftwu</t>
        </is>
      </c>
      <c r="B3994" t="inlineStr">
        <is>
          <t>Husband is positive, passed it along to me.</t>
        </is>
      </c>
      <c r="C3994" t="inlineStr">
        <is>
          <t>When they say in relationships "what's mine is yours" they weren't kidding. My husband works in the ER. During his last shift on Sunday, he found out that 9 other coworkers he had recent contact with  tested positive. Monday morning he woke up with a fever and went to get tested that afternoon. He immediately quarantined to a room in our house and I went through like a madwoman, sanitizing everything as best as I could while hoping that I would get lucky enough to not catch it. But this is 2020, the year where nothing goes how you want it--so of course I got sick a couple days later. My husband tested positive, and the doctor told him to assume that I was positive as well since I'm displaying symptoms. Here's how it's been so far for me:
**Monday:** Husband is sick with a fever, I felt fine and I disinfect and sanitize like crazy
**Tuesday:** I felt more tired than usual and had a stuffy nose and I don't feel 100%. I assume that it's just seasonal allergies and my paranoia. I napped a couple of times through out the day, and I NEVER nap so I thought something might be up but crossed my fingers anyway. 
**Wednesday:** I wake up feeling exhausted, some body aches but nothing crazy. Nose is still congested and I'm convinced I'm just experiencing sympathy symptoms. But that afternoon, I decide to take my temperature and sure enough, it's 99.9. I sleep for probably half the day because I'm too exhausted to do anything else. That night I think my fever might have increased because I was having some crazy fever dreams, and awful body aches and was sweating profusely. 
**Thursday:** Woke up with a fever of 100.5, body aches, chills, headache, mild sore throat. I'm exhausted and sleep for over half the day. 
**Friday:** No fever but my sore throat was a little worse. I still had body aches and was also just sore from sitting on the couch binging Netflix because I was too exhausted to do anything else. I napped off and on and didn't really move from my couch. 
**Saturday:** No fever or body aches, sore throat improved. Still was freaking exhausted though, lifting a Brita water pitcher has never been harder! I had a congested nose, some moments of nausea but never actually threw up. Started experiencing diarrhea, which was definitely NOT fun. We don't have a scale in our home but I felt like I've lost weight, and felt really "light", almost as if I might float away. Also developed a dry cough at night.
**Sunday (Today):** Woke up with some cramping and had some more lovely diarrhea. I have a headache behind my eyes this morning, also some more nausea. My stomach feels like its just bubbling and churning. Still incredibly tired and feeling like I'm never quite rested.
Don't know when I'll feel back to normal, but I'm ready for that day to come!</t>
        </is>
      </c>
      <c r="D3994" t="n">
        <v>1</v>
      </c>
      <c r="E3994" t="n">
        <v>11</v>
      </c>
      <c r="F3994">
        <f>HYPERLINK("https://www.reddit.com/r/COVID19positive/comments/i2ftwu/husband_is_positive_passed_it_along_to_me/")</f>
        <v/>
      </c>
      <c r="G3994" t="inlineStr">
        <is>
          <t>2020-08-02 10:24:15</t>
        </is>
      </c>
      <c r="H3994" t="inlineStr">
        <is>
          <t>Presumed Positive - From Doctor</t>
        </is>
      </c>
    </row>
    <row r="3995">
      <c r="A3995" t="inlineStr">
        <is>
          <t>i2fy56</t>
        </is>
      </c>
      <c r="B3995" t="inlineStr">
        <is>
          <t>Support for those with covid</t>
        </is>
      </c>
      <c r="C3995" t="inlineStr">
        <is>
          <t>Hey everyone! On Wednesday my daughter (18) was feeling too sick to go to her classes. That morning we took her to an urgent care to get test. Thursday she was have trouble breathing and we ended up taking her to the hospital. They did another test and told her they were pretty sure that she had covid. They gave her steriods and sent her home. We got the results last night and it was positive. She is feeling slightly better but can not stand without having trouble breathing. They gave very vague advice on how to care for her and simply said to quarantine. 
Well my husband and I are starting to have symptoms and we have 2 year old twins. We've been trying to find advice on what helps get over it fast. We're scared that we won't be able to care for the twins as they have both started coughing and sneezing. We have not been able to find any support groups or advice groups. Anyone here recover? If so what helped?</t>
        </is>
      </c>
      <c r="D3995" t="n">
        <v>1</v>
      </c>
      <c r="E3995" t="n">
        <v>3</v>
      </c>
      <c r="F3995">
        <f>HYPERLINK("https://www.reddit.com/r/COVID19positive/comments/i2fy56/support_for_those_with_covid/")</f>
        <v/>
      </c>
      <c r="G3995" t="inlineStr">
        <is>
          <t>2020-08-02 10:31:04</t>
        </is>
      </c>
      <c r="H3995" t="inlineStr">
        <is>
          <t>Tested Positive - Family</t>
        </is>
      </c>
    </row>
    <row r="3996">
      <c r="A3996" t="inlineStr">
        <is>
          <t>i2gf0n</t>
        </is>
      </c>
      <c r="B3996" t="inlineStr">
        <is>
          <t>Jerking off and smoking pot helped my covid</t>
        </is>
      </c>
      <c r="C3996" t="inlineStr">
        <is>
          <t>Yee</t>
        </is>
      </c>
      <c r="D3996" t="n">
        <v>1</v>
      </c>
      <c r="E3996" t="n">
        <v>6</v>
      </c>
      <c r="F3996">
        <f>HYPERLINK("https://www.reddit.com/r/COVID19positive/comments/i2gf0n/jerking_off_and_smoking_pot_helped_my_covid/")</f>
        <v/>
      </c>
      <c r="G3996" t="inlineStr">
        <is>
          <t>2020-08-02 10:57:31</t>
        </is>
      </c>
      <c r="H3996" t="inlineStr">
        <is>
          <t>Tested Positive - Me</t>
        </is>
      </c>
    </row>
    <row r="3997">
      <c r="A3997" t="inlineStr">
        <is>
          <t>i2gwyv</t>
        </is>
      </c>
      <c r="B3997" t="inlineStr">
        <is>
          <t>Freinds mom got covid.the primary section of my school got shut down Most my symptoms have subsided apart from occasional cough and shortness of breath. One of my perents got tested and came back negative half her workplace is positive. Other perent had one too but not in her department. Wow</t>
        </is>
      </c>
      <c r="C3997" t="inlineStr">
        <is>
          <t>So yeah its been quite a 3 weeks</t>
        </is>
      </c>
      <c r="D3997" t="n">
        <v>1</v>
      </c>
      <c r="E3997" t="n">
        <v>2</v>
      </c>
      <c r="F3997">
        <f>HYPERLINK("https://www.reddit.com/r/COVID19positive/comments/i2gwyv/freinds_mom_got_covidthe_primary_section_of_my/")</f>
        <v/>
      </c>
      <c r="G3997" t="inlineStr">
        <is>
          <t>2020-08-02 11:25:27</t>
        </is>
      </c>
      <c r="H3997" t="inlineStr">
        <is>
          <t>Tested Positive - Friends</t>
        </is>
      </c>
    </row>
    <row r="3998">
      <c r="A3998" t="inlineStr">
        <is>
          <t>i2h3i3</t>
        </is>
      </c>
      <c r="B3998" t="inlineStr">
        <is>
          <t>Victim of another virus that spreads when we show each other love, kindness, and affection. When we are most human.</t>
        </is>
      </c>
      <c r="C3998" t="inlineStr">
        <is>
          <t>Hi there,
I was diagnosed with the novel coronavirus, Sars-cov-2, on July 23rd, 2020. This is my timeline/story. 
I'm an emergency veterinary technician (aka animal nurse) at a very busy 24/7 emergency and referral animal hospital. We have had an increase in the number of patients/clients since this pandemic started. Staffing has been a huge issue and the number of sick animals has been overwhelming. I have worked there for 6 years and have never seen so many cages filled with critical cases. Since February, I have easily hit over 50+ hours every week because of the volume of cases. 
My mother was admitted to the ICU on July 8th, 2020 and placed on a ventilator. (NOT COVID RELATED!) She was diagnosed with sepsis and Wernicke's Encephalopathy. (Aka her brain was swelling, causing hallucinations, because she was lacking an essential vitamin not produced by the body, and was septic from a horrific UTI). 
I have been very diligent about washing my hands, not traveling (I haven't even had the time to travel due to my work), wearing a mask 24/7 while at work, practicing social distancing, and only leaving the house when needing groceries. Since my mother was extremely sick, my family honestly did not think she was going to pull through. That was the only time I had taken off work, to travel, to go see my at the time, dying mother in the ICU. She was tested 2 times for COVID and was negative both times. I obviously was not sick prior to visiting her, just tired from working so much. I went to visit her on July 13th, 2020. I saw my grandparents and my mother's husband while I was in my hometown. I wore my mask and remained 6ft away from them. I wore gloves when I was in the ICU visiting my mother, and an N95 mask. I tried to do everything right. I washed my hands frequently and tried to minimize touching surfaces.
July 15th, 2020 I noticed that I wasn't feeling the best. My body was sore. I had a horrific headache, a slight cough, and just general exhaustion. I attributed those symptoms to being worn down from traveling to see my mom, and working so much. Well, later that evening I spiked a fever. The following day, July 16th, 2020, I went to get tested for COVID. 
When I got tested, it took 8 days to get my results back. During those 8 days, I felt immensely guilty about going to see my relatives and mother. I would have never gone anywhere near them during this pandemic if my mom was not fighting for her life at the time. I felt so horrible for having to make the phone calls to anyone that I could have exposed. 
My symptoms during those 8 days prior to my positive test result included: 
1. Loss of taste/smell
2. Chest tightness
3. GI upset
4. Fever (99.0-100.1 was my range)
5. Lethargy
6. Mild cough
7. Body aches
8. Short of breath
I initially thought the chest tightness was just anxiety related while I was pending my results. I have anxiety normally, and it honestly just felt like that horrible rock on your chest type feeling that you get when you are anxious about something. I isolated myself in my bedroom during this time. I live with my boyfriend and a coworker, and I definitely did not want to possibly expose them.
July 23rd, 2020. My doctor called me and broke the news. "You have tested positive for COVID-19, and there is no approved treatment yet for this virus". "You need to make a list of anyone you could have exposed, the CDC will be in touch with you". "You could have been shedding the virus 2-3 days prior to symptom onset". I went into a complete anxiety attack after that phone call. I feared that I was going to test positive, and I did. Then it dawned on me that the chest pain was justified, and most likely not anxiety-related at all. Needless to say, I felt so many emotions all at once when I tested positive. I was angry, because how in the hell would I get this when I took all of the proper precautions? I was angry because why the hell are there people literally saying this virus is a "hoax"? I was angry because why aren't the anti-maskers the ones getting this virus? 
And then I was sad because now I possibly exposed so many family members during a very tragic time with my mother being so sick in the ICU. I felt so much guilt, and then my anger subsided because I still would NEVER wish this virus on anyone. I knew I was most likely going to be okay, and not require hospitalization. I'm a young, 23 year old, relatively healthy female. But the overwhelming feeling of guilt honestly made my symptoms feel much worse. 
It was a long 2 weeks of being isolated in my bedroom. The chest pain was very concerning, and I never physically saw a doctor throughout the duration of my sickness. I saw a nurse, once, and that was when I was tested. It was so concerning to me because I called my doctor, and nurses, often asking how I would know if I needed hospitalization. Obviosuly they have to tell you to go if you feel like you need too. I couldn't rationalize going to the hospital, paying thousands of dollars, just for them to remind me that there is no treatment. So I stayed home and waited for the symptoms to lighten up.
I'm doing much better now. I'm off isolation and have returned to work this week. I'm still unable to work the full 12+ hours that I was originally doing pre-COVID. A couple of veterinarians I work with have tested positive for it, along with a couple of my coworkers. I'm still not sure if I'm the source of their exposure or not. We have had positive COVID clients bring their pets in to be seen throughout this pandemic. We have tried to reduce the amount of exposure as much as possible in those cases. 
I think the biggest issue I am facing now is the persistent fatigue feeling that I get. I was literally so used to working for 12+ hours, and now, working 6-8 hours has me flat and exhausted by the time I get home. Has anyone else had any issues returning back to the world after being infected with COVID? Lethargy? Fatigue? Out of breathness? The feeling of being hot and sweating, but having no fever?
&amp;amp;#x200B;
But anyway. It is crazy how viruses have evolved over time and know exactly how to make themselves survive: by feeding off humans doing normal human actions. Such as, visiting severly ill family members, caregiving, consoling one another during times of grief, birthday celebrations, etc. Viruses are not even considered 'alive' beings. They are just little strands of RNA or DNA that seek out a host to replicate in. 
If anyone has any questions or anything about my experience with COVID please reach out! I know it can feel so lonely being isolated from everyone when sick. 
Keep social distancing. Wear your mask (the CORRECT way!). Don't travel. Wash your hands. And please, for one seconds, put someone elses health and safety before your own. Stay home.</t>
        </is>
      </c>
      <c r="D3998" t="n">
        <v>1</v>
      </c>
      <c r="E3998" t="n">
        <v>10</v>
      </c>
      <c r="F3998">
        <f>HYPERLINK("https://www.reddit.com/r/COVID19positive/comments/i2h3i3/victim_of_another_virus_that_spreads_when_we_show/")</f>
        <v/>
      </c>
      <c r="G3998" t="inlineStr">
        <is>
          <t>2020-08-02 11:35:45</t>
        </is>
      </c>
      <c r="H3998" t="inlineStr">
        <is>
          <t>Tested Positive - Me</t>
        </is>
      </c>
    </row>
    <row r="3999">
      <c r="A3999" t="inlineStr">
        <is>
          <t>i2i568</t>
        </is>
      </c>
      <c r="B3999" t="inlineStr">
        <is>
          <t>I tested positive and I'm not even scared for it it's my family im worried about</t>
        </is>
      </c>
      <c r="C3999" t="inlineStr">
        <is>
          <t>I was supposed to move out this month and I was hoping that would ease my parents axienty since I'm the only one working in healthcare but it feels like no matter how many times I washed my hands or wore my mask ( the hospital requires n95 and a surgical or cloth mask) I still got it and I just told my parents and I could practically see the colour drain from my dad's face I feel like I failed and I'm terrified they will get it cause of me I'm pretty much staying in my room until work says it's ok to come back. I feel like this will never go away.</t>
        </is>
      </c>
      <c r="D3999" t="n">
        <v>1</v>
      </c>
      <c r="E3999" t="n">
        <v>13</v>
      </c>
      <c r="F3999">
        <f>HYPERLINK("https://www.reddit.com/r/COVID19positive/comments/i2i568/i_tested_positive_and_im_not_even_scared_for_it/")</f>
        <v/>
      </c>
      <c r="G3999" t="inlineStr">
        <is>
          <t>2020-08-02 12:34:20</t>
        </is>
      </c>
      <c r="H3999" t="inlineStr">
        <is>
          <t>Tested Positive - Me</t>
        </is>
      </c>
    </row>
    <row r="4000">
      <c r="A4000" t="inlineStr">
        <is>
          <t>i2ihiq</t>
        </is>
      </c>
      <c r="B4000" t="inlineStr">
        <is>
          <t>Tested positive, no symptoms besides mild headache</t>
        </is>
      </c>
      <c r="C4000" t="inlineStr">
        <is>
          <t>So 2 weeks ago today I tested positive. I had a mild headache and what I would call my normal allergy side effects. Today I still have no symptoms besides my normal allergy symptoms and am still triggering a positive test result. The CDC is begging people to not retest, but my employer will not allow us back without a negative test. I’ve heard it could take up to 3 months to trigger a negative test. My dr. Says I am fine to return to work, but they won’t allow it. Has anyone else had this issue?</t>
        </is>
      </c>
      <c r="D4000" t="n">
        <v>1</v>
      </c>
      <c r="E4000" t="n">
        <v>43</v>
      </c>
      <c r="F4000">
        <f>HYPERLINK("https://www.reddit.com/r/COVID19positive/comments/i2ihiq/tested_positive_no_symptoms_besides_mild_headache/")</f>
        <v/>
      </c>
      <c r="G4000" t="inlineStr">
        <is>
          <t>2020-08-02 12:53:44</t>
        </is>
      </c>
      <c r="H4000" t="inlineStr">
        <is>
          <t>Tested Positive - Me</t>
        </is>
      </c>
    </row>
    <row r="4001">
      <c r="A4001" t="inlineStr">
        <is>
          <t>i2izmm</t>
        </is>
      </c>
      <c r="B4001" t="inlineStr">
        <is>
          <t>Sinus and ears congestion 3 weeks ago, total loss of smell and taste, migrane, no fever.. anybody had simillar?</t>
        </is>
      </c>
      <c r="C4001" t="inlineStr">
        <is>
          <t>Hello, I got horrible sinus congestion three weeks ago, like somebody spilled acid in my nose cavities, ears pressure, migranes, for more than two weeks, took antibiotic and nebulizer every day with corticosteroid and saline.. but it didn’t helped a lot. Lost completely taste and smell, can’t taste anything at all. Now is 24 days since symptoms started, feeling better but have bad reflux or it seems like it, cough sometimes sputum, sinus and ears still congested but not as bad as it was.. starts and stops few times during the day. Taste came back partially, smell didn’t return at all. Not sure is it covid... I was isolating for more than 14 days just in case.. unfortunatelly I’m on island not im my town, so didn’t go for a test. Did anybody had something simillar?</t>
        </is>
      </c>
      <c r="D4001" t="n">
        <v>1</v>
      </c>
      <c r="E4001" t="n">
        <v>3</v>
      </c>
      <c r="F4001">
        <f>HYPERLINK("https://www.reddit.com/r/COVID19positive/comments/i2izmm/sinus_and_ears_congestion_3_weeks_ago_total_loss/")</f>
        <v/>
      </c>
      <c r="G4001" t="inlineStr">
        <is>
          <t>2020-08-02 13:22:15</t>
        </is>
      </c>
      <c r="H4001" t="inlineStr">
        <is>
          <t>Presumed Positive - From Doctor</t>
        </is>
      </c>
    </row>
    <row r="4002">
      <c r="A4002" t="inlineStr">
        <is>
          <t>i2j4b0</t>
        </is>
      </c>
      <c r="B4002" t="inlineStr">
        <is>
          <t>When can I see my family again?</t>
        </is>
      </c>
      <c r="C4002" t="inlineStr">
        <is>
          <t>My fiancé and I tested positive in Mid June. We did what we needed to do. We stayed home. Didn’t go out. Fiancé only had about 4 days of symptoms.  I had symptoms for about 12 days. We haven’t had symptoms for awhile. Fiancé is still testing positive, but his work let him come back because he’s had no symptoms for so long. I guess I just want to know, when can we see our family? When is it safe? I have a nephew that is medically fragile. He is 8, on a ventilator and a feeding tube. Grandma (64) is healthy for her age. Still active. On no medications, but her boyfriend (72) has COPD. Those are my only family members in my home state. My parents don’t live here. Aunts and uncles don’t live here. So my only close family is considered immune compromised. I’m so scared to get them sick, but I guess my question is am I ever to see my family again? It feels so hopeless at this point. I rely a lot on my mother in law emotionally, and she lives with the nephew. I guess I’m just restarting to feel really alone.</t>
        </is>
      </c>
      <c r="D4002" t="n">
        <v>1</v>
      </c>
      <c r="E4002" t="n">
        <v>5</v>
      </c>
      <c r="F4002">
        <f>HYPERLINK("https://www.reddit.com/r/COVID19positive/comments/i2j4b0/when_can_i_see_my_family_again/")</f>
        <v/>
      </c>
      <c r="G4002" t="inlineStr">
        <is>
          <t>2020-08-02 13:29:52</t>
        </is>
      </c>
      <c r="H4002" t="inlineStr">
        <is>
          <t>Tested Positive</t>
        </is>
      </c>
    </row>
    <row r="4003">
      <c r="A4003" t="inlineStr">
        <is>
          <t>i2kkxh</t>
        </is>
      </c>
      <c r="B4003" t="inlineStr">
        <is>
          <t>Anyone have thrush/white tongue or a swollen tongue generally?</t>
        </is>
      </c>
      <c r="C4003" t="inlineStr">
        <is>
          <t>As title states.</t>
        </is>
      </c>
      <c r="D4003" t="n">
        <v>1</v>
      </c>
      <c r="E4003" t="n">
        <v>8</v>
      </c>
      <c r="F4003">
        <f>HYPERLINK("https://www.reddit.com/r/COVID19positive/comments/i2kkxh/anyone_have_thrushwhite_tongue_or_a_swollen/")</f>
        <v/>
      </c>
      <c r="G4003" t="inlineStr">
        <is>
          <t>2020-08-02 14:54:14</t>
        </is>
      </c>
      <c r="H4003" t="inlineStr">
        <is>
          <t>Tested Positive</t>
        </is>
      </c>
    </row>
    <row r="4004">
      <c r="A4004" t="inlineStr">
        <is>
          <t>i2l1mc</t>
        </is>
      </c>
      <c r="B4004" t="inlineStr">
        <is>
          <t>Negative test but COVID symptoms</t>
        </is>
      </c>
      <c r="C4004" t="inlineStr">
        <is>
          <t>I just found out so tested negative via PCR test but I am skeptical of the results. I have been sick for a week now with many covid symptoms including terrible headaches, fevers, fatigue, sore throat, dizziness, dry cough, rash. I also had a telemedicine visit with a doctor that suspected I was positive before I got my results back. I self administered a nasal swab test on my second day of symptoms. I’m wondering if I must’ve incorrectly administered the test or took it too early? How often do the PCR test come back negative and has anyone had this experience?</t>
        </is>
      </c>
      <c r="D4004" t="n">
        <v>1</v>
      </c>
      <c r="E4004" t="n">
        <v>6</v>
      </c>
      <c r="F4004">
        <f>HYPERLINK("https://www.reddit.com/r/COVID19positive/comments/i2l1mc/negative_test_but_covid_symptoms/")</f>
        <v/>
      </c>
      <c r="G4004" t="inlineStr">
        <is>
          <t>2020-08-02 15:21:38</t>
        </is>
      </c>
      <c r="H4004" t="inlineStr">
        <is>
          <t>Presumed Positive - From Doctor</t>
        </is>
      </c>
    </row>
    <row r="4005">
      <c r="A4005" t="inlineStr">
        <is>
          <t>i2l56t</t>
        </is>
      </c>
      <c r="B4005" t="inlineStr">
        <is>
          <t>Should I go to ER? Please let me know what you would do if you were me.</t>
        </is>
      </c>
      <c r="C4005" t="inlineStr">
        <is>
          <t>Covid positive, 37 year old female.  Day 7 of symptoms.  Yesterday I felt I was getting better.  Last night and today have been terrible.  Headache is another level.  Shortness of breath.  Even just sitting up and talking causes shortness of breath.  Walking to bathroom and back and it takes 10 mins of laying still to catch my breath.  Pulse ox has been sustaining at 95 until last yesterday, sustained at 93, today and past two hours pulse ox sustaining at 91 with dips to 88, but mostly 90-91.  Proning and alternating sides doesn’t change readings.  Chest tightness, a sharp pain by my left shoulder blade that’s like a sword piercing through my front rib cage, goes from dull ache to sharp when taking deep breath.  Ringing in ears.  A few brief moments of confusion, like unable to remember what day it is or timeline of illness and a few moments where I couldn’t find my words for a second.  Cough was horrible this morning to the point of having trouble breathing, not helped with breathing treatment, but now under control now with rx cough syrup.  Called ER and spoke to nurse who said to come in, was concerned that I may need to call 911 for ambulance on drive there because she said at this point I could take a turn really fast, but also realize it is a liability for them to say stay home.  Texted my doc, said it’s up to me but reasonable to go in and be seen, but could wait and go to their office to listen to my lungs.  Also messaged my friend who is a front line covid nurse who travels, spent 8 weeks in NYC and is now in south TX, she advised baby aspirin to prevent what could be a blood clot forming, but didn’t think I needed to go to ER.  Just said to prone and hydrate.  Confused with differing answers.  
Wheezing this morning, but as of right  now lungs feel clear.  Might be worth noting I have hashimotos which is an autoimmune disease.  Last labs showed that my numbers were off and changed dosage and am supposed to get numbers rechecked in two weeks so unsure if I’m in a normal range right now.  Also, I’m a smoker.  (Please don’t judge, I know smoking is bad)
I live in a hotspot so I don’t want to take a bed from someone who needs it more than I, but also don’t want to be ignoring something that needs to be addressed, or something that can add to the chances of having long term or permanent damage.  Oddly, I’ve not had a fever at all and still do not.
Please let me know what you think I should do.  I’m so confused and feel like I can’t make a decision.  Not sure if I’m experiencing confusion or what, but I literally can’t figure out what I want to do.  
Any advice or thoughts would be appreciated.</t>
        </is>
      </c>
      <c r="D4005" t="n">
        <v>1</v>
      </c>
      <c r="E4005" t="n">
        <v>24</v>
      </c>
      <c r="F4005">
        <f>HYPERLINK("https://www.reddit.com/r/COVID19positive/comments/i2l56t/should_i_go_to_er_please_let_me_know_what_you/")</f>
        <v/>
      </c>
      <c r="G4005" t="inlineStr">
        <is>
          <t>2020-08-02 15:27:38</t>
        </is>
      </c>
      <c r="H4005" t="inlineStr">
        <is>
          <t>Tested Positive - Me</t>
        </is>
      </c>
    </row>
    <row r="4006">
      <c r="A4006" t="inlineStr">
        <is>
          <t>i2lcom</t>
        </is>
      </c>
      <c r="B4006" t="inlineStr">
        <is>
          <t>People with changed smell/taste: Do strongly flavored foods stress your nervous system?</t>
        </is>
      </c>
      <c r="C4006" t="inlineStr">
        <is>
          <t>I just ate a clove of pickled garlic and didn't taste it until I swallowed. Then it was very spicy, made my stomach hurt, my body got tensed up and stressed feeling for several minutes.  My taste is limited to salty, sweet, and spicy.  Garlic and pepper are ridiculously spicy.   If I eat something strongly flavored my salivary glands contract a lot and kinda hurt.</t>
        </is>
      </c>
      <c r="D4006" t="n">
        <v>1</v>
      </c>
      <c r="E4006" t="n">
        <v>4</v>
      </c>
      <c r="F4006">
        <f>HYPERLINK("https://www.reddit.com/r/COVID19positive/comments/i2lcom/people_with_changed_smelltaste_do_strongly/")</f>
        <v/>
      </c>
      <c r="G4006" t="inlineStr">
        <is>
          <t>2020-08-02 15:40:03</t>
        </is>
      </c>
      <c r="H4006" t="inlineStr">
        <is>
          <t>Presumed Positive - From Doctor</t>
        </is>
      </c>
    </row>
    <row r="4007">
      <c r="A4007" t="inlineStr">
        <is>
          <t>i2lkua</t>
        </is>
      </c>
      <c r="B4007" t="inlineStr">
        <is>
          <t>After effects... advice</t>
        </is>
      </c>
      <c r="C4007" t="inlineStr">
        <is>
          <t>I have been corona free for about three weeks. Some days i feel tired, have a stuffy nose and feel very foggybrained. Any natural or home remedies for any of these would be very helpful for me. The foggy head feeling is starting to make me feel light headed!</t>
        </is>
      </c>
      <c r="D4007" t="n">
        <v>1</v>
      </c>
      <c r="E4007" t="n">
        <v>4</v>
      </c>
      <c r="F4007">
        <f>HYPERLINK("https://www.reddit.com/r/COVID19positive/comments/i2lkua/after_effects_advice/")</f>
        <v/>
      </c>
      <c r="G4007" t="inlineStr">
        <is>
          <t>2020-08-02 15:53:54</t>
        </is>
      </c>
      <c r="H4007" t="inlineStr">
        <is>
          <t>Tested Positive - Me</t>
        </is>
      </c>
    </row>
    <row r="4008">
      <c r="A4008" t="inlineStr">
        <is>
          <t>i2lw4v</t>
        </is>
      </c>
      <c r="B4008" t="inlineStr">
        <is>
          <t>Worst sickness of my life</t>
        </is>
      </c>
      <c r="C4008" t="inlineStr">
        <is>
          <t>I had COVID while I was at college. I’m a 19 year old healthy male and corona absolutely destroyed me. At first I had bad chills, muscle sourness, and a little cough. After that I wasn’t able to eat, and just layed in bed extremely uncomfortable. It actually felt like an elephant was sitting on my chest and someone stabbing me. Very sharp stings in my chest and back which made it impossible to be comfortable. I just felt very “out of it” mentally all day long and had GI issues. My heart was pumping out of my chest with very constant heart palpitations every minute of the day. 100% the worst sickness I’ve ever had, and I’ve been through mono, step, flu, and koksaki virus. It became so bad that I got a 3 heart tests done on separate occasions and wanted to get chest x-rays. It wasn’t like I just woke up one morning and felt much better. My symptoms lasted longer than 2 weeks, I couldn’t sleep, and 4 months later I still have GI issues. Doctor told me I have GERD now, and I have serious reason to suspect Covid caused it.</t>
        </is>
      </c>
      <c r="D4008" t="n">
        <v>1</v>
      </c>
      <c r="E4008" t="n">
        <v>116</v>
      </c>
      <c r="F4008">
        <f>HYPERLINK("https://www.reddit.com/r/COVID19positive/comments/i2lw4v/worst_sickness_of_my_life/")</f>
        <v/>
      </c>
      <c r="G4008" t="inlineStr">
        <is>
          <t>2020-08-02 16:12:49</t>
        </is>
      </c>
      <c r="H4008" t="inlineStr">
        <is>
          <t>Presumed Positive - From Doctor</t>
        </is>
      </c>
    </row>
    <row r="4009">
      <c r="A4009" t="inlineStr">
        <is>
          <t>i2m46a</t>
        </is>
      </c>
      <c r="B4009" t="inlineStr">
        <is>
          <t>Tested positive today I’m a 26 y/o healthcare worker. Symptoms: diarrhea, congestion, runny nose, loss of taste and smell.</t>
        </is>
      </c>
      <c r="C4009" t="inlineStr">
        <is>
          <t>Hi people!
I’m in SoCal at first I thought I had allergies or a head cold from the AC we’ve been using due to the heat wave, but I noticed my diarrhea wasn’t going away and then this past Friday night I lost my sense of taste and smell. 
I feel defeated, I really tried my best to not get it from work and not expose my family. I have no other symptoms besides the ones I mentioned.
I am going to follow this thread to see what to expect. This sucks. 
Any words of encouragement and wisdom?</t>
        </is>
      </c>
      <c r="D4009" t="n">
        <v>1</v>
      </c>
      <c r="E4009" t="n">
        <v>18</v>
      </c>
      <c r="F4009">
        <f>HYPERLINK("https://www.reddit.com/r/COVID19positive/comments/i2m46a/tested_positive_today_im_a_26_yo_healthcare/")</f>
        <v/>
      </c>
      <c r="G4009" t="inlineStr">
        <is>
          <t>2020-08-02 16:27:09</t>
        </is>
      </c>
      <c r="H4009" t="inlineStr">
        <is>
          <t>Tested Positive - Me</t>
        </is>
      </c>
    </row>
    <row r="4010">
      <c r="A4010" t="inlineStr">
        <is>
          <t>i2m7ml</t>
        </is>
      </c>
      <c r="B4010" t="inlineStr">
        <is>
          <t>Paramedic husband tested positive, he's struggling so much with the sudden role reversal and I don't know how to properly comfort him</t>
        </is>
      </c>
      <c r="C4010" t="inlineStr">
        <is>
          <t>This has been so hard on our hearts. We knew this was inevitable, his company only provided a handful of N95 and the last one broke entirely on his last shift. 
His symptoms came on so fast. Lethargic, muscle weakness, dizziness, dry cough, and gastrointestinal problems are a few. Every day he wakes up feeling worse, he walks like he was hit by a car. He coughs until he can't breathe. Even on 30mg Adderall, he sleeps constantly now after several days of pure exhaustion with insomnia. Test was positive of course, and he can barely move. 
I'm sick as well, but not as severely. All the same symptoms with a milder dry cough, and my 45mg Adderall  ( ADHD chaos couple here, we're both prescribed it I promise lmao ) still doesn't keep me from falling asleep sitting up. I haven't been able to eat in three days, my appetite is gone. He doesn't have that symptom. My test is tomorrow. 
We have a 4 and 7 year old, so I've been doing all their care. I make and bring him food, drinks, medicine, ect. I do the cleaning alone nighty since messes stir up our SPD badly  I'm truly happy to do these things, I want him to rest and be cared for after five months of caring for other COVID-19 patients and providing for us, but I think the mental impact of this is hitting him too hard. 
I have to constantly reassure him that I'm not feeling as sick, and that I legitimately enjoy taking care of him on these rare occasions he needs it. He tries to stumble around to help, and I have to convince him to sit back down before he collapses. He broke down crying last night, I've never seen him react this way to being sick or hurt and it's breaking my heart. 😔
For those who are or were this severely ill, and maybe even in the medical field and relate to the "I'm supposed to take care of everyone else, not the other way around!" mindset, what would have helped you most to reassure you its time to finally rest guilt-free?</t>
        </is>
      </c>
      <c r="D4010" t="n">
        <v>1</v>
      </c>
      <c r="E4010" t="n">
        <v>16</v>
      </c>
      <c r="F4010">
        <f>HYPERLINK("https://www.reddit.com/r/COVID19positive/comments/i2m7ml/paramedic_husband_tested_positive_hes_struggling/")</f>
        <v/>
      </c>
      <c r="G4010" t="inlineStr">
        <is>
          <t>2020-08-02 16:33:07</t>
        </is>
      </c>
      <c r="H4010" t="inlineStr">
        <is>
          <t>Tested Positive - Family</t>
        </is>
      </c>
    </row>
    <row r="4011">
      <c r="A4011" t="inlineStr">
        <is>
          <t>i2m8my</t>
        </is>
      </c>
      <c r="B4011" t="inlineStr">
        <is>
          <t>Negative antibodies 4 months after positive diagnosis</t>
        </is>
      </c>
      <c r="C4011" t="inlineStr">
        <is>
          <t>My COVID-19 IgG (immunoglobulin G) antibody results just came back negative.
I tested positive in March and then negative on April. For some reason, antibodies cannot be detected 4 months after the initial diagnosis.
Which one is more likely, the initial result was a false positive or that antibodies don’t last too long?</t>
        </is>
      </c>
      <c r="D4011" t="n">
        <v>1</v>
      </c>
      <c r="E4011" t="n">
        <v>10</v>
      </c>
      <c r="F4011">
        <f>HYPERLINK("https://www.reddit.com/r/COVID19positive/comments/i2m8my/negative_antibodies_4_months_after_positive/")</f>
        <v/>
      </c>
      <c r="G4011" t="inlineStr">
        <is>
          <t>2020-08-02 16:34:51</t>
        </is>
      </c>
      <c r="H4011" t="inlineStr">
        <is>
          <t>Tested Positive - Me</t>
        </is>
      </c>
    </row>
    <row r="4012">
      <c r="A4012" t="inlineStr">
        <is>
          <t>i2ml8z</t>
        </is>
      </c>
      <c r="B4012" t="inlineStr">
        <is>
          <t>Stiff neck for over a month</t>
        </is>
      </c>
      <c r="C4012" t="inlineStr">
        <is>
          <t>Had this damn virus since April/late March, well officially at least I don't have it anymore, but you could've fooled me, still feel like shit, still have lung rattling issues, but now I've been having a really bad stiff neck that just won't go away, also feel really drowsy all the time and sometimes nauseous. Should I go to the ER?</t>
        </is>
      </c>
      <c r="D4012" t="n">
        <v>1</v>
      </c>
      <c r="E4012" t="n">
        <v>11</v>
      </c>
      <c r="F4012">
        <f>HYPERLINK("https://www.reddit.com/r/COVID19positive/comments/i2ml8z/stiff_neck_for_over_a_month/")</f>
        <v/>
      </c>
      <c r="G4012" t="inlineStr">
        <is>
          <t>2020-08-02 16:56:43</t>
        </is>
      </c>
      <c r="H4012" t="inlineStr">
        <is>
          <t>Tested Positive - Me</t>
        </is>
      </c>
    </row>
    <row r="4013">
      <c r="A4013" t="inlineStr">
        <is>
          <t>i2mq5n</t>
        </is>
      </c>
      <c r="B4013" t="inlineStr">
        <is>
          <t>For those of you who experience nausea and vomiting....</t>
        </is>
      </c>
      <c r="C4013" t="inlineStr">
        <is>
          <t>When exactly do you get these symptoms? is there a specific time of the day they tend to arrive? Do you get them for eating certain kinds of foods or doing something specific?  
or do you just get nauseous randomly through the day? I asked because I have an irrational fear of vomiting and I want to avoid those symptoms as best as I can.</t>
        </is>
      </c>
      <c r="D4013" t="n">
        <v>1</v>
      </c>
      <c r="E4013" t="n">
        <v>4</v>
      </c>
      <c r="F4013">
        <f>HYPERLINK("https://www.reddit.com/r/COVID19positive/comments/i2mq5n/for_those_of_you_who_experience_nausea_and/")</f>
        <v/>
      </c>
      <c r="G4013" t="inlineStr">
        <is>
          <t>2020-08-02 17:05:15</t>
        </is>
      </c>
      <c r="H4013" t="inlineStr">
        <is>
          <t>Tested Positive</t>
        </is>
      </c>
    </row>
    <row r="4014">
      <c r="A4014" t="inlineStr">
        <is>
          <t>i2mw57</t>
        </is>
      </c>
      <c r="B4014" t="inlineStr">
        <is>
          <t>My family's experience and our issue with CVS drive through testing</t>
        </is>
      </c>
      <c r="C4014" t="inlineStr">
        <is>
          <t>about a month ago, 1 of my dad's co-workers tested positive for covid-19. the co-worker's brother (who also works with my dad) started getting sick shortly after. once my dad came home, he told us that his co-workers were sick and he decided to self isolate in his room, but soon after, my mom started feeling sick as well, so she began self isolating with him. after a few days, my dad said he didn't feel sick but my mom seemed to be getting worse. they both decided to go get tested at a nearby CVS pharmacy, since they have "quick" drive through testing. we waited almost 3 weeks to hear back from them. they finally called my dad and told him that he tested positive. my mother on the other hand, got an email saying that she tested negative. both of my parents are very immunocompromised, so had they actually been sick, they would have died. another thing that didn't make sense was that my dad tested positive, but only had a mild headache and lack of taste and smell while my mom had almost every symptom you could think of and then some, but she tested negative. another another thing that didn't make sense is that my siblings and i did not get sick when we were literally drinking out of our parents cups, sharing food, and not practicing social distancing between us and our parents. to me, the CVS drive through testing was just kinda bs. our family should not have waited so long to get the results back, and for the results to be inaccurate anyways? please, to anyone reading this, if you're going to get tested, go to a hospital or a real testing center where they'll give you the results quickly and accurately.</t>
        </is>
      </c>
      <c r="D4014" t="n">
        <v>1</v>
      </c>
      <c r="E4014" t="n">
        <v>4</v>
      </c>
      <c r="F4014">
        <f>HYPERLINK("https://www.reddit.com/r/COVID19positive/comments/i2mw57/my_familys_experience_and_our_issue_with_cvs/")</f>
        <v/>
      </c>
      <c r="G4014" t="inlineStr">
        <is>
          <t>2020-08-02 17:15:46</t>
        </is>
      </c>
      <c r="H4014" t="inlineStr">
        <is>
          <t>Presumed Positive - From Test</t>
        </is>
      </c>
    </row>
    <row r="4015">
      <c r="A4015" t="inlineStr">
        <is>
          <t>i2my19</t>
        </is>
      </c>
      <c r="B4015" t="inlineStr">
        <is>
          <t>Really bad heart palpitations (3rd hospital visit) possibly recovered/long-hauler (M24) tachycardia (one month of symptoms</t>
        </is>
      </c>
      <c r="C4015" t="inlineStr">
        <is>
          <t>yesterday was the most scariest day of my life, I noticed that my heart rate was extremely high resting heart rate (130-150 BMP) &amp;amp; I had to be rushed to the hospital since ems recommended it. They took blood work, did an ekg &amp;amp; monitored  me for AI still have a bit of a sore throat but normal fever. They said I had tachycardia &amp;amp; I have to see a cardiologist, that it might be “dehydration related/anxiety”. I do struggle with high anxiety but when I get up I automatically feel a high heart rate &amp;amp; keep in mind my bloodwork/ekg came back normal. I still keep on having palpitations &amp;amp; a high heart rate &amp;amp; it’s very scary since it’s something I never thought I would struggle with with 🥺. I feel so drained since this has been going on for the past month (exactly one month &amp;amp; things are so-so). I’m tired of being sick &amp;amp; having now these heart problems, thankfully I have an appointment with my pcp &amp;amp; I will be referred to a cardiologist as soon as possible. I just want to get better &amp;amp; stop going to the hospital 😭.</t>
        </is>
      </c>
      <c r="D4015" t="n">
        <v>1</v>
      </c>
      <c r="E4015" t="n">
        <v>10</v>
      </c>
      <c r="F4015">
        <f>HYPERLINK("https://www.reddit.com/r/COVID19positive/comments/i2my19/really_bad_heart_palpitations_3rd_hospital_visit/")</f>
        <v/>
      </c>
      <c r="G4015" t="inlineStr">
        <is>
          <t>2020-08-02 17:19:06</t>
        </is>
      </c>
      <c r="H4015" t="inlineStr">
        <is>
          <t>Presumed Positive - From Doctor</t>
        </is>
      </c>
    </row>
    <row r="4016">
      <c r="A4016" t="inlineStr">
        <is>
          <t>i2n3fl</t>
        </is>
      </c>
      <c r="B4016" t="inlineStr">
        <is>
          <t>Scary symptoms. Please help</t>
        </is>
      </c>
      <c r="C4016" t="inlineStr">
        <is>
          <t>I went to visit a friend about 3 weeks ago. He had it but he didn't know until 2 days later when he got his positive test. Of course I didn't wear a mask. About 10 days later I experienced headaches and nausea, but no fever or cough. Then I tried running and I could barely make it one mile. I almost collapsed from being unable to breathe. I'm used to running several miles at a time with no issues. I went to urgent care and they gave me an emergency covid test with expedited results. 3 days later I tested positive. 
Somewhere in all this I lost my sense of smell. Even things with strong, distinct scents (coffee grounds, bleach, dish soap, etc.) I cant smell. 
In the last couple of days I'm feeling this tingling sensation around my heart that I've never felt before. I read that this thing causes permanent heart damage. Should I be worried? Should I go to the hospital? Besides the loss of smell and the tingling sensation, I have no other symptoms at the moment.</t>
        </is>
      </c>
      <c r="D4016" t="n">
        <v>1</v>
      </c>
      <c r="E4016" t="n">
        <v>6</v>
      </c>
      <c r="F4016">
        <f>HYPERLINK("https://www.reddit.com/r/COVID19positive/comments/i2n3fl/scary_symptoms_please_help/")</f>
        <v/>
      </c>
      <c r="G4016" t="inlineStr">
        <is>
          <t>2020-08-02 17:28:13</t>
        </is>
      </c>
      <c r="H4016" t="inlineStr">
        <is>
          <t>Tested Positive - Me</t>
        </is>
      </c>
    </row>
    <row r="4017">
      <c r="A4017" t="inlineStr">
        <is>
          <t>i2ndgl</t>
        </is>
      </c>
      <c r="B4017" t="inlineStr">
        <is>
          <t>Covid immunity</t>
        </is>
      </c>
      <c r="C4017" t="inlineStr">
        <is>
          <t>I had, luckily, a very mild case of coronavirus in late June. After a few weeks my symptoms disappeared and I tested negative.
I live in one of the US states that mandates self quarantining after traveling to a hotspot state. I recently visited one for a little over 24 hours. Technically, I am supposed to quarantine again. 
However, I had and recovered from the virus so recently I'm wondering if quarantining again right now would just be overkill/unnecessary because I should at least have temporary antibodies or if I should just abide by the quarantine?
Thoughts? What would you do?</t>
        </is>
      </c>
      <c r="D4017" t="n">
        <v>1</v>
      </c>
      <c r="E4017" t="n">
        <v>8</v>
      </c>
      <c r="F4017">
        <f>HYPERLINK("https://www.reddit.com/r/COVID19positive/comments/i2ndgl/covid_immunity/")</f>
        <v/>
      </c>
      <c r="G4017" t="inlineStr">
        <is>
          <t>2020-08-02 17:45:16</t>
        </is>
      </c>
      <c r="H4017" t="inlineStr">
        <is>
          <t>Tested Positive - Me</t>
        </is>
      </c>
    </row>
    <row r="4018">
      <c r="A4018" t="inlineStr">
        <is>
          <t>i2nueu</t>
        </is>
      </c>
      <c r="B4018" t="inlineStr">
        <is>
          <t>Tested Positive, but everyone around me tested negative.</t>
        </is>
      </c>
      <c r="C4018" t="inlineStr">
        <is>
          <t>Hi everyone,
so about 11 days ago I got my first positive Covid test results, everyone that I live with proceeded to go get tested as well. Everyone was scared because I was showing no symptoms, that it might have just been a false positive (which we heard was rare). One by one everyone came back negative, so I went to get tested again and once again came back positive. 
Still have no symptoms, and still everyone is negative.
I have a question regarding working out, I've been refraining from exercise because I was told to just relax and stay at home. But I really want to start working out in my backyard. Would it be okay for me to start working out alone?
Also if anyone else is asymptomatic, when did you retest again to see if you are negative? And if you did how long did it take to test negative after testing positive?</t>
        </is>
      </c>
      <c r="D4018" t="n">
        <v>1</v>
      </c>
      <c r="E4018" t="n">
        <v>12</v>
      </c>
      <c r="F4018">
        <f>HYPERLINK("https://www.reddit.com/r/COVID19positive/comments/i2nueu/tested_positive_but_everyone_around_me_tested/")</f>
        <v/>
      </c>
      <c r="G4018" t="inlineStr">
        <is>
          <t>2020-08-02 18:15:09</t>
        </is>
      </c>
      <c r="H4018" t="inlineStr">
        <is>
          <t>Tested Positive - Me</t>
        </is>
      </c>
    </row>
    <row r="4019">
      <c r="A4019" t="inlineStr">
        <is>
          <t>i2o4j2</t>
        </is>
      </c>
      <c r="B4019" t="inlineStr">
        <is>
          <t>Anyone having symptoms that come and go on a daily?</t>
        </is>
      </c>
      <c r="C4019" t="inlineStr">
        <is>
          <t>Fever seems steady, but my body aches and headaches keep coming and going even without taking any meds. Anyone else experience this?</t>
        </is>
      </c>
      <c r="D4019" t="n">
        <v>1</v>
      </c>
      <c r="E4019" t="n">
        <v>2</v>
      </c>
      <c r="F4019">
        <f>HYPERLINK("https://www.reddit.com/r/COVID19positive/comments/i2o4j2/anyone_having_symptoms_that_come_and_go_on_a_daily/")</f>
        <v/>
      </c>
      <c r="G4019" t="inlineStr">
        <is>
          <t>2020-08-02 18:33:23</t>
        </is>
      </c>
      <c r="H4019" t="inlineStr">
        <is>
          <t>Presumed Positive - From Doctor</t>
        </is>
      </c>
    </row>
    <row r="4020">
      <c r="A4020" t="inlineStr">
        <is>
          <t>i2o66c</t>
        </is>
      </c>
      <c r="B4020" t="inlineStr">
        <is>
          <t>Is incentive spirometer helpful?</t>
        </is>
      </c>
      <c r="C4020" t="inlineStr">
        <is>
          <t>To aid in breathing and lung volume ?</t>
        </is>
      </c>
      <c r="D4020" t="n">
        <v>1</v>
      </c>
      <c r="E4020" t="n">
        <v>3</v>
      </c>
      <c r="F4020">
        <f>HYPERLINK("https://www.reddit.com/r/COVID19positive/comments/i2o66c/is_incentive_spirometer_helpful/")</f>
        <v/>
      </c>
      <c r="G4020" t="inlineStr">
        <is>
          <t>2020-08-02 18:36:38</t>
        </is>
      </c>
      <c r="H4020" t="inlineStr">
        <is>
          <t>Tested Positive - Family</t>
        </is>
      </c>
    </row>
    <row r="4021">
      <c r="A4021" t="inlineStr">
        <is>
          <t>i2osp3</t>
        </is>
      </c>
      <c r="B4021" t="inlineStr">
        <is>
          <t>My boyfriend and I tested positive today... not many symptoms</t>
        </is>
      </c>
      <c r="C4021" t="inlineStr">
        <is>
          <t>...and I was actually thinking that I was just being paranoid before. 
I didn’t journal it, so I’m just going to write how I remember it starting a couple of weeks ago before getting tested. I do know that I started feeling odd on Friday, July 24th and couldn’t get tested until Wednesday, July 29th. 
It started with a bit of a sore throat and a little bit of nausea throughout the day. I had also developed a shallow, dry cough. It wasn’t like I was hacking up a lung or anything—just a little cough that I couldn’t really control. Maybe one every hour or so. 
The nausea would lead to light diarrhea. This part only happened for a couple of days in a row. 
I also had a headache throughout the day.
I took mucinex for a couple of nights, and then the sore throat proceeded to go away. All of a sudden my allergies started bothering me. I’m not sure if that part was actually COVID-related since I haven’t really seen any notes of allergy symptoms. My left eye was watering all day and I was constantly sneezing. I really think that it was a coincidence, but who knows? It went away that night. 
I had developed a weird taste in my mouth though. No lost of taste, just an odd taste of phlegm in my mouth. The best way I can describe it is how your mouth tastes when you have strep throat (without the sore throat).
At this point, I wasn’t really sure what was going on. And to make it worse, my boyfriend was having symptoms as well (I’ll outline his part too). I decided to book a time slot with one of the nearby drive thru testing sites. The closest one that I could pick was a few days away, so we just had to wait it out. Both of us were still having symptoms, but they were on the lighter side. The shallow, dry cough was still there, but there wasn’t anything besides that. I still had the phlegm taste as well. 
We had access to a portal where the results would be uploaded. I kept checking, but nothing was updated the entire week. We were informed that we would be called if the results were positive, however. 
Now for my boyfriend’s symptoms. They were pretty similar to mine, minus the allergies and not having the phlegm taste in his mouth. He had more headaches and a sore throat longer than I did though. 
He went to work Monday, July 27th and was told to go home. He only works with a few other people and made them aware that he had a sore throat and had a test scheduled. They sent him home and told him to keep them updated. (Unless they’re asymptomatic and gave it to him, which in turn gave it to me, I believe they’re fine. He’s been in contact with his boss, especially after getting the results today, and she has not relayed anything about any of them being sick.)
Since then, our symptoms have almost completely gone away besides my dry cough/sneezing (again, I think it’s my allergies and unrelated) and his occasional headache/burning nose sensation (not sure what this is.. he doesn’t seem too bothered and is playing games with his friends). 
Since our symptoms had MOSTLY subsided and seem somewhat minor, we figured it would be negative. 
They called today, Saturday, August 2nd, and relayed the news that we were positive. Just to drink a lot of water, rest, and quarantine for 14 days. 
Luckily I work from home at the moment anyway, but my boyfriend can’t work since he has to be in the office to work. 
Anyway, I mainly posted this to show that lesser symptoms are probably COVID-related too. If a free test is available to you, I’d suggest that you take it. It most likely isn’t irrational paranoia. 
*it just occurred to me that I was having pleurisy symptoms shortly before the sore throat. Every now and then, I would get a sharp pain when breathing in. It wouldn’t hurt as bad if I took shallow breaths. It would last anywhere from a minute to an hour and happened once or twice a day. 
I went to a doctor, had my blood tested, and got a chest x ray and a CT scan. I wouldn’t think that any of this would have shown signs of COVID, but I’m no doctor. 
It may have absolutely nothing to do with it and be a total coincidence, but I wanted to note it just in case.</t>
        </is>
      </c>
      <c r="D4021" t="n">
        <v>1</v>
      </c>
      <c r="E4021" t="n">
        <v>6</v>
      </c>
      <c r="F4021">
        <f>HYPERLINK("https://www.reddit.com/r/COVID19positive/comments/i2osp3/my_boyfriend_and_i_tested_positive_today_not_many/")</f>
        <v/>
      </c>
      <c r="G4021" t="inlineStr">
        <is>
          <t>2020-08-02 19:18:16</t>
        </is>
      </c>
      <c r="H4021" t="inlineStr">
        <is>
          <t>Tested Positive</t>
        </is>
      </c>
    </row>
    <row r="4022">
      <c r="A4022" t="inlineStr">
        <is>
          <t>i2q38v</t>
        </is>
      </c>
      <c r="B4022" t="inlineStr">
        <is>
          <t>Dad tested positive - presumed positive for me and my mom</t>
        </is>
      </c>
      <c r="C4022" t="inlineStr">
        <is>
          <t>So far we have really mild symptoms, my dad’s had a slight cough, fatigue, slight fever, sore throat and muscle soreness. I have a headache, slight fever, and nausea. My mom has a sore throat and slight fever.
We’ve all had symptoms for about 3 days, I’m not so worried about me but my parents since they’re older. How long did it take for your symptoms to stop getting worse? My mom and I are getting tested tomorrow but the doctor who tested my dad said we’re both presumed positive.
Basically I’m wondering what to expect. I’m 21 and my parents are both 55. I know that no two cases are the same, but basically wanted to get anecdotes because i dont know anyone else who tested positive.</t>
        </is>
      </c>
      <c r="D4022" t="n">
        <v>1</v>
      </c>
      <c r="E4022" t="n">
        <v>3</v>
      </c>
      <c r="F4022">
        <f>HYPERLINK("https://www.reddit.com/r/COVID19positive/comments/i2q38v/dad_tested_positive_presumed_positive_for_me_and/")</f>
        <v/>
      </c>
      <c r="G4022" t="inlineStr">
        <is>
          <t>2020-08-02 20:49:24</t>
        </is>
      </c>
      <c r="H4022" t="inlineStr">
        <is>
          <t>Tested Positive - Family</t>
        </is>
      </c>
    </row>
    <row r="4023">
      <c r="A4023" t="inlineStr">
        <is>
          <t>i2qbw8</t>
        </is>
      </c>
      <c r="B4023" t="inlineStr">
        <is>
          <t>My only COVID symptom was very smelly poop, anyone else?</t>
        </is>
      </c>
      <c r="C4023" t="inlineStr">
        <is>
          <t>I'm not trolling!!
I'm covid positive, 20 years old, Male. I thought it was funny that the only thing that covid has done to me is make my sh*t smell SOOOO bad (probably due to malabsorption of nutrients, a possible symptom of covid)
No cough, no fever, clear lungs, but I got stinky poop. 
I know this is a serious subreddit, but there's humor in everything so I thought I'd share something funny. 
Cheers, hope y'all are doing okay 
Lol</t>
        </is>
      </c>
      <c r="D4023" t="n">
        <v>1</v>
      </c>
      <c r="E4023" t="n">
        <v>6</v>
      </c>
      <c r="F4023">
        <f>HYPERLINK("https://www.reddit.com/r/COVID19positive/comments/i2qbw8/my_only_covid_symptom_was_very_smelly_poop_anyone/")</f>
        <v/>
      </c>
      <c r="G4023" t="inlineStr">
        <is>
          <t>2020-08-02 21:06:38</t>
        </is>
      </c>
      <c r="H4023" t="inlineStr">
        <is>
          <t>Tested Positive - Me</t>
        </is>
      </c>
    </row>
    <row r="4024">
      <c r="A4024" t="inlineStr">
        <is>
          <t>i2rf7b</t>
        </is>
      </c>
      <c r="B4024" t="inlineStr">
        <is>
          <t>What are the odds of this infection?</t>
        </is>
      </c>
      <c r="C4024" t="inlineStr">
        <is>
          <t>So me and my boyfriend had sex on a Tuesday. He found out that his mom was positive THAT next day (and he lives with his parents), Wednesday. He then took a test on Thursday that was positive. I took a test on Friday and it came back negative. I’m really surprised as i’m having the same (very very mild) symptoms as my bf. What are even the odds that after living with his symptomatic parent for a week before seeing me, and happens to get infected the very next day ? Should I take another test?</t>
        </is>
      </c>
      <c r="D4024" t="n">
        <v>1</v>
      </c>
      <c r="E4024" t="n">
        <v>2</v>
      </c>
      <c r="F4024">
        <f>HYPERLINK("https://www.reddit.com/r/COVID19positive/comments/i2rf7b/what_are_the_odds_of_this_infection/")</f>
        <v/>
      </c>
      <c r="G4024" t="inlineStr">
        <is>
          <t>2020-08-02 22:31:59</t>
        </is>
      </c>
      <c r="H4024" t="inlineStr">
        <is>
          <t>Tested Positive - Friends</t>
        </is>
      </c>
    </row>
    <row r="4025">
      <c r="A4025" t="inlineStr">
        <is>
          <t>i2sq7g</t>
        </is>
      </c>
      <c r="B4025" t="inlineStr">
        <is>
          <t>Hi, I tested positive</t>
        </is>
      </c>
      <c r="C4025" t="inlineStr">
        <is>
          <t>Hi, tested positive last week.
I had mild cold symptoms from the Friday before last until the Tuesday my test results came back. I experienced exhaustion, some muscle cramps, and occasional nausea.
Besides a lot of snot and an occasional light cough I’m doing really well 10 days later.
Just wanted to post that covid isn’t a death sentence for everyone and it’s highly likely you’ll get it. I wear masks and sanitize diligently and it still got me. But here i am. Alive. 
31/Female/WA</t>
        </is>
      </c>
      <c r="D4025" t="n">
        <v>1</v>
      </c>
      <c r="E4025" t="n">
        <v>9</v>
      </c>
      <c r="F4025">
        <f>HYPERLINK("https://www.reddit.com/r/COVID19positive/comments/i2sq7g/hi_i_tested_positive/")</f>
        <v/>
      </c>
      <c r="G4025" t="inlineStr">
        <is>
          <t>2020-08-03 00:28:09</t>
        </is>
      </c>
      <c r="H4025" t="inlineStr">
        <is>
          <t>Tested Positive - Me</t>
        </is>
      </c>
    </row>
    <row r="4026">
      <c r="A4026" t="inlineStr">
        <is>
          <t>i2svy0</t>
        </is>
      </c>
      <c r="B4026" t="inlineStr">
        <is>
          <t>Worried about lasting/unknown effects of Covid-19</t>
        </is>
      </c>
      <c r="C4026" t="inlineStr">
        <is>
          <t>Just for some reference, i’m 24 as of July 31st. I’m 5”11 and 150 pounds. My first symptom was loss of taste and smell, and it presented itself on the 5th of July. I got tested subsequently on the 7th and tested positive on the 8th. My case was relatively mild. My symptoms included loss of taste and smell, headaches, body aches, mild fever, and fatigue. I quarantined for two weeks and resumed my normal. It has been almost a month since I tested positive and I believe i’m still suffering from symptoms and inflammation. These include mild chest pain, shortness of breath, and overall I have felt as though I have been tiring out easily lately. I also suffer from pretty bad anxiety, and I’m having difficulties with these physical symptoms, because i know it could be my anxiety, but i have also been seeing that Covid-19 could cause heart damage, and my family has a history of heart disease. I don’t want to psych myself out, but the lack of concrete information is driving me crazy and making me worried i could have serious damage to my body and not even realize it. Thoughts?</t>
        </is>
      </c>
      <c r="D4026" t="n">
        <v>1</v>
      </c>
      <c r="E4026" t="n">
        <v>5</v>
      </c>
      <c r="F4026">
        <f>HYPERLINK("https://www.reddit.com/r/COVID19positive/comments/i2svy0/worried_about_lastingunknown_effects_of_covid19/")</f>
        <v/>
      </c>
      <c r="G4026" t="inlineStr">
        <is>
          <t>2020-08-03 00:42:35</t>
        </is>
      </c>
      <c r="H4026" t="inlineStr">
        <is>
          <t>Tested Positive - Me</t>
        </is>
      </c>
    </row>
    <row r="4027">
      <c r="A4027" t="inlineStr">
        <is>
          <t>i2tbfm</t>
        </is>
      </c>
      <c r="B4027" t="inlineStr">
        <is>
          <t>When to end isolation? Parents testing positive one month out from original test.</t>
        </is>
      </c>
      <c r="C4027" t="inlineStr">
        <is>
          <t>My parents both in early 60s tested positive for COVID at the beginning of June. They are both symptom free now and feeling back to normal thankfully with no hospital visit or other complications.
I was living with my parents prior to infection (I tested negative) and have since been living with my sister and brother in law during my parents isolation.
It has now been officially one month of quarantine for my parents (they were cleared after two weeks however my parents requested we quarantine away from each other longer). 
My father has tested positive for the third time today (I have read people can test positive for up to 2-3 months after original infection). He continues to get tested for work reasons.
I want to move back home, however my sister states that I will not be able to see my nieces and nephews for another month or so as I will be around my parents who are still testing positive. I explained to her that a positive test doesn’t mean they are infectious. However I want to be respectful of her wishes and will not violate that rule if I do move back... 
When should we finally end our isolation from each other as guidelines state you are good after 14 days but they continue to test positive? I want to go home as I am confident that they are not infectious anymore however rest of my family disagrees.
TLDR; 
Parents tested positive for the third time one month after 1st positive test result. Family is at odds as to when we can be around them and when I can move back in with them.</t>
        </is>
      </c>
      <c r="D4027" t="n">
        <v>1</v>
      </c>
      <c r="E4027" t="n">
        <v>5</v>
      </c>
      <c r="F4027">
        <f>HYPERLINK("https://www.reddit.com/r/COVID19positive/comments/i2tbfm/when_to_end_isolation_parents_testing_positive/")</f>
        <v/>
      </c>
      <c r="G4027" t="inlineStr">
        <is>
          <t>2020-08-03 01:23:23</t>
        </is>
      </c>
      <c r="H4027" t="inlineStr">
        <is>
          <t>Tested Positive - Family</t>
        </is>
      </c>
    </row>
    <row r="4028">
      <c r="A4028" t="inlineStr">
        <is>
          <t>i2vr7g</t>
        </is>
      </c>
      <c r="B4028" t="inlineStr">
        <is>
          <t>What is the quarantine procedure in your country once tested POSITIVE?</t>
        </is>
      </c>
      <c r="C4028" t="inlineStr">
        <is>
          <t>Hi! I was wondering how you’ve been handled once tested positive. I have to quarantine for 2 weeks, retest, and if it’s negative stay inside for another week. I have a doctor calling me everyday to check on me, and a covid positive specific helpline I can call 24/7. I am in MALTA, EUROPE.</t>
        </is>
      </c>
      <c r="D4028" t="n">
        <v>1</v>
      </c>
      <c r="E4028" t="n">
        <v>4</v>
      </c>
      <c r="F4028">
        <f>HYPERLINK("https://www.reddit.com/r/COVID19positive/comments/i2vr7g/what_is_the_quarantine_procedure_in_your_country/")</f>
        <v/>
      </c>
      <c r="G4028" t="inlineStr">
        <is>
          <t>2020-08-03 04:59:57</t>
        </is>
      </c>
      <c r="H4028" t="inlineStr">
        <is>
          <t>Tested Positive - Me</t>
        </is>
      </c>
    </row>
    <row r="4029">
      <c r="A4029" t="inlineStr">
        <is>
          <t>i2vzsr</t>
        </is>
      </c>
      <c r="B4029" t="inlineStr">
        <is>
          <t>Questions for long haulers</t>
        </is>
      </c>
      <c r="C4029" t="inlineStr">
        <is>
          <t>1. How was it determined that you were no longer contagious? 
2. Has anyone seen an infectious disease specialist and was it helpful?</t>
        </is>
      </c>
      <c r="D4029" t="n">
        <v>1</v>
      </c>
      <c r="E4029" t="n">
        <v>7</v>
      </c>
      <c r="F4029">
        <f>HYPERLINK("https://www.reddit.com/r/COVID19positive/comments/i2vzsr/questions_for_long_haulers/")</f>
        <v/>
      </c>
      <c r="G4029" t="inlineStr">
        <is>
          <t>2020-08-03 05:17:11</t>
        </is>
      </c>
      <c r="H4029" t="inlineStr">
        <is>
          <t>Presumed Positive - From Doctor</t>
        </is>
      </c>
    </row>
    <row r="4030">
      <c r="A4030" t="inlineStr">
        <is>
          <t>i2w6yc</t>
        </is>
      </c>
      <c r="B4030" t="inlineStr">
        <is>
          <t>My mom (48yo) tested positive without symptoms</t>
        </is>
      </c>
      <c r="C4030" t="inlineStr">
        <is>
          <t>Hey. So about 2 weeks ago my family knew and met with someone who turned out to be positive. We had tested together. Everyone had negative results except my mom. My mom was with some other people a day before the test. They tested and also had negative results
I'm wondering why did my mom had a positive result . But everyone else didn't. 
So it's been 10 days since the result. Mom didn't have any symptoms except a low fever for a day and had a small cough the other day. Nothing else and she's very healthy.
So could it be that the test was wrong?? And maybe it was confused with an another patient? Because everybody she had contact with didn't get nothing ..
Sorry for the bad English. It's not my first language being in Libya
Thanks for any help</t>
        </is>
      </c>
      <c r="D4030" t="n">
        <v>1</v>
      </c>
      <c r="E4030" t="n">
        <v>2</v>
      </c>
      <c r="F4030">
        <f>HYPERLINK("https://www.reddit.com/r/COVID19positive/comments/i2w6yc/my_mom_48yo_tested_positive_without_symptoms/")</f>
        <v/>
      </c>
      <c r="G4030" t="inlineStr">
        <is>
          <t>2020-08-03 05:31:22</t>
        </is>
      </c>
      <c r="H4030" t="inlineStr">
        <is>
          <t>Tested Positive - Family</t>
        </is>
      </c>
    </row>
    <row r="4031">
      <c r="A4031" t="inlineStr">
        <is>
          <t>i2wek5</t>
        </is>
      </c>
      <c r="B4031" t="inlineStr">
        <is>
          <t>Mom (48yo) tested positive with hardly any symptoms</t>
        </is>
      </c>
      <c r="C4031" t="inlineStr">
        <is>
          <t>Hey. So about 2 weeks ago my family knew and met with someone who turned out to be positive. We had tested together. Everyone had negative results except my mom. My mom was with some other people a day before the test. They tested and also had negative results
I'm wondering why did my mom had a positive result . But everyone else didn't. 
So it's been 10 days since the result. Mom didn't have any symptoms except a low fever for a day and had a small cough the other day. Nothing else and she's very healthy.
So could it be that the test was wrong?? And maybe it was confused with an another patient? Because everybody she had contact with didn't get nothing ..
Sorry for the bad English. It's not my first language being in Libya
Thanks for any help</t>
        </is>
      </c>
      <c r="D4031" t="n">
        <v>1</v>
      </c>
      <c r="E4031" t="n">
        <v>4</v>
      </c>
      <c r="F4031">
        <f>HYPERLINK("https://www.reddit.com/r/COVID19positive/comments/i2wek5/mom_48yo_tested_positive_with_hardly_any_symptoms/")</f>
        <v/>
      </c>
      <c r="G4031" t="inlineStr">
        <is>
          <t>2020-08-03 05:46:34</t>
        </is>
      </c>
      <c r="H4031" t="inlineStr">
        <is>
          <t>Tested Positive - Family</t>
        </is>
      </c>
    </row>
    <row r="4032">
      <c r="A4032" t="inlineStr">
        <is>
          <t>i2wnqz</t>
        </is>
      </c>
      <c r="B4032" t="inlineStr">
        <is>
          <t>Lingering bad breath a few weeks after getting better?</t>
        </is>
      </c>
      <c r="C4032" t="inlineStr">
        <is>
          <t>July 16 I got sick, July 20 was the worst since day 1 but I didn't end up going to the ER. My test results from 7/19 came back 7/21 negative. Despite the negative results my doc figured I had it and didn't want to see me just advised me to stay clear of everyone except for my wife who also tested negative but had completely different symptoms. The week after I had pretty minimal symptoms but some things still lingered. Things have been better and better but I'm still noticing that going back to 7/19 when I wore a mask to get my test done I've had terrible bad breath and still do. I wore a mask every time I was out starting in early march so that isn't new but the bad breath is. Should I be concerned by this? Thanks!</t>
        </is>
      </c>
      <c r="D4032" t="n">
        <v>1</v>
      </c>
      <c r="E4032" t="n">
        <v>2</v>
      </c>
      <c r="F4032">
        <f>HYPERLINK("https://www.reddit.com/r/COVID19positive/comments/i2wnqz/lingering_bad_breath_a_few_weeks_after_getting/")</f>
        <v/>
      </c>
      <c r="G4032" t="inlineStr">
        <is>
          <t>2020-08-03 06:04:18</t>
        </is>
      </c>
      <c r="H4032" t="inlineStr">
        <is>
          <t>Presumed Positive - From Doctor</t>
        </is>
      </c>
    </row>
    <row r="4033">
      <c r="A4033" t="inlineStr">
        <is>
          <t>i2wohn</t>
        </is>
      </c>
      <c r="B4033" t="inlineStr">
        <is>
          <t>Never would’ve known I had it if I didn’t lose taste</t>
        </is>
      </c>
      <c r="C4033" t="inlineStr">
        <is>
          <t>Was recently exposed at a high school grad party and had to quarantine for 2 weeks. Now I am 18, healthy, and active, but this virus did not even touch me. No fever no cough no body aches, just couldn’t taste or smell anything. If you’re young and get it, chances are you’ll be the same way. 90% of my friends reacted the same way. Regardless though, quarantine and stop the spread.</t>
        </is>
      </c>
      <c r="D4033" t="n">
        <v>1</v>
      </c>
      <c r="E4033" t="n">
        <v>10</v>
      </c>
      <c r="F4033">
        <f>HYPERLINK("https://www.reddit.com/r/COVID19positive/comments/i2wohn/never_wouldve_known_i_had_it_if_i_didnt_lose_taste/")</f>
        <v/>
      </c>
      <c r="G4033" t="inlineStr">
        <is>
          <t>2020-08-03 06:05:37</t>
        </is>
      </c>
      <c r="H4033" t="inlineStr">
        <is>
          <t>Tested Positive - Me</t>
        </is>
      </c>
    </row>
    <row r="4034">
      <c r="A4034" t="inlineStr">
        <is>
          <t>i2wrid</t>
        </is>
      </c>
      <c r="B4034" t="inlineStr">
        <is>
          <t>Need to vent about this and don’t know what other subreddit to post on</t>
        </is>
      </c>
      <c r="C4034" t="inlineStr">
        <is>
          <t>My dad passed away on July 21st (due to complications from bitch ass COVID) and we haven’t had any type of funeral or memorial service for him and we won’t. I just asked my mom a few minutes ago if we could do a “velacion” (the word in English for this is probably wake but I’m not sure) for him next year when all this bs is over and she said yes. So apart from not being able to visit him in the hospital while he was still alive and not being able to be there for him physically when he died, now this fucking virus won’t even let us have a memorial service/wake for him. And obviously my mom had to choose to cremate him even though we all didn’t want that, but my mom and none of us wanted to risk others getting infected. Apart from all this 2 of my other family members and possibly myself got infected so the stress levels that we’ve all been put through this past month wondering if we were gonna live or die is impossible to describe in words. I already had ptsd, but I think this just added a whole new level of it.</t>
        </is>
      </c>
      <c r="D4034" t="n">
        <v>1</v>
      </c>
      <c r="E4034" t="n">
        <v>45</v>
      </c>
      <c r="F4034">
        <f>HYPERLINK("https://www.reddit.com/r/COVID19positive/comments/i2wrid/need_to_vent_about_this_and_dont_know_what_other/")</f>
        <v/>
      </c>
      <c r="G4034" t="inlineStr">
        <is>
          <t>2020-08-03 06:11:10</t>
        </is>
      </c>
      <c r="H4034" t="inlineStr">
        <is>
          <t>Presumed Positive - From Test</t>
        </is>
      </c>
    </row>
    <row r="4035">
      <c r="A4035" t="inlineStr">
        <is>
          <t>i2xwp3</t>
        </is>
      </c>
      <c r="B4035" t="inlineStr">
        <is>
          <t>Increased weakness to heat?</t>
        </is>
      </c>
      <c r="C4035" t="inlineStr">
        <is>
          <t>I had the virus back in March but now that we're getting into summer I'm noticing that the heat is hitting me harder than it used to.  I've lived in the desert for over 20 years and usually it needs to get well above 100 for me to start really feeling it, but the last couple months I feel like I've come close to getting heat stroke more than once, it's like my general tolerance for heat went down by about 10-15 degrees.  Has anyone else experienced this?  Can't decide if it's an aftereffect of the virus or if I'm just noticing the heat more because I'm spending so much time at home in the A/C compared to a normal year.</t>
        </is>
      </c>
      <c r="D4035" t="n">
        <v>1</v>
      </c>
      <c r="E4035" t="n">
        <v>8</v>
      </c>
      <c r="F4035">
        <f>HYPERLINK("https://www.reddit.com/r/COVID19positive/comments/i2xwp3/increased_weakness_to_heat/")</f>
        <v/>
      </c>
      <c r="G4035" t="inlineStr">
        <is>
          <t>2020-08-03 07:23:19</t>
        </is>
      </c>
      <c r="H4035" t="inlineStr">
        <is>
          <t>Presumed Positive - From Doctor</t>
        </is>
      </c>
    </row>
    <row r="4036">
      <c r="A4036" t="inlineStr">
        <is>
          <t>i2yp3b</t>
        </is>
      </c>
      <c r="B4036" t="inlineStr">
        <is>
          <t>5 Weeks of symptoms, still managing</t>
        </is>
      </c>
      <c r="C4036" t="inlineStr">
        <is>
          <t>I haven't gotten an official positive test but my entire household started showing symptoms about 6 or 7 weeks ago. My grandparents tests were positive, and my grandparents didn't bother testing us. I'm 18, my grandparents are 70 each, and my brother is 19. I took care of them until I started getting sicker, in which I still tried to for a bit until I started showing immediate stronger symptoms. I was basically bedridden for a week (could only get out of bed for short periods of time to get water, food, and use the restroom.)
I'm asthmatic depending on how bad allergy season is, and just my luck that Arizona decided to have the worst allergy season that I have ever experienced. I had bronchitis before I got COVID, and I swear to god after I got COVID my lungs and throat burned for four weeks. It was awful.
I have a terrible immune system and tend to get sick every month, so I expected this virus wouldn't be fairing well for me. My head has started to pound and ache considerably. I already have trauma-related brain fog (PTSD) but since I've gotten COVID it's gotten so much worse. I sometimes forget how to write common words, or I'll get this overwhelming wave of brain fog and nausea that'll make me blank completely. It feels like my brain has turned to mush. I have no other option but to lay down and close my eyes until I feel better. It sucks. I have recently regained taste and smell though, which is a relief.
All in all, this pandemic sucks. Does anyone else relate? I'd list more symptoms and examples but I've forgot, which is an example within itself. I'll update this post when I remember.</t>
        </is>
      </c>
      <c r="D4036" t="n">
        <v>1</v>
      </c>
      <c r="E4036" t="n">
        <v>4</v>
      </c>
      <c r="F4036">
        <f>HYPERLINK("https://www.reddit.com/r/COVID19positive/comments/i2yp3b/5_weeks_of_symptoms_still_managing/")</f>
        <v/>
      </c>
      <c r="G4036" t="inlineStr">
        <is>
          <t>2020-08-03 08:09:07</t>
        </is>
      </c>
      <c r="H4036" t="inlineStr">
        <is>
          <t>Tested Positive - Family</t>
        </is>
      </c>
    </row>
    <row r="4037">
      <c r="A4037" t="inlineStr">
        <is>
          <t>i2yvs5</t>
        </is>
      </c>
      <c r="B4037" t="inlineStr">
        <is>
          <t>Tested Negative Twice, Husband is Positive</t>
        </is>
      </c>
      <c r="C4037" t="inlineStr">
        <is>
          <t>After being insanely strict about following quarantine and isolation guidelines, my husband tested positive for the virus. As soon as he did I took our daughter and myself to get tested. It took five days to get those results and in the meantime our daughter developed a sore throat and I developed extreme fatigue, dry cough and shortness of breath. Once the health dept called to let us know about our quarantine orders, I talked to them about our symptoms. They were so sure that we had it they sent two more tests to our house to retest my daughter and myself. That was Friday. Over the weekend I felt the worst I’ve ever felt. Fever, chills, a pounding headache, and a dry cough that just won’t quit. They just called again today to say those results were negative too. I feel like I am losing my mind! I’m planning on continuing to isolate like we have it but just the confirmation from the test would have helped so much. 
Are false negatives extremely common? I understand that there are other viruses out there that have the same symptoms but we haven’t been around ANYONE.</t>
        </is>
      </c>
      <c r="D4037" t="n">
        <v>1</v>
      </c>
      <c r="E4037" t="n">
        <v>12</v>
      </c>
      <c r="F4037">
        <f>HYPERLINK("https://www.reddit.com/r/COVID19positive/comments/i2yvs5/tested_negative_twice_husband_is_positive/")</f>
        <v/>
      </c>
      <c r="G4037" t="inlineStr">
        <is>
          <t>2020-08-03 08:19:09</t>
        </is>
      </c>
      <c r="H4037" t="inlineStr">
        <is>
          <t>Presumed Positive - From Doctor</t>
        </is>
      </c>
    </row>
    <row r="4038">
      <c r="A4038" t="inlineStr">
        <is>
          <t>i3023r</t>
        </is>
      </c>
      <c r="B4038" t="inlineStr">
        <is>
          <t>Tested negative/ furious</t>
        </is>
      </c>
      <c r="C4038" t="inlineStr">
        <is>
          <t>I’m just venting, but I’m beyond furious! Let’s see in the last 6 days I’ve had sore throat, extreme fatigue, muscle aches, a pounding headache, fever, diarrhea,shortness of breathe yet I test negative??? I feel like someone’s fist is in the middle of my chest. Pounding head ache for days. I’m so upset. I own a business, and I just don’t know what to do. I’m still going to assume I have it, but wtf. Oh and the nurse said all my symptoms sound like covid, and I should get retested .. I don’t even want to at this point idk.</t>
        </is>
      </c>
      <c r="D4038" t="n">
        <v>1</v>
      </c>
      <c r="E4038" t="n">
        <v>12</v>
      </c>
      <c r="F4038">
        <f>HYPERLINK("https://www.reddit.com/r/COVID19positive/comments/i3023r/tested_negative_furious/")</f>
        <v/>
      </c>
      <c r="G4038" t="inlineStr">
        <is>
          <t>2020-08-03 09:23:29</t>
        </is>
      </c>
      <c r="H4038" t="inlineStr">
        <is>
          <t>Presumed Positive - From Doctor</t>
        </is>
      </c>
    </row>
    <row r="4039">
      <c r="A4039" t="inlineStr">
        <is>
          <t>i3098z</t>
        </is>
      </c>
      <c r="B4039" t="inlineStr">
        <is>
          <t>I don't feel so good...</t>
        </is>
      </c>
      <c r="C4039" t="inlineStr">
        <is>
          <t>So, from yesterday midnight, my body is unable to keep up with my mind. I feel tired all the time, had a 102°F fever yesterday, felt better in the evening, with 98.6°F and went to a drugstore. Came back, fever back to 99.7°F (100.7°F as of writing this). Soar-throat. Sweating way too much and no signs of coughing or problem in breathing (Though it got pretty hard to breathe when I was just walking to the store).
I have an oximeter, it showed normal results everytime I checked [95-99(avg 97), oxygen ; 59-114(avg somewhere in 80es) pulse]. I'm yet to visit a doctor as 2nd of august was sunday, and 3rd of August, today is a holiday in India (Raksha Bhandan ; Festival). Both days doctors were not present. 
According to Internet, Oximeter works but I can't just trust it. 
Why I'm confused between covid and cold you ask? (You can skip this part and give me suggestions after the last paragraph, if you think this should not be important, but it is a detailed explanation of what happened.)
 Reason 1: This starts on 1st of August,  when I slept for only 4.5 hours(flag 1), after wathing a movie from 8AM to 12:30PM I had Buttermilk Half a litre(flag 2) (sour milk left after making butter, served chilled') after lunch at 1:30 PM went and spend my day as usual one difference being I went to a Doctor with my Grandma for her Diabities checkup(flag 3) I needed to get her to have a blood test, next day 7:30AM with an empty stomach, . And, by the night I was too sleepy, but heard that a friend of mine who used to live here before, his niece was admitted in the same hospital nearby and he might need to sleep at our place at night (flag 4) as there was no place for him to sleep and he lived about 12Kms away. I had to stay awake, somehow wasn't felling hungry so I took a bath at probably 1 AM and I ate at like 1:30 AM, with another 500ML packet of ButterMilk, that I knew I shouldn't have but I drank it anyways like always...
(Flag 5)
2:30AM friend arrives to sleep and It took me an hour to to sleep, slept after 3:30AM woke up at 6:30, 3 hours lf sleep(Flag 6). Went with my Grandma for her test. Later got to know now we need to do it once more after 2 Hours with filled stomach. I was moving under the sun, a really bright sun for 1.5 Hours straight. After coming back home took my temperature, it was 102°F. And now for the last part.
I realised that it should be common cold or a throat infection. 
But my sister and mother who were looking after me for the whole day yesterday are having same problems pain in throat and fever. Though they were not in the best condition to begin with (low immunity in both of them, they get fever and even disease pretty easily, from as long as I can remember, in contrast I have a lock solid Immune system. This is the first time in years I had such a fever, never had a disease either).
_________________________________________________________
I doubt this is covid as we do clean our house, sanatize our home thing that arrive at home. Take a bath every single time expect the times we went down and came back up (3rd floor, we still sanatize ourselves though). 
I'm worried about my family, it will be my fault, I think. I don't know if this was the right place to put this up but please help. Thank you very much for reading. I need your help!
*Quick update: It took me about an hour to arrange the words and write this but I just took my temperature now and it is down to 99.4°F.</t>
        </is>
      </c>
      <c r="D4039" t="n">
        <v>1</v>
      </c>
      <c r="E4039" t="n">
        <v>8</v>
      </c>
      <c r="F4039">
        <f>HYPERLINK("https://www.reddit.com/r/COVID19positive/comments/i3098z/i_dont_feel_so_good/")</f>
        <v/>
      </c>
      <c r="G4039" t="inlineStr">
        <is>
          <t>2020-08-03 09:33:53</t>
        </is>
      </c>
      <c r="H4039" t="inlineStr">
        <is>
          <t>Presumed Positive - From Test</t>
        </is>
      </c>
    </row>
    <row r="4040">
      <c r="A4040" t="inlineStr">
        <is>
          <t>i311ja</t>
        </is>
      </c>
      <c r="B4040" t="inlineStr">
        <is>
          <t>Can children transmit COVID-19 to adults?</t>
        </is>
      </c>
      <c r="C4040" t="inlineStr">
        <is>
          <t>Our son tested positive for COVID-19 on 7/27. My husband, our daughter, and I got tested on 7/30, and we came back negative (we're going to get retested today). The doctor said that they were most likely false negatives because we tested too early. She said our son will be contagious 10 days after his positive, and then we must isolate 14 days after his 10 days because we could catch it anytime in that timeframe, and it could take 14 days to show symptoms.
My husband's google-happy boss wants him to come back to work early because he read that children can't even transmit the virus to adults, which is total bull. 
The doctor who did our testing confirmed that they've had cases at their location in which children have passed the virus to adults. She said she would write a work excuse to cover him the 24 days, but his boss is adamant that he can't cover him under covid pay unless the CDC is in line with what the doctor says; however, there doesn't seem to be any evidence one way or the other.
Have any of you caught covid from your kids? I'm pretty sure his boss is just full of poop, but he's trying to deny my husband pay based on this speculation. If anyone can help us find a formal statement about the transmission of children to adults, we'd really appreciate it.</t>
        </is>
      </c>
      <c r="D4040" t="n">
        <v>1</v>
      </c>
      <c r="E4040" t="n">
        <v>26</v>
      </c>
      <c r="F4040">
        <f>HYPERLINK("https://www.reddit.com/r/COVID19positive/comments/i311ja/can_children_transmit_covid19_to_adults/")</f>
        <v/>
      </c>
      <c r="G4040" t="inlineStr">
        <is>
          <t>2020-08-03 10:13:46</t>
        </is>
      </c>
      <c r="H4040" t="inlineStr">
        <is>
          <t>Tested Positive - Family</t>
        </is>
      </c>
    </row>
    <row r="4041">
      <c r="A4041" t="inlineStr">
        <is>
          <t>i314i0</t>
        </is>
      </c>
      <c r="B4041" t="inlineStr">
        <is>
          <t>Those who recovered, were you able to love your life the same prior to being sick? Or did life make you scared?</t>
        </is>
      </c>
      <c r="C4041" t="inlineStr">
        <is>
          <t>So I recovered over a week ago and I’ve been out of quarantine. For the most part I feel like myself minus the digestion issues I’ve developed from days of diarrhea and my body working on getting things to normal. I found that ginger tea works the best compared to the other anti acids. My friends wanted to see me as soon as I got out of quarantine which I find fine. But sometimes I get low key scared going around people because I am afraid I’ll catch the virus again and it will be worse. I understand that I will have to live my life especially, since I would like to try and find a job in the next month or so. But going around too many ppl still makes me uneasy at first, until I calm down and feel ok. My parents are freaking out because I’ve been going out and them panicking only makes me feel worse than I already did. How were you able to go about your life. Or were you ever able to return to normal? I’m 27 if that helps.</t>
        </is>
      </c>
      <c r="D4041" t="n">
        <v>1</v>
      </c>
      <c r="E4041" t="n">
        <v>10</v>
      </c>
      <c r="F4041">
        <f>HYPERLINK("https://www.reddit.com/r/COVID19positive/comments/i314i0/those_who_recovered_were_you_able_to_love_your/")</f>
        <v/>
      </c>
      <c r="G4041" t="inlineStr">
        <is>
          <t>2020-08-03 10:17:57</t>
        </is>
      </c>
      <c r="H4041" t="inlineStr">
        <is>
          <t>Tested Positive</t>
        </is>
      </c>
    </row>
    <row r="4042">
      <c r="A4042" t="inlineStr">
        <is>
          <t>i31sq1</t>
        </is>
      </c>
      <c r="B4042" t="inlineStr">
        <is>
          <t>Abdomen pain- when is it concerning?</t>
        </is>
      </c>
      <c r="C4042" t="inlineStr">
        <is>
          <t>I tested positive July 24th and the only symptoms I seem to have left is loss of smell and taste and abdomen pain. The abdomen pain is very new. When going to bed last night, I couldn’t get comfortable and felt a dull pain in my upper abdomen. I was more active yesterday so I thought I was just worn out. But today it seems to be worse and when I move and is a constant dull pain. Another concerning factor was 2 nights ago I woke up with the worst pain in my stomach I’ve ever had at 3 am. I immediately threw up and had diarrhea. Should I go see medical treatment, or just kinda toss it to the side? Idk I just don’t want to overreact or under react 🙃</t>
        </is>
      </c>
      <c r="D4042" t="n">
        <v>1</v>
      </c>
      <c r="E4042" t="n">
        <v>3</v>
      </c>
      <c r="F4042">
        <f>HYPERLINK("https://www.reddit.com/r/COVID19positive/comments/i31sq1/abdomen_pain_when_is_it_concerning/")</f>
        <v/>
      </c>
      <c r="G4042" t="inlineStr">
        <is>
          <t>2020-08-03 10:51:41</t>
        </is>
      </c>
      <c r="H4042" t="inlineStr">
        <is>
          <t>Tested Positive - Me</t>
        </is>
      </c>
    </row>
    <row r="4043">
      <c r="A4043" t="inlineStr">
        <is>
          <t>i31uzu</t>
        </is>
      </c>
      <c r="B4043" t="inlineStr">
        <is>
          <t>Any recovered Covid Patients have neurological damage?</t>
        </is>
      </c>
      <c r="C4043" t="inlineStr">
        <is>
          <t>I had the disease in the middle of May 2020. I recovered in about a week. By 2 weeks I felt great, however I do have lingering symptoms, mainly nervous and cognitive symptoms. I tend to feel "foggy" I sometimes can't focus and loose my train of thought very easily. Sometimes I get dizzy, especially at work staring at my computer for somewhat long periods of time.
&amp;amp;#x200B;
Also my calf muscles twitch a lot more (looks like there are bugs moving under my skin) as well as muscles in my chest (they almost feel like palpitations, but I know they aren't my heart because I feel my pulse when it happens and heartbeat is normal, the spasms in my chest are not related), however they have caused my heart to palpitate because when they start up sudddenly I get anxious and it's really all connected. My stomach will also sometimes feel like there is electrical currents buzzing in it, which tenses it and causes indigestion and heartburn..
&amp;amp;#x200B;
Does anyone know if this will get any better?.. hopefully it doesn't get worse!?</t>
        </is>
      </c>
      <c r="D4043" t="n">
        <v>1</v>
      </c>
      <c r="E4043" t="n">
        <v>25</v>
      </c>
      <c r="F4043">
        <f>HYPERLINK("https://www.reddit.com/r/COVID19positive/comments/i31uzu/any_recovered_covid_patients_have_neurological/")</f>
        <v/>
      </c>
      <c r="G4043" t="inlineStr">
        <is>
          <t>2020-08-03 10:54:51</t>
        </is>
      </c>
      <c r="H4043" t="inlineStr">
        <is>
          <t>Tested Positive - Me</t>
        </is>
      </c>
    </row>
    <row r="4044">
      <c r="A4044" t="inlineStr">
        <is>
          <t>i335n2</t>
        </is>
      </c>
      <c r="B4044" t="inlineStr">
        <is>
          <t>This is not a cold! This is something else!</t>
        </is>
      </c>
      <c r="C4044" t="inlineStr">
        <is>
          <t>I’m 25F.  
Day1: A week ago I woke up with a massive headache. I thought it was due to the stressful week I had. So I went back to sleep then I woke up with a horrible body aches. I knew right there it was COVID. I hardly get sick. So for me to get this sick within a short period of time, I knew it was a red flag. I warned my family members, called off work, and got tested the next day. My fever that nite went from 99.5 -&amp;gt; 102.5 
Day 2: Headaches, body sweats, fatigue, and loss of appetite. Went to the doctor to get tested. 
Days 3: Headaches, body sweats, fatigue, and loss of appetite, and diarrhea. Results in Tested positive. 
Day 4: lost sense of smell and taste. Headaches, body sweats, fatigue, and loss of appetite.
Day 5: lost sense of smell and taste. Headaches, body sweats, fatigue, and loss of appetite.
Day 6: lost sense of smell and taste. Headaches, body sweats, fatigue, and loss of appetite. 
Tomorrow is day 7. I feel like I’m getting my taste back just by 5%. Still can’t smell anything. My headaches are still the same. I get nauseous when I eat something’s. 
This is not a regular cold. This is some man made virus! I’ve never felt anything like this. This not like the flu or the common cold.</t>
        </is>
      </c>
      <c r="D4044" t="n">
        <v>1</v>
      </c>
      <c r="E4044" t="n">
        <v>4</v>
      </c>
      <c r="F4044">
        <f>HYPERLINK("https://www.reddit.com/r/COVID19positive/comments/i335n2/this_is_not_a_cold_this_is_something_else/")</f>
        <v/>
      </c>
      <c r="G4044" t="inlineStr">
        <is>
          <t>2020-08-03 12:00:30</t>
        </is>
      </c>
      <c r="H4044" t="inlineStr">
        <is>
          <t>Tested Positive - Me</t>
        </is>
      </c>
    </row>
    <row r="4045">
      <c r="A4045" t="inlineStr">
        <is>
          <t>i343nh</t>
        </is>
      </c>
      <c r="B4045" t="inlineStr">
        <is>
          <t>Finally feeling relief after 10 days.</t>
        </is>
      </c>
      <c r="C4045" t="inlineStr">
        <is>
          <t>Started feeling ill on the 24th. Tested positive (swabbed on 25th but didn't get result until 29th).
I've had 10 days of temps between 99.5 and 101.8 continuously. Cough, headache, confession, nasal drip, muscle and joint aches, general malaise, loss of appetite, dizziness and back pain (which I think bothered me the most).  To sum it up, it felt like a long flu, except where flu usually knocks me out a few days, this has kept me sick over a week. The other oddity is that with a normal viral illness, my fever trends to spike and then break with a sweat. While this fever would decrease somewhat, I would never sweat except when taking Tylenol.
Wife tested negative but has also been feeling ill and initially had milder symptoms than me.
I take no medications, but began taking pepcid, benadryl, multivitamin, and other things like Tylenol, ibuprofen, robitussin DM, etc for symptom relief. I usually did not treat my fever unless I needed sleep or had severe back pain. Otherwise, anything 101.4 and lower is technically theraputic, right?
Wife is on too many medications to count including controversial plaquenil for her Lupus. I can see no benefit or detriment. An infectious disease doctor we know personally recommended I take it as well, but I refused seeing no need to introduce anything unnecessary. This would be a hell of a time to discover a new allergy, eh?</t>
        </is>
      </c>
      <c r="D4045" t="n">
        <v>1</v>
      </c>
      <c r="E4045" t="n">
        <v>11</v>
      </c>
      <c r="F4045">
        <f>HYPERLINK("https://www.reddit.com/r/COVID19positive/comments/i343nh/finally_feeling_relief_after_10_days/")</f>
        <v/>
      </c>
      <c r="G4045" t="inlineStr">
        <is>
          <t>2020-08-03 12:48:54</t>
        </is>
      </c>
      <c r="H4045" t="inlineStr">
        <is>
          <t>Tested Positive</t>
        </is>
      </c>
    </row>
    <row r="4046">
      <c r="A4046" t="inlineStr">
        <is>
          <t>i34k3g</t>
        </is>
      </c>
      <c r="B4046" t="inlineStr">
        <is>
          <t>Am I gonna die?</t>
        </is>
      </c>
      <c r="C4046" t="inlineStr">
        <is>
          <t>Hey. I tested positive for coronavirus and eversince I've been freaking out.
I have shortness of breath but whenever I try to take a deep breath I feel a bit of pain in my left lung. my temp is high I have a dry cough. I've been taking lots of medication but sadly my condition is not improving
I can breath fine normally and my doctor said I don't need a ventilator. he gave me some antibiotics that I've been taking for a week now but sadly no signs of improvements have appeared
&amp;amp;#x200B;
is that bad? and is there a chance that I'm not gonna die? 
I'm 22 btw</t>
        </is>
      </c>
      <c r="D4046" t="n">
        <v>1</v>
      </c>
      <c r="E4046" t="n">
        <v>73</v>
      </c>
      <c r="F4046">
        <f>HYPERLINK("https://www.reddit.com/r/COVID19positive/comments/i34k3g/am_i_gonna_die/")</f>
        <v/>
      </c>
      <c r="G4046" t="inlineStr">
        <is>
          <t>2020-08-03 13:12:23</t>
        </is>
      </c>
      <c r="H4046" t="inlineStr">
        <is>
          <t>Tested Positive</t>
        </is>
      </c>
    </row>
    <row r="4047">
      <c r="A4047" t="inlineStr">
        <is>
          <t>i35adf</t>
        </is>
      </c>
      <c r="B4047" t="inlineStr">
        <is>
          <t>Covid positive family of 5</t>
        </is>
      </c>
      <c r="C4047" t="inlineStr">
        <is>
          <t>my 3 kids, my husband, and i had covid and were quarantined for 5 week.  we are all negative now thank god.  we all had different experiences and i had the worst anxiety of my life.  I am now trying to reach out to others to help them through this process.  
I am here to help support anyone or answer any questions about our experience.  we are in az.
My instagram is: mistyspillsthebeans and I have a lot of videos there documenting my experience</t>
        </is>
      </c>
      <c r="D4047" t="n">
        <v>1</v>
      </c>
      <c r="E4047" t="n">
        <v>18</v>
      </c>
      <c r="F4047">
        <f>HYPERLINK("https://www.reddit.com/r/COVID19positive/comments/i35adf/covid_positive_family_of_5/")</f>
        <v/>
      </c>
      <c r="G4047" t="inlineStr">
        <is>
          <t>2020-08-03 13:49:36</t>
        </is>
      </c>
      <c r="H4047" t="inlineStr">
        <is>
          <t>Tested Positive - Me</t>
        </is>
      </c>
    </row>
    <row r="4048">
      <c r="A4048" t="inlineStr">
        <is>
          <t>i35aeu</t>
        </is>
      </c>
      <c r="B4048" t="inlineStr">
        <is>
          <t>What brought you comfort in isolation?</t>
        </is>
      </c>
      <c r="C4048" t="inlineStr">
        <is>
          <t>My best friend just tested positive, she is symptomatic and quarantined at the small side house she built for her mother.  So far her husband and son are negative, son’s live-in girlfriend and her mother’s results not in yet. My friend has the worst luck of anyone I’ve ever met, so even with her being so careful I’m sadly not surprised. She was in the hospital last month for diverticulitis and had bowel surgery followed by a pulmonary embolism. Her mother has Alzheimer’s and she is terrified she has infected her. Her sister literally just arrived after driving across the country with her kids to visit mom and had to turn around and leave. BFF is very depressed and this is day one of diagnosis. I feel totally helpless and am wondering what, if anything, brought you a little comfort or a tiny bit of joy in your confinement?</t>
        </is>
      </c>
      <c r="D4048" t="n">
        <v>1</v>
      </c>
      <c r="E4048" t="n">
        <v>10</v>
      </c>
      <c r="F4048">
        <f>HYPERLINK("https://www.reddit.com/r/COVID19positive/comments/i35aeu/what_brought_you_comfort_in_isolation/")</f>
        <v/>
      </c>
      <c r="G4048" t="inlineStr">
        <is>
          <t>2020-08-03 13:49:40</t>
        </is>
      </c>
      <c r="H4048" t="inlineStr">
        <is>
          <t>Tested Positive - Friends</t>
        </is>
      </c>
    </row>
    <row r="4049">
      <c r="A4049" t="inlineStr">
        <is>
          <t>i35ok3</t>
        </is>
      </c>
      <c r="B4049" t="inlineStr">
        <is>
          <t>What am I missing?</t>
        </is>
      </c>
      <c r="C4049" t="inlineStr">
        <is>
          <t>I contracted Covid at the end of June, with my first symptoms showing up on July 4th. I noticed a sore throat and tested positive on July 8th. I have since tested negative twice, however I am still having symptoms.
Personal history: GERD - controlled by surgery with no need for medication at this time
July 4-July 13 symptoms: fatigue, mild sore throat, ear pain, congestion, headache, kidney pain, hot flashes/sweats, dizziness, shortness of breath, chest pain
Symptoms seem to get better after that, but I was still left with a sore throat and fatigue. Over the past 2 weeks, I've noticed an increase in my fatigue (slept almost all day for 3 days straight), sore throat, sinus congestion, lightheaded, and GI symptoms including nausea, vomiting, and diarrhea. I've also had abdominal pain and back pain. All of these symptoms are more severe than when I actually was positive for Covid.
I can't tell if this is a new infection of something else, or just a resurgence of Covid. I have ruled out strep and mono and started a z-pack yesterday but doesn't seem to be helping.
What am I missing? Every doctor I've talked to has no idea what's wrong.</t>
        </is>
      </c>
      <c r="D4049" t="n">
        <v>1</v>
      </c>
      <c r="E4049" t="n">
        <v>10</v>
      </c>
      <c r="F4049">
        <f>HYPERLINK("https://www.reddit.com/r/COVID19positive/comments/i35ok3/what_am_i_missing/")</f>
        <v/>
      </c>
      <c r="G4049" t="inlineStr">
        <is>
          <t>2020-08-03 14:10:13</t>
        </is>
      </c>
      <c r="H4049" t="inlineStr">
        <is>
          <t>Tested Positive - Me</t>
        </is>
      </c>
    </row>
    <row r="4050">
      <c r="A4050" t="inlineStr">
        <is>
          <t>i365zc</t>
        </is>
      </c>
      <c r="B4050" t="inlineStr">
        <is>
          <t>I just need to vent.</t>
        </is>
      </c>
      <c r="C4050" t="inlineStr">
        <is>
          <t>I think I was borderline prediabetic when I got my annual check up last year. But the beginning of this year I started working out and trying to eat better. I felt good and lost about 20 lbs from January to June. I got down to 235 lbs. I'm 6ft 1 in used to run 1to2 miles every other day. Then I caught covid. It's been about 44 days since 1st day of symptoms. I also tested negative on the 30 day mark. But I'm now getting worried. Through the 30 days I only lost 7lbs. Now I'm still losing weight (about 1 a week) even though most of my symptoms have gotten a lot better. Right now I can't drink a soda with out feeling a lot of pressure in my upper body and head with so much tiredness that lasts hours. So I cut out soda. If I eat heavy meals like bbq, beans and rice like I used to on the weekends, I get the same feeling again. Heavy tiredness, pressure in upper body and  head. The main thing I question is, are my symptoms from post covid or is my body having diabetic symptoms? I will probably set up blood work and get an appointment with my doctor soon. Just curious if anyone else is going through the same thing? Btw one food that I found that makes me feel better is watermelon. Also I do feel like my anxiety depression did get a little worse. But I don't think my symptoms are from that. Is anyone else going through this? Im on day 44 and I don't feel good. Also sometimes my skin on my arms feel warm. Like if I'm sitting in the sun. I've also noticed that my thumbnails on both hands look dark purple compared to rest of  my fingers. My pulse oximeter reading is a steady 96-97% oxygen. So maybe my thumbnails were like that already. I'm still sleeping like 12 hours a day and still feel tired. Not mentally tired because I do want to do a lot of things around the house, just feel physically tired on and off. So I just do a little around the house and rest for the most part. What is happening. I want this to stop. I wish this could all go away completely.</t>
        </is>
      </c>
      <c r="D4050" t="n">
        <v>1</v>
      </c>
      <c r="E4050" t="n">
        <v>5</v>
      </c>
      <c r="F4050">
        <f>HYPERLINK("https://www.reddit.com/r/COVID19positive/comments/i365zc/i_just_need_to_vent/")</f>
        <v/>
      </c>
      <c r="G4050" t="inlineStr">
        <is>
          <t>2020-08-03 14:35:43</t>
        </is>
      </c>
      <c r="H4050" t="inlineStr">
        <is>
          <t>Tested Positive - Me</t>
        </is>
      </c>
    </row>
    <row r="4051">
      <c r="A4051" t="inlineStr">
        <is>
          <t>i370qn</t>
        </is>
      </c>
      <c r="B4051" t="inlineStr">
        <is>
          <t>22 days still testing positive no symptoms</t>
        </is>
      </c>
      <c r="C4051" t="inlineStr">
        <is>
          <t>I tested positive on the 12th had symptoms for about a week main symptom was los of smell . That has came back about 80% overall asymptomatic . I tested positive again on the 22nd of July and the 28th i retested positive again , my next test is tomorrow on the 4th of august . How long before yall tested negative ?</t>
        </is>
      </c>
      <c r="D4051" t="n">
        <v>1</v>
      </c>
      <c r="E4051" t="n">
        <v>6</v>
      </c>
      <c r="F4051">
        <f>HYPERLINK("https://www.reddit.com/r/COVID19positive/comments/i370qn/22_days_still_testing_positive_no_symptoms/")</f>
        <v/>
      </c>
      <c r="G4051" t="inlineStr">
        <is>
          <t>2020-08-03 15:21:59</t>
        </is>
      </c>
      <c r="H4051" t="inlineStr">
        <is>
          <t>Tested Positive</t>
        </is>
      </c>
    </row>
    <row r="4052">
      <c r="A4052" t="inlineStr">
        <is>
          <t>i373uc</t>
        </is>
      </c>
      <c r="B4052" t="inlineStr">
        <is>
          <t>Just tested positive</t>
        </is>
      </c>
      <c r="C4052" t="inlineStr">
        <is>
          <t>To be honest never felt as sick as I have these past few days while im better now but in all honesty for how seriously I've taken this pandemic it had to be me huh.</t>
        </is>
      </c>
      <c r="D4052" t="n">
        <v>1</v>
      </c>
      <c r="E4052" t="n">
        <v>4</v>
      </c>
      <c r="F4052">
        <f>HYPERLINK("https://www.reddit.com/r/COVID19positive/comments/i373uc/just_tested_positive/")</f>
        <v/>
      </c>
      <c r="G4052" t="inlineStr">
        <is>
          <t>2020-08-03 15:26:45</t>
        </is>
      </c>
      <c r="H4052" t="inlineStr">
        <is>
          <t>Tested Positive - Me</t>
        </is>
      </c>
    </row>
    <row r="4053">
      <c r="A4053" t="inlineStr">
        <is>
          <t>i37661</t>
        </is>
      </c>
      <c r="B4053" t="inlineStr">
        <is>
          <t>My grandma got diagnosed this morning.</t>
        </is>
      </c>
      <c r="C4053" t="inlineStr">
        <is>
          <t>She’s 87. She was already in the hospital fighting a type of autoimmune anemia that’s been making her really weak. When she was in the regular hospital, we were to visit one at a time. Last time I saw her was last Saturday (12 days ago). She was stable enough to be transferred to a rehabilitation facility the next day, to do some physical therapy and regain strength to come home. The rehab place does now allow visitors. 
Then last night she gets readmitted to the ER with a fever. Diagnosed COVID this morning. Nobody in my house is showing symptoms, and last any of us saw her was 12 days ago. So I have to believe she contracted it at the rehabilitation center? 
I’m just so heartbroken. She was already so weak fighting the autoimmune anemia problem, now this. I’m shocked too, because I’m in Boston where we had our bad spike early, but cases have really been declining here. I’ve lived with my grandma my whole life, she’s supported me so much and I just can’t imagine losing her. I was already worried about her current health issues, now this. The thought of last Saturday being the last time I might ever get to see her breaks my heart. Life sucks and it’s so unfair. 
(I’m getting tested myself tomorrow morning just as a precaution.)</t>
        </is>
      </c>
      <c r="D4053" t="n">
        <v>1</v>
      </c>
      <c r="E4053" t="n">
        <v>3</v>
      </c>
      <c r="F4053">
        <f>HYPERLINK("https://www.reddit.com/r/COVID19positive/comments/i37661/my_grandma_got_diagnosed_this_morning/")</f>
        <v/>
      </c>
      <c r="G4053" t="inlineStr">
        <is>
          <t>2020-08-03 15:30:23</t>
        </is>
      </c>
      <c r="H4053" t="inlineStr">
        <is>
          <t>Tested Positive - Family</t>
        </is>
      </c>
    </row>
    <row r="4054">
      <c r="A4054" t="inlineStr">
        <is>
          <t>i3775t</t>
        </is>
      </c>
      <c r="B4054" t="inlineStr">
        <is>
          <t>This is terrible.</t>
        </is>
      </c>
      <c r="C4054" t="inlineStr">
        <is>
          <t>Found out last Monday someone in my department tested positive after knowingly being around positive family members. Felt fine Wednesday till I got out of my car and started walking into work. Thought I maybe drank a lot of coffee, so I chugged water. Halfway through my shift I felt overwhelmed with fatigue. Head felt hot as hell. Went home early. My dumbass didn’t own a thermometer. When I went to the doctors Friday to get tested I had a 100 temp. 
Day 2: Felt okay waking up. Throughout the day my body felt fatigued, headache, foggy head, and no appetite. 
Currently day 6 and still waiting for results. I seem to be getting heart palpitations here and there now, but breathing is fine(luckily). 
Has anyone else had their symptoms come and go throughout the day? Not a constant issue? Only thing that seems constant is the fever.</t>
        </is>
      </c>
      <c r="D4054" t="n">
        <v>1</v>
      </c>
      <c r="E4054" t="n">
        <v>6</v>
      </c>
      <c r="F4054">
        <f>HYPERLINK("https://www.reddit.com/r/COVID19positive/comments/i3775t/this_is_terrible/")</f>
        <v/>
      </c>
      <c r="G4054" t="inlineStr">
        <is>
          <t>2020-08-03 15:32:00</t>
        </is>
      </c>
      <c r="H4054" t="inlineStr">
        <is>
          <t>Presumed Positive - From Doctor</t>
        </is>
      </c>
    </row>
    <row r="4055">
      <c r="A4055" t="inlineStr">
        <is>
          <t>i378ye</t>
        </is>
      </c>
      <c r="B4055" t="inlineStr">
        <is>
          <t>Should I get re-tested?</t>
        </is>
      </c>
      <c r="C4055" t="inlineStr">
        <is>
          <t>19F, got tested 8/1.
7/30 - Stomach ache
7/31 - Diarrhea, nausea, low appetite, fatigue, confusion. Thought I had a stomach bug, checked for fever at night but apparently didn't have one.
8/1 - Nausea/low appetite subsided. Fatigue and feverish feeling still there. Started to feel slightly congested along with a minor sore throat. Left work early to get a rapid test. Got my results 15 minutes later, tested negative.
8/2 - Stomach flu symptoms are gone. Sore throat became moderate to severe, still felt slightly feverish but had no fever. Cough worsened later in the day. Started taking cold medicine since I trusted the negative test.
8/3 - Same symptoms as day before. Breathing is a little choppy but that might just be anxiety. Now I'm worried the test was a false negative since I got my results back so fast. I'm now in a different country visiting my grandmother which I am terrified to infect.
Don't really know what to do at this point. I don't want to put too much faith in the test but it would make perfect sense if I did have the virus. I work in a place where there's already been tons of people who tested positive even though social distancing regulations are strongly enforced. I feel like I do a fair job of taking care of myself against this disease. But damn, I find it so weird why I'd get a random cold in the middle of the summer. I hardly ever get sick to begin with.</t>
        </is>
      </c>
      <c r="D4055" t="n">
        <v>1</v>
      </c>
      <c r="E4055" t="n">
        <v>7</v>
      </c>
      <c r="F4055">
        <f>HYPERLINK("https://www.reddit.com/r/COVID19positive/comments/i378ye/should_i_get_retested/")</f>
        <v/>
      </c>
      <c r="G4055" t="inlineStr">
        <is>
          <t>2020-08-03 15:34:47</t>
        </is>
      </c>
      <c r="H4055" t="inlineStr">
        <is>
          <t>Presumed Positive - From Test</t>
        </is>
      </c>
    </row>
    <row r="4056">
      <c r="A4056" t="inlineStr">
        <is>
          <t>i38f6x</t>
        </is>
      </c>
      <c r="B4056" t="inlineStr">
        <is>
          <t>Positive since January, living with half a lung since birth.</t>
        </is>
      </c>
      <c r="C4056" t="inlineStr">
        <is>
          <t>Just wanted to share my story. I tested positive in January, was never hospitalized becuase it wasnt officially in my country yet but GP kept a really close eye on me. I was sleeping on oxygen every night but in the end I grew tired of it and stopped using it. I never got any symptom. Yeah sure, shortness of breath, but I have that anyways because half of my lung is missing.</t>
        </is>
      </c>
      <c r="D4056" t="n">
        <v>1</v>
      </c>
      <c r="E4056" t="n">
        <v>13</v>
      </c>
      <c r="F4056">
        <f>HYPERLINK("https://www.reddit.com/r/COVID19positive/comments/i38f6x/positive_since_january_living_with_half_a_lung/")</f>
        <v/>
      </c>
      <c r="G4056" t="inlineStr">
        <is>
          <t>2020-08-03 16:43:41</t>
        </is>
      </c>
      <c r="H4056" t="inlineStr">
        <is>
          <t>Tested Positive - Me</t>
        </is>
      </c>
    </row>
    <row r="4057">
      <c r="A4057" t="inlineStr">
        <is>
          <t>i3a9ow</t>
        </is>
      </c>
      <c r="B4057" t="inlineStr">
        <is>
          <t>Covied</t>
        </is>
      </c>
      <c r="C4057" t="inlineStr">
        <is>
          <t>My covid symptoms
For the pst two weeks ive been experiencing covid related symptoms it started off with chest congestion and it hqs only felt like it’s been getting a little worse jus because I recently developed diarrhea and and vomitted yesterday i also feel lightheaded. What can you guys say abt my symptoms am I recovering since my breathing is kind of coming back. I have an oximeter and my levels have recently gone down to 99 its used to be 100.</t>
        </is>
      </c>
      <c r="D4057" t="n">
        <v>1</v>
      </c>
      <c r="E4057" t="n">
        <v>3</v>
      </c>
      <c r="F4057">
        <f>HYPERLINK("https://www.reddit.com/r/COVID19positive/comments/i3a9ow/covied/")</f>
        <v/>
      </c>
      <c r="G4057" t="inlineStr">
        <is>
          <t>2020-08-03 18:39:31</t>
        </is>
      </c>
      <c r="H4057" t="inlineStr">
        <is>
          <t>Presumed Positive - From Doctor</t>
        </is>
      </c>
    </row>
    <row r="4058">
      <c r="A4058" t="inlineStr">
        <is>
          <t>i3an69</t>
        </is>
      </c>
      <c r="B4058" t="inlineStr">
        <is>
          <t>Anyone else suddenly experiencing insomnia after having Covid?</t>
        </is>
      </c>
      <c r="C4058" t="inlineStr">
        <is>
          <t>I have never had issues falling asleep. I actually felt like I was on the mend, I suddenly have terrible insomnia. I’ll lay in bed awake for hours unable to fall asleep despite being exhausted and only end up with 3-4 hours of sleep. Every time I’m nearly asleep I get woken up by what I can only describe as a jolt in my brain. Anyone else feel this?  
I’ve had a mild case so far. Timeline of symptoms if anyone is curious.
July 24th-27th: What felt like mild allergies, runny nose, slight scratchy throat, full headache, fatigue. Also odd “buzzing” feeling in body and at base of neck. I feel hypersensitive to every touch and sound.
July 28th: Felt extremely groggy and foggy headed. Feels like someone is sitting on my chest, also feel like I need to cough, though it’s a dry cough and I can suppress it. 
July 29th: Same as yesterday, I went in and got a test. Told 3-10 days for results.
July 30th-31st: Less groggy, cough worse, chest tight but less pressure. 
August 1st: Call from health department before my doctor that I’m positive. Chest tightness totally subsided. Cough still strong. Insomnia.
August 2nd: Same as yesterday including insomnia.
August 3rd: No change in cough, headache, slight sore throat, tired but unable to sleep.
So far no fever and SpO2 has been normal between 95-100. My pulse has been high though particularly at night.</t>
        </is>
      </c>
      <c r="D4058" t="n">
        <v>1</v>
      </c>
      <c r="E4058" t="n">
        <v>10</v>
      </c>
      <c r="F4058">
        <f>HYPERLINK("https://www.reddit.com/r/COVID19positive/comments/i3an69/anyone_else_suddenly_experiencing_insomnia_after/")</f>
        <v/>
      </c>
      <c r="G4058" t="inlineStr">
        <is>
          <t>2020-08-03 19:04:18</t>
        </is>
      </c>
      <c r="H4058" t="inlineStr">
        <is>
          <t>Tested Positive - Me</t>
        </is>
      </c>
    </row>
    <row r="4059">
      <c r="A4059" t="inlineStr">
        <is>
          <t>i3aqes</t>
        </is>
      </c>
      <c r="B4059" t="inlineStr">
        <is>
          <t>Are long haulers still postive?</t>
        </is>
      </c>
      <c r="C4059" t="inlineStr">
        <is>
          <t>This has been my 6th week. My only symptom was loss of taste and smell. I’ve tested positive multiple times and cannot resume school until I test negative. But those who are long haulers— are you testing negative but still have symptoms, or are you continuing to test positive?</t>
        </is>
      </c>
      <c r="D4059" t="n">
        <v>1</v>
      </c>
      <c r="E4059" t="n">
        <v>11</v>
      </c>
      <c r="F4059">
        <f>HYPERLINK("https://www.reddit.com/r/COVID19positive/comments/i3aqes/are_long_haulers_still_postive/")</f>
        <v/>
      </c>
      <c r="G4059" t="inlineStr">
        <is>
          <t>2020-08-03 19:09:58</t>
        </is>
      </c>
      <c r="H4059" t="inlineStr">
        <is>
          <t>Tested Positive - Me</t>
        </is>
      </c>
    </row>
    <row r="4060">
      <c r="A4060" t="inlineStr">
        <is>
          <t>i3atpt</t>
        </is>
      </c>
      <c r="B4060" t="inlineStr">
        <is>
          <t>The county health department contacted me??(positive as of today)</t>
        </is>
      </c>
      <c r="C4060" t="inlineStr">
        <is>
          <t>So I tested positive as of this morning and I'm officially quarantined to the basement to try and not expose the rest of my family but I feel like its a little too late probably. I have had pretty mild symptoms just flu like, I've been havinh trouble concentrating and everything just feels off. I started developing some respiratory symptoms late yesterday and I'm hoping it doesn't mean this will head in a bad direction but I'm feeling okay as of now. I wish I knew when and how I got infected. I've been working the entire shutdown as a pizza delivery driver so big bet it was that. Since I tested positive today I think I've had more phone calls than ever in my life lmao all kinds of work and hr people and with the county health department??? Did anyone else get contacted by their county health department? Like they are straight up going to be calling me every few days to check in and track my symptoms and my entire household's symptoms. They basically said we are all collectively in quarantine, and I have to be in isolation from everyone else. Like she said no one can leave at all for anything and that we need to have someone bring us groceries and things and leave them outside the house. Is anyone else experiencing this in their county or state?</t>
        </is>
      </c>
      <c r="D4060" t="n">
        <v>1</v>
      </c>
      <c r="E4060" t="n">
        <v>8</v>
      </c>
      <c r="F4060">
        <f>HYPERLINK("https://www.reddit.com/r/COVID19positive/comments/i3atpt/the_county_health_department_contacted_mepositive/")</f>
        <v/>
      </c>
      <c r="G4060" t="inlineStr">
        <is>
          <t>2020-08-03 19:15:58</t>
        </is>
      </c>
      <c r="H4060" t="inlineStr">
        <is>
          <t>Tested Positive - Me</t>
        </is>
      </c>
    </row>
    <row r="4061">
      <c r="A4061" t="inlineStr">
        <is>
          <t>i3axdi</t>
        </is>
      </c>
      <c r="B4061" t="inlineStr">
        <is>
          <t>Quarantine question</t>
        </is>
      </c>
      <c r="C4061" t="inlineStr">
        <is>
          <t>I (37F) tested positive 10 days ago and because I'm asymptomatic my quarantine ends tomorrow. My son (4M) and husband (35M) tested at the same time and were both negative, but were told to quarantine for 14 days due to close contact with me. We are between houses and staying at a hotel which has given this situation an extra layer of difficulty. The public health unit we have been in contact with told me we have to stay apart until their 14 days are up, which doesn't make sense to me because  I'm not supposed to be contagious anymore, nor can I get reinfected so quickly. Anyone have any thoughts or first hand experience with this? Thanks!!</t>
        </is>
      </c>
      <c r="D4061" t="n">
        <v>1</v>
      </c>
      <c r="E4061" t="n">
        <v>3</v>
      </c>
      <c r="F4061">
        <f>HYPERLINK("https://www.reddit.com/r/COVID19positive/comments/i3axdi/quarantine_question/")</f>
        <v/>
      </c>
      <c r="G4061" t="inlineStr">
        <is>
          <t>2020-08-03 19:22:33</t>
        </is>
      </c>
      <c r="H4061" t="inlineStr">
        <is>
          <t>Tested Positive - Me</t>
        </is>
      </c>
    </row>
    <row r="4062">
      <c r="A4062" t="inlineStr">
        <is>
          <t>i3bin5</t>
        </is>
      </c>
      <c r="B4062" t="inlineStr">
        <is>
          <t>I'm worried about my GI symptoms</t>
        </is>
      </c>
      <c r="C4062" t="inlineStr">
        <is>
          <t>I've been having GI symptoms such as early saciety, indigestion and belching for about two months now. The doctor evaluated me and put me on a Nexium trial for a month. She decided to test me for covid just so she can be sure. They did the Covid test on last tuesday, and I recieved my results on thursday, testing positive.
&amp;amp;#x200B;
is it posible that I had Covid-19 from two months ago and those are just covid GI symptoms, or maybe I have another GI condition?</t>
        </is>
      </c>
      <c r="D4062" t="n">
        <v>1</v>
      </c>
      <c r="E4062" t="n">
        <v>3</v>
      </c>
      <c r="F4062">
        <f>HYPERLINK("https://www.reddit.com/r/COVID19positive/comments/i3bin5/im_worried_about_my_gi_symptoms/")</f>
        <v/>
      </c>
      <c r="G4062" t="inlineStr">
        <is>
          <t>2020-08-03 20:02:00</t>
        </is>
      </c>
      <c r="H4062" t="inlineStr">
        <is>
          <t>Tested Positive</t>
        </is>
      </c>
    </row>
    <row r="4063">
      <c r="A4063" t="inlineStr">
        <is>
          <t>i3c8hw</t>
        </is>
      </c>
      <c r="B4063" t="inlineStr">
        <is>
          <t>Fighting the virus and having to deal with relatives and friends posting conspiracies about covid. Anyone else dealing with this? *rant*</t>
        </is>
      </c>
      <c r="C4063" t="inlineStr">
        <is>
          <t>On top of being very sick with Covid, I have family members and friends posting anti-mask false info, Covid hoax propaganda and videos like Plandemic, etc.  The worst part wasn’t even having to go to the ER to receive oxygen, it’s watching people I love convince themselves and others that Covid is either completely fake or “not even as bad as the flu or common cold”. 
I know I should just not even look, but sometimes I can’t help it.  
I’ve lost several close relatives to the conspiracy group (cult IMO) QAnon, and have one uncle in particular that is a very popular QAnon influencer, probably top 10 Q “patriot” pillars.  It’s painful that they care more about their anonymous twitter followers and crazy conspiracies than their own flesh and blood that is suffering from this virus.  
This was just one of today’s posts from my uncle for an example:
“Masks don't work
All the positive COVID test results are fraudulent
Death numbers due to COVID are fraudulent
Social Distancing is a joke
Vaccines are harmful
"Slow the spread" is a big lie
"Flatten the curve" is a big lie
Biggest fraud ever perpetrated on humankind.”
They post that masks are dangerous, or ineffective.  They post that it’s all made up by the deep state or by democrats to make Trump look bad.  That masking and lockdowns are a deep state plan to enforce a new world order.  The list goes on.
I don’t even have the energy to comment, and getting in a pissing match won’t do anyone any good.  Nobody and nothing will change their opinion.
It’s just sad.  I’m sad.  I’m scared for my life and not one of them has done as little as send a text asking how I am or wishing me well.  
It feels like I’m grieving these loved ones as if they died as I also deal with my health at the same time.
Sorry for the rant.  Just curious if I’m the only one who is running into this on a personal level.  If you have, do you confront them or let it be?  
I’ve known people that have died from Covid.  One being a classmate my same age (37) with no underlying health issues, and others with underlying health issues.
It’s another thing that gets under my skin.  When someone dies the first question is “did they have underlying health issues” or “how old were they”, when all of these people could have lived years, even decades longer.  
How do you cope?  Has anyone actually gotten through to these kinds of people?  
37 year old female, day 9 of symptoms.  Struggling health-wise and mental health-wise.</t>
        </is>
      </c>
      <c r="D4063" t="n">
        <v>1</v>
      </c>
      <c r="E4063" t="n">
        <v>158</v>
      </c>
      <c r="F4063">
        <f>HYPERLINK("https://www.reddit.com/r/COVID19positive/comments/i3c8hw/fighting_the_virus_and_having_to_deal_with/")</f>
        <v/>
      </c>
      <c r="G4063" t="inlineStr">
        <is>
          <t>2020-08-03 20:51:51</t>
        </is>
      </c>
      <c r="H4063" t="inlineStr">
        <is>
          <t>Tested Positive - Me</t>
        </is>
      </c>
    </row>
    <row r="4064">
      <c r="A4064" t="inlineStr">
        <is>
          <t>i3cwhi</t>
        </is>
      </c>
      <c r="B4064" t="inlineStr">
        <is>
          <t>Got covid in March, several toes on my right leg are starting to swell</t>
        </is>
      </c>
      <c r="C4064" t="inlineStr">
        <is>
          <t>Anyone else experience this? My 3 middle toes on my right leg are swollen. The middle is puffy and numb when I touch it. I’m laying down for bed and currently they are very warm. Is there any idea what causes this?</t>
        </is>
      </c>
      <c r="D4064" t="n">
        <v>1</v>
      </c>
      <c r="E4064" t="n">
        <v>6</v>
      </c>
      <c r="F4064">
        <f>HYPERLINK("https://www.reddit.com/r/COVID19positive/comments/i3cwhi/got_covid_in_march_several_toes_on_my_right_leg/")</f>
        <v/>
      </c>
      <c r="G4064" t="inlineStr">
        <is>
          <t>2020-08-03 21:39:55</t>
        </is>
      </c>
      <c r="H4064" t="inlineStr">
        <is>
          <t>Tested Positive - Me</t>
        </is>
      </c>
    </row>
    <row r="4065">
      <c r="A4065" t="inlineStr">
        <is>
          <t>i3cxrd</t>
        </is>
      </c>
      <c r="B4065" t="inlineStr">
        <is>
          <t>More of a rant. Post viral fatigue syndrome from COVID?</t>
        </is>
      </c>
      <c r="C4065" t="inlineStr">
        <is>
          <t>I took every precaution in the book. I never went out. Only needed to when i absolutely needed to get groceries for the family. I have been taking a fair amount of vitamins to help bolster my immune system (Vitamin C, some zinc, Vitamin B, etc...). I wore a mask everywhere i went if i needed to go somewhere. I don't have a job that requires me to leave my house. 
Despite all of this, i have tested positive for COVID on July 20, 2020 (until i actually feel good enough to get tested) and has absolutely been the worst sickness i have ever experienced at the age of 26 (M). Shortness of breathe, sharp pains when inhaling too much oxygen at once, extreme fatigue, muscle soreness, sore throat, reoccurring daily headaches, high temperature (102.2 F - 102.9 F), vomiting, sensitivity to light, phlegm, to name a few. Basically the whole nine yards except for a severe cough which i thought was weird. This happened for about 10-11 days. 
However now, i'm experiencing this extreme fatigue to levels i wasn't experience when i was sick. I have been basically sleeping for about 14-16 hours of the day everyday. I will generally go to sleep for 7 hours, and wake up feeling like i have the mid day crash from caffeine. This fatigue gets exponentially worse over the next couple of hours trying to stay awake. It gets to the point where it feels like i haven't slept in 30+ hours and i have no choice but to go to sleep again. This will usually be around the 5-6 hours mark.
I'm not that mad about extracting the virus somehow because i'm of the opinion that more or less most people will somehow extract it whether it be a mild range of symptoms or being asymptomatic. I'm just more mad about the severity of the symptoms i have especially when it pertains to this post virus fatigue. It's such a god damn nuisance when my brain is "Let's get started on that project now! You have no obligations, let's go be productive!" and my body is like "You're not gonna do shit kid".
All i ever hear is "yOu'Re yoUnG! HeaLtHy yOunG AdULts wiLL bE fiNe!". Not if you get this bullshit ass post virus fatigue. Is anyone that is experiencing this have any tips on how to curb it or deal with it in a manner that's going to lessen the effects in the long run?
If you made it this far, thanks for listening to my rant lol.</t>
        </is>
      </c>
      <c r="D4065" t="n">
        <v>1</v>
      </c>
      <c r="E4065" t="n">
        <v>11</v>
      </c>
      <c r="F4065">
        <f>HYPERLINK("https://www.reddit.com/r/COVID19positive/comments/i3cxrd/more_of_a_rant_post_viral_fatigue_syndrome_from/")</f>
        <v/>
      </c>
      <c r="G4065" t="inlineStr">
        <is>
          <t>2020-08-03 21:42:31</t>
        </is>
      </c>
      <c r="H4065" t="inlineStr">
        <is>
          <t>Tested Positive</t>
        </is>
      </c>
    </row>
    <row r="4066">
      <c r="A4066" t="inlineStr">
        <is>
          <t>i3d4f9</t>
        </is>
      </c>
      <c r="B4066" t="inlineStr">
        <is>
          <t>Does anyone have any experiences with COVID and a co-infection with mono (epstein-barr?)</t>
        </is>
      </c>
      <c r="C4066" t="inlineStr">
        <is>
          <t>I have had a fever for 10 days so far, and a terrible sore throat for about 5/6. These are my only two symptoms. Went to urgent care because I was unable to eat or drink or swallow, and I tested positive for mono (after already testing positive for covid). Was given steroids and now the pain is manageable, but it is still very infected and i still have a fever. My friend says she knows someone who had mono and covid at the same time, does anyone else have experience with this? Or experience with completely inflamed tonsils because of covid?</t>
        </is>
      </c>
      <c r="D4066" t="n">
        <v>1</v>
      </c>
      <c r="E4066" t="n">
        <v>8</v>
      </c>
      <c r="F4066">
        <f>HYPERLINK("https://www.reddit.com/r/COVID19positive/comments/i3d4f9/does_anyone_have_any_experiences_with_covid_and_a/")</f>
        <v/>
      </c>
      <c r="G4066" t="inlineStr">
        <is>
          <t>2020-08-03 21:57:05</t>
        </is>
      </c>
      <c r="H4066" t="inlineStr">
        <is>
          <t>Tested Positive - Me</t>
        </is>
      </c>
    </row>
    <row r="4067">
      <c r="A4067" t="inlineStr">
        <is>
          <t>i3fc9h</t>
        </is>
      </c>
      <c r="B4067" t="inlineStr">
        <is>
          <t>COVID positive result N vs E gene</t>
        </is>
      </c>
      <c r="C4067" t="inlineStr">
        <is>
          <t>Hello, my roommate receive her COVID results two days ago, no symptoms right now but we’re taking precautions. Was wondering, on her test results it says she’s negative for N-gene but positive for E-gene. I was really looking but couldn’t find an explanation online.</t>
        </is>
      </c>
      <c r="D4067" t="n">
        <v>1</v>
      </c>
      <c r="E4067" t="n">
        <v>3</v>
      </c>
      <c r="F4067">
        <f>HYPERLINK("https://www.reddit.com/r/COVID19positive/comments/i3fc9h/covid_positive_result_n_vs_e_gene/")</f>
        <v/>
      </c>
      <c r="G4067" t="inlineStr">
        <is>
          <t>2020-08-04 01:07:16</t>
        </is>
      </c>
      <c r="H4067" t="inlineStr">
        <is>
          <t>Tested Positive - Friends</t>
        </is>
      </c>
    </row>
    <row r="4068">
      <c r="A4068" t="inlineStr">
        <is>
          <t>i3fqvr</t>
        </is>
      </c>
      <c r="B4068" t="inlineStr">
        <is>
          <t>I’m pretty sure I’m positive Covid-19. How do I break the news to people?</t>
        </is>
      </c>
      <c r="C4068" t="inlineStr">
        <is>
          <t>My dad just tested positive four days ago and I’ve been having sore throat and cold since two days ago. Now day three, I just finished my swab test and waiting for the result. Suddenly, I can’t smell anything. Literally nothing, I spray tons of perfume and try to smell icy hot, but I got nothing. I didn’t have any fever so far, though. The thing is, a week ago I just attended a dinner with 20 people. My best friend just died a month ago so his parents gather some of his bestfriends to have dinner with. I’m so scared and don’t know what to to break down the news if I end up having Covid-19. I feel so guilty that I’ll add sorrow and anxiety to my late best friend’s family, on top of their grief of losing their son. What should I do? How do I break down the news? Help.</t>
        </is>
      </c>
      <c r="D4068" t="n">
        <v>1</v>
      </c>
      <c r="E4068" t="n">
        <v>27</v>
      </c>
      <c r="F4068">
        <f>HYPERLINK("https://www.reddit.com/r/COVID19positive/comments/i3fqvr/im_pretty_sure_im_positive_covid19_how_do_i_break/")</f>
        <v/>
      </c>
      <c r="G4068" t="inlineStr">
        <is>
          <t>2020-08-04 01:45:35</t>
        </is>
      </c>
      <c r="H4068" t="inlineStr">
        <is>
          <t>Tested Positive - Family</t>
        </is>
      </c>
    </row>
    <row r="4069">
      <c r="A4069" t="inlineStr">
        <is>
          <t>i3g4td</t>
        </is>
      </c>
      <c r="B4069" t="inlineStr">
        <is>
          <t>What is the contraction rate?</t>
        </is>
      </c>
      <c r="C4069" t="inlineStr">
        <is>
          <t>So my aunt who lives next door was confirmed positive, she had symptoms showing for almost a 7-10 days. I've been over there several times, and came to close contact of people who've been around her (hugs etc.)
Is it guaranteed that I have it? I have 0 symptoms so far, but I'm going to get tested anyways.</t>
        </is>
      </c>
      <c r="D4069" t="n">
        <v>1</v>
      </c>
      <c r="E4069" t="n">
        <v>4</v>
      </c>
      <c r="F4069">
        <f>HYPERLINK("https://www.reddit.com/r/COVID19positive/comments/i3g4td/what_is_the_contraction_rate/")</f>
        <v/>
      </c>
      <c r="G4069" t="inlineStr">
        <is>
          <t>2020-08-04 02:21:52</t>
        </is>
      </c>
      <c r="H4069" t="inlineStr">
        <is>
          <t>Tested Positive - Family</t>
        </is>
      </c>
    </row>
    <row r="4070">
      <c r="A4070" t="inlineStr">
        <is>
          <t>i3he83</t>
        </is>
      </c>
      <c r="B4070" t="inlineStr">
        <is>
          <t>Positive PCR over a month a go , asymptotic but negative antibiotics now .</t>
        </is>
      </c>
      <c r="C4070" t="inlineStr">
        <is>
          <t>I had an asymmetric covid 5 weeks ago . Had no symptoms . I did antibody tests twice this week ( same day different labs ) both were negative . 
Any similar cases ? Thoughts ?</t>
        </is>
      </c>
      <c r="D4070" t="n">
        <v>1</v>
      </c>
      <c r="E4070" t="n">
        <v>6</v>
      </c>
      <c r="F4070">
        <f>HYPERLINK("https://www.reddit.com/r/COVID19positive/comments/i3he83/positive_pcr_over_a_month_a_go_asymptotic_but/")</f>
        <v/>
      </c>
      <c r="G4070" t="inlineStr">
        <is>
          <t>2020-08-04 04:09:45</t>
        </is>
      </c>
      <c r="H4070" t="inlineStr">
        <is>
          <t>Tested Positive</t>
        </is>
      </c>
    </row>
    <row r="4071">
      <c r="A4071" t="inlineStr">
        <is>
          <t>i3ipy8</t>
        </is>
      </c>
      <c r="B4071" t="inlineStr">
        <is>
          <t>how to deal with people who treat you differently</t>
        </is>
      </c>
      <c r="C4071" t="inlineStr">
        <is>
          <t>so my anxiety has been pretty bad lately not because of my symptoms but how i will transition back to work. today i asked my brother if he could drop some food at the gate, i live in a different house when i was confirmed covid+ about 2 weeks ago. 
i was surprised by his reaction, he said he didnt want to get infected. the way he said it just kinda hurt. i said i’d never have direct contact with him and even so, he’s like disgusted by the thought of going in front of my gate... 
this is a relative of mine now i kind of know what to expect from co workers or people in general. and it sucks. having this disease is already hard mentally and physically and to have to deal with other people just makes me feel like crap.</t>
        </is>
      </c>
      <c r="D4071" t="n">
        <v>1</v>
      </c>
      <c r="E4071" t="n">
        <v>12</v>
      </c>
      <c r="F4071">
        <f>HYPERLINK("https://www.reddit.com/r/COVID19positive/comments/i3ipy8/how_to_deal_with_people_who_treat_you_differently/")</f>
        <v/>
      </c>
      <c r="G4071" t="inlineStr">
        <is>
          <t>2020-08-04 05:50:00</t>
        </is>
      </c>
      <c r="H4071" t="inlineStr">
        <is>
          <t>Tested Positive - Me</t>
        </is>
      </c>
    </row>
    <row r="4072">
      <c r="A4072" t="inlineStr">
        <is>
          <t>i3kbor</t>
        </is>
      </c>
      <c r="B4072" t="inlineStr">
        <is>
          <t>Heart palpitations with covid?</t>
        </is>
      </c>
      <c r="C4072" t="inlineStr">
        <is>
          <t>I've had covid for about a week. I have basically zero symptoms, but I've noticed my heart is skipping a beat, fluttering, etc. It isn't racing and I feel normal besides the weird contractions of my heart
I've had these my whole life but only every once in a while. Ever since I tested positive I've had very frequent, strange heart beats and it's starting to make me nervous
I know covid can affect the heart, just not sure how concerned I should be 
Thanks</t>
        </is>
      </c>
      <c r="D4072" t="n">
        <v>1</v>
      </c>
      <c r="E4072" t="n">
        <v>10</v>
      </c>
      <c r="F4072">
        <f>HYPERLINK("https://www.reddit.com/r/COVID19positive/comments/i3kbor/heart_palpitations_with_covid/")</f>
        <v/>
      </c>
      <c r="G4072" t="inlineStr">
        <is>
          <t>2020-08-04 07:30:28</t>
        </is>
      </c>
      <c r="H4072" t="inlineStr">
        <is>
          <t>Tested Positive - Me</t>
        </is>
      </c>
    </row>
    <row r="4073">
      <c r="A4073" t="inlineStr">
        <is>
          <t>i3li2h</t>
        </is>
      </c>
      <c r="B4073" t="inlineStr">
        <is>
          <t>Unemployment? How do I get paid when out of work for 2 weeks?</t>
        </is>
      </c>
      <c r="C4073" t="inlineStr">
        <is>
          <t>Hey guys, tested positive and I am a hourly employee at a small office ( 4 people). I can't afford to forgo 2 weeks unpaid, and don't want to harm my employer by filing unemployment. 
Is unemployment the only option? I can't imagine my owner can afford to pay me, she has not had success applying for PPP. I'm in a red state.
Thanks</t>
        </is>
      </c>
      <c r="D4073" t="n">
        <v>1</v>
      </c>
      <c r="E4073" t="n">
        <v>4</v>
      </c>
      <c r="F4073">
        <f>HYPERLINK("https://www.reddit.com/r/COVID19positive/comments/i3li2h/unemployment_how_do_i_get_paid_when_out_of_work/")</f>
        <v/>
      </c>
      <c r="G4073" t="inlineStr">
        <is>
          <t>2020-08-04 08:36:34</t>
        </is>
      </c>
      <c r="H4073" t="inlineStr">
        <is>
          <t>Tested Positive</t>
        </is>
      </c>
    </row>
    <row r="4074">
      <c r="A4074" t="inlineStr">
        <is>
          <t>i3lzxd</t>
        </is>
      </c>
      <c r="B4074" t="inlineStr">
        <is>
          <t>29F and 28M</t>
        </is>
      </c>
      <c r="C4074" t="inlineStr">
        <is>
          <t>I got covid19 and so did my husband. he has asthma &amp;amp; I have type one diabetes. here's a thread of it so far....starting Friday. We're not sure where we got it but we assume from varsity sports practice or the required professional development our school had. (practice was held after the pd). 
day one, we felt fine. we went to school to do last minute touches on his classroom before the weekend hit. that night at exactly 7:30pm, my husband suddenly became extremely warm and developed a fever of 100.8. he felt terrible, I felt fine. I was convinced it was his allergies.
day two, we woke up and he still had fever 101 to 100.4. we snagged an appt. for 11:30a. I planned to get tested to. I had no symptoms. At 12pm we got tested. His fever was gone, my had started. I was surprised to when the nurse said I was 100.8. we went home, then he got v tired. he slept for several hours in his makeshift isolation room. it was as if he couldn't keep his eyes open. I was achy but not tired. I had watering eyes and killer sinus allergies all day. my fever went down to 99.9 by 8pm.
day three, Sunday, I woke up feeling terrible. worse than previous days. I couldn't sleep. I felt bad. my husband seemed on the mend but he had a persistent dry cough that would come and go through the day. I got the 'tingles'? I itched... like crazy. My head and my shoulderblade. felt like they were crawling, with this sensation of just ... weirdness. like when you have 5 coffees and 4 red bulls or something. we both got the cotton feeling this day. of feeling like you're in a fog, or that your throat and ears are ... 'filled' with cotton. it's strange.
day four, Monday, our results came back positive. we were shocked. we had no fever or other symptoms anymore. husband still had a dry cough but nothing too bad. I had aches but nothing terrible. I chalked it up to my cycle. we were convinced he'd be positive at worst, not me. 5pm I had sleep. I was so tired. Monday night I lost my sense of smell and taste. I read online about that. then realized... I had it. I tried to smell Vick's vapor rub, biofreeze, peppermint. all I could I get was the faintest wisp of 'coolness' on the back of my throat.
day five, Tuesday, husband lost sense of smell this morning. we're praying it doesn't get any worse. will update as I know more. found this reddit.</t>
        </is>
      </c>
      <c r="D4074" t="n">
        <v>1</v>
      </c>
      <c r="E4074" t="n">
        <v>18</v>
      </c>
      <c r="F4074">
        <f>HYPERLINK("https://www.reddit.com/r/COVID19positive/comments/i3lzxd/29f_and_28m/")</f>
        <v/>
      </c>
      <c r="G4074" t="inlineStr">
        <is>
          <t>2020-08-04 09:03:09</t>
        </is>
      </c>
      <c r="H4074" t="inlineStr">
        <is>
          <t>Tested Positive - Me</t>
        </is>
      </c>
    </row>
    <row r="4075">
      <c r="A4075" t="inlineStr">
        <is>
          <t>i3m4r0</t>
        </is>
      </c>
      <c r="B4075" t="inlineStr">
        <is>
          <t>Recovery from COVID-19 and lung capacity</t>
        </is>
      </c>
      <c r="C4075" t="inlineStr">
        <is>
          <t>I came down with COVID earlier this year - luckily it was just a high fever/heavy chest and I was able to recover at home.
Ever since I got COVID my lung capacity is shot.  I exercise regularly and haven't really stopped - mainly Peloton and running.  Now when I try to exercise, I get really winded and my heart rate shoots up high.
Anyone else facing this and is there anything that can be done?</t>
        </is>
      </c>
      <c r="D4075" t="n">
        <v>1</v>
      </c>
      <c r="E4075" t="n">
        <v>4</v>
      </c>
      <c r="F4075">
        <f>HYPERLINK("https://www.reddit.com/r/COVID19positive/comments/i3m4r0/recovery_from_covid19_and_lung_capacity/")</f>
        <v/>
      </c>
      <c r="G4075" t="inlineStr">
        <is>
          <t>2020-08-04 09:10:11</t>
        </is>
      </c>
      <c r="H4075" t="inlineStr">
        <is>
          <t>Tested Positive - Me</t>
        </is>
      </c>
    </row>
    <row r="4076">
      <c r="A4076" t="inlineStr">
        <is>
          <t>i3m5l9</t>
        </is>
      </c>
      <c r="B4076" t="inlineStr">
        <is>
          <t>Smell and taste</t>
        </is>
      </c>
      <c r="C4076" t="inlineStr">
        <is>
          <t>Hey so I tested positive two weeks ago and had a fairly mild case of Covid. The first things to go were my smell and taste. It’s been 15 days and I tested negative last Thursday. The only thing my taste and smell haven’t returned. What is the process like getting your taste and smell back? Is it a slow process or what?</t>
        </is>
      </c>
      <c r="D4076" t="n">
        <v>1</v>
      </c>
      <c r="E4076" t="n">
        <v>9</v>
      </c>
      <c r="F4076">
        <f>HYPERLINK("https://www.reddit.com/r/COVID19positive/comments/i3m5l9/smell_and_taste/")</f>
        <v/>
      </c>
      <c r="G4076" t="inlineStr">
        <is>
          <t>2020-08-04 09:11:27</t>
        </is>
      </c>
      <c r="H4076" t="inlineStr">
        <is>
          <t>Tested Positive - Me</t>
        </is>
      </c>
    </row>
    <row r="4077">
      <c r="A4077" t="inlineStr">
        <is>
          <t>i3oidx</t>
        </is>
      </c>
      <c r="B4077" t="inlineStr">
        <is>
          <t>Sick of this</t>
        </is>
      </c>
      <c r="C4077" t="inlineStr">
        <is>
          <t>Hello everyone, 
Hope you guys are doing alright! 
I feel like every since I had corona my stomach hasn’t been the same. Ive always been a little lactose intolerant, but recently it has been terrible. I also keep have heart palpitations before I go to sleep ONLY. I don’t know if that’s linked to my stomach but regardless I’m tired of this and wondering is there something I can do to get my stomach back to normal. I’m going to start taking probiotics but anything else? Also anything help with heart palpitations? It could 100 percent be due to anxiety but I don’t know</t>
        </is>
      </c>
      <c r="D4077" t="n">
        <v>1</v>
      </c>
      <c r="E4077" t="n">
        <v>2</v>
      </c>
      <c r="F4077">
        <f>HYPERLINK("https://www.reddit.com/r/COVID19positive/comments/i3oidx/sick_of_this/")</f>
        <v/>
      </c>
      <c r="G4077" t="inlineStr">
        <is>
          <t>2020-08-04 11:14:27</t>
        </is>
      </c>
      <c r="H4077" t="inlineStr">
        <is>
          <t>Presumed Positive - From Doctor</t>
        </is>
      </c>
    </row>
    <row r="4078">
      <c r="A4078" t="inlineStr">
        <is>
          <t>i3p2bu</t>
        </is>
      </c>
      <c r="B4078" t="inlineStr">
        <is>
          <t>Extremely vulnerable patient, mild case of covid!</t>
        </is>
      </c>
      <c r="C4078" t="inlineStr">
        <is>
          <t>Hi all, just wanted to share a surprising experience that my father in law went through.
He is classed as extremely vulnerable, with all of the diseases associated with covid mortality. He is 70 years old, overweight, diabetes, heart disease, liver disease, hepatitis along with some rare chronic disease called Mediterranean fever.  He started experiencing symptoms around 1 week ago, diarrhoea, fever of 38 degrees and a slight cough. However he felt well, just off his food. Fast forward to today, he hasn’t had any more symptoms, he feels well, no cough, shortness of breath or fever!
It’s awful to say but when he tested positive we automatically thought the worst given his poor health. I must say this is a very strange disease that seems to be affecting people very differently!</t>
        </is>
      </c>
      <c r="D4078" t="n">
        <v>1</v>
      </c>
      <c r="E4078" t="n">
        <v>17</v>
      </c>
      <c r="F4078">
        <f>HYPERLINK("https://www.reddit.com/r/COVID19positive/comments/i3p2bu/extremely_vulnerable_patient_mild_case_of_covid/")</f>
        <v/>
      </c>
      <c r="G4078" t="inlineStr">
        <is>
          <t>2020-08-04 11:43:06</t>
        </is>
      </c>
      <c r="H4078" t="inlineStr">
        <is>
          <t>Tested Positive - Family</t>
        </is>
      </c>
    </row>
    <row r="4079">
      <c r="A4079" t="inlineStr">
        <is>
          <t>i3pjb5</t>
        </is>
      </c>
      <c r="B4079" t="inlineStr">
        <is>
          <t>My Granddad passed away today. Prepare parents/Grandparents mentally for hospital stay</t>
        </is>
      </c>
      <c r="C4079" t="inlineStr">
        <is>
          <t>My grandfather was a cheerful healthy person with no pre existing condition. He was not a virus denier. He used to be very careful. He never left home for the past 2 months and used to wash his hands frequently. We had a pulse oximeter to monitor his o2 daily from March. 
What we didn't do was to prepare him for the scenario after we catch the virus. The hospital stay was Brutal. No one is allowed to visit and for an old person who was with his loving family his whole life, the hospital atmosphere was exhausting to him. He used to call us daily and ask us to take him home. There was no one around to take care of him, to talk to him , to give him positive thoughts. He died all alone in the hospital. 
If you have parents and grandparents , preparing them mentally for the hospital stay is VERY VERY important. Ask them to be positive, arrange for Video calls, keep giving them hope about the future and tell them that they can come home soon and the whole family will be together.</t>
        </is>
      </c>
      <c r="D4079" t="n">
        <v>1</v>
      </c>
      <c r="E4079" t="n">
        <v>66</v>
      </c>
      <c r="F4079">
        <f>HYPERLINK("https://www.reddit.com/r/COVID19positive/comments/i3pjb5/my_granddad_passed_away_today_prepare/")</f>
        <v/>
      </c>
      <c r="G4079" t="inlineStr">
        <is>
          <t>2020-08-04 12:07:46</t>
        </is>
      </c>
      <c r="H4079" t="inlineStr">
        <is>
          <t>Tested Positive</t>
        </is>
      </c>
    </row>
    <row r="4080">
      <c r="A4080" t="inlineStr">
        <is>
          <t>i3pnt2</t>
        </is>
      </c>
      <c r="B4080" t="inlineStr">
        <is>
          <t>Can anybody else let me know if they’ve had similar experiences? :(</t>
        </is>
      </c>
      <c r="C4080" t="inlineStr">
        <is>
          <t>My brother heard that he tested positive for covid on Saturday. For a few days prior hearing results, he locked himself in his room and I’d just leave him dinner out in front of his room. I honestly didn’t think he’d actually have it, because Covid has kind of seemed mythical to me (I know it’s obviously not), because nobody I personally know has been infected. 
Anyway near the time he tested for it, I had started feeling lazier and more sluggish. Honestly couldn’t tell if it was because of quarantine or sickness. I ended up testing for covid yesterday (monday) and I’ll admit, I’ve been feeling more out of it. Coughing, loss of appetite, fatigue, brain fog, loss of motivation. I think it’s likely I probably have covid as well since my brother has and we live in the same house/share a lot of things... but I can’t help but to feel like I’m feeling a placebo effect? I’ve been feeling worse ever since finding out he tested positive. I’m also just feeling inexplicably bad about myself. I skipped my morning workout because I didn’t have the strength to and I tossed out a lunch I made for myself because I felt too lazy to eat/it didn’t have taste. 
Okay I guess most people here probably have similar experiences because all I have done is name symptoms I’m experiencing, I guess I just wanted to share :(</t>
        </is>
      </c>
      <c r="D4080" t="n">
        <v>1</v>
      </c>
      <c r="E4080" t="n">
        <v>17</v>
      </c>
      <c r="F4080">
        <f>HYPERLINK("https://www.reddit.com/r/COVID19positive/comments/i3pnt2/can_anybody_else_let_me_know_if_theyve_had/")</f>
        <v/>
      </c>
      <c r="G4080" t="inlineStr">
        <is>
          <t>2020-08-04 12:13:42</t>
        </is>
      </c>
      <c r="H4080" t="inlineStr">
        <is>
          <t>Tested Positive - Family</t>
        </is>
      </c>
    </row>
    <row r="4081">
      <c r="A4081" t="inlineStr">
        <is>
          <t>i3qnfm</t>
        </is>
      </c>
      <c r="B4081" t="inlineStr">
        <is>
          <t>Mother tested positive.</t>
        </is>
      </c>
      <c r="C4081" t="inlineStr">
        <is>
          <t>Hi everyone, so my mom tested positive on Saturday and says she has had minor symptoms since last Tuesday (7 days ago) she says she has had low fevers and stomach issues, yesterday I spoke to her and I had no idea she was sick till she told me. Today I faceted her and she looked a little worse says she had a fever last night and now had body aches. I am a bit worried since its been 7 days. Anyone know what symptoms I should look out for? She has no cough just says body aches and fever come and go.</t>
        </is>
      </c>
      <c r="D4081" t="n">
        <v>1</v>
      </c>
      <c r="E4081" t="n">
        <v>5</v>
      </c>
      <c r="F4081">
        <f>HYPERLINK("https://www.reddit.com/r/COVID19positive/comments/i3qnfm/mother_tested_positive/")</f>
        <v/>
      </c>
      <c r="G4081" t="inlineStr">
        <is>
          <t>2020-08-04 13:04:23</t>
        </is>
      </c>
      <c r="H4081" t="inlineStr">
        <is>
          <t>Tested Positive - Family</t>
        </is>
      </c>
    </row>
    <row r="4082">
      <c r="A4082" t="inlineStr">
        <is>
          <t>i3qoz7</t>
        </is>
      </c>
      <c r="B4082" t="inlineStr">
        <is>
          <t>How long after testing positive will I test negative?</t>
        </is>
      </c>
      <c r="C4082" t="inlineStr">
        <is>
          <t>Hello, I hope everyone is going through a speedy recovery, I finally feel 100%. 
I started showing symptoms on Friday 7/24, got tested and confirmed + on 7/26, I was experiencing symptoms the first 5 days (chills, body aches, fever, no appetite, exhaustion, no taste/smell) today is day 11 from the first day of symptoms and I still have no sense of taste or smell but all other symptoms have been gone for at least 72 hours, I feel much better, my energy and appetite is back but I don’t know if it’s too soon to go get tested again? I know of a place where I can get a rapid test done and find out on the spot, do you guys think it’s too early? Or would it be a good time since I no longer have symptoms? I’m isolating at a hotel &amp;amp; just want to figure out when I can go back home to my family, let me know what you guys think, your feedback is much appreciated.</t>
        </is>
      </c>
      <c r="D4082" t="n">
        <v>1</v>
      </c>
      <c r="E4082" t="n">
        <v>5</v>
      </c>
      <c r="F4082">
        <f>HYPERLINK("https://www.reddit.com/r/COVID19positive/comments/i3qoz7/how_long_after_testing_positive_will_i_test/")</f>
        <v/>
      </c>
      <c r="G4082" t="inlineStr">
        <is>
          <t>2020-08-04 13:06:30</t>
        </is>
      </c>
      <c r="H4082" t="inlineStr">
        <is>
          <t>Tested Positive - Me</t>
        </is>
      </c>
    </row>
    <row r="4083">
      <c r="A4083" t="inlineStr">
        <is>
          <t>i3riyy</t>
        </is>
      </c>
      <c r="B4083" t="inlineStr">
        <is>
          <t>Posted my covid story on social media. Family gets offended.</t>
        </is>
      </c>
      <c r="C4083" t="inlineStr">
        <is>
          <t>I have to vent. So my husband and I caught covid19 through my parents due to their incessant gatherings. Ultimately, they caught the virus through my auntie who hid her illness. My parents acted like it was "allergies", lied about their symptoms to me and inevitably, we caught it this way. 
It's been a brutal 13 days of symptoms so far. I feel better now, but I felt the need to share my story and pop everybody's little safety bubble about the virus. 
So I posted this:
\------------
My husband and I did everything by the book when it came to quarantine. 
We wore our masks religiously, we washed our hands often, social distanced and went out only when necessary. 
Yet, we still got covid. 
Why? Because my parents thought bingo with family as more important than the health and safety of themselves and others. 
It's been a roller coaster of symptoms \[list of symptoms\]. Some of our family members have also been admitted to the hospital for this, including my mother. 
The virus is real and doesn't care who you are. People can still spread it, even if they're not showing symptoms. 
Wear your mask. Social distance. And if you think one party isn't going to hurt, ask yourself: Is it worth it? 
\---------
I've gotten a lot of support from friends and cousins who's parents were also exposed. But today, I've been getting word that the aunties feel offended that I posted what I did because they feel attacked and that I am insensitive for calling out my parents like this. That at the end of the day, my parents are my parents. These are filipino alt-righters by the way, who I suppose were hoping that by keeping quiet about this situation, it'll disappear and they can continue doing what they do. 
Essentially, they turned my "warning" message to others, into something about themselves! 
Anyhoo, I think people deserve to know. People need to be aware this is real. It's because of their "silence", this virus has spread the way it did. I can't stand for it anymore.</t>
        </is>
      </c>
      <c r="D4083" t="n">
        <v>1</v>
      </c>
      <c r="E4083" t="n">
        <v>41</v>
      </c>
      <c r="F4083">
        <f>HYPERLINK("https://www.reddit.com/r/COVID19positive/comments/i3riyy/posted_my_covid_story_on_social_media_family_gets/")</f>
        <v/>
      </c>
      <c r="G4083" t="inlineStr">
        <is>
          <t>2020-08-04 13:50:11</t>
        </is>
      </c>
      <c r="H4083" t="inlineStr">
        <is>
          <t>Tested Positive - Family</t>
        </is>
      </c>
    </row>
    <row r="4084">
      <c r="A4084" t="inlineStr">
        <is>
          <t>i3rp8e</t>
        </is>
      </c>
      <c r="B4084" t="inlineStr">
        <is>
          <t>26F going crazy on day 25 of covid</t>
        </is>
      </c>
      <c r="C4084" t="inlineStr">
        <is>
          <t>My symptoms were never that bad. I might have had a fever on day 1 but that went away quick. I’ve had mild congestion since the beginning, and I had loss of sense and smell for the first week and a half but that came back already. Been feeling better since day 15. And I’ve tested positive twice (day 15 and day 24). I’m going to wait another 10 days to go in again but I’m starting to lose hope. I’ve had family members who beat it after 2-3 weeks, so I was hoping I’d clear it quick too. Just coming on here to vent. This shit fuckin sucks. Anyone know if tequila helps?</t>
        </is>
      </c>
      <c r="D4084" t="n">
        <v>1</v>
      </c>
      <c r="E4084" t="n">
        <v>9</v>
      </c>
      <c r="F4084">
        <f>HYPERLINK("https://www.reddit.com/r/COVID19positive/comments/i3rp8e/26f_going_crazy_on_day_25_of_covid/")</f>
        <v/>
      </c>
      <c r="G4084" t="inlineStr">
        <is>
          <t>2020-08-04 13:59:34</t>
        </is>
      </c>
      <c r="H4084" t="inlineStr">
        <is>
          <t>Tested Positive - Me</t>
        </is>
      </c>
    </row>
    <row r="4085">
      <c r="A4085" t="inlineStr">
        <is>
          <t>i3rwbz</t>
        </is>
      </c>
      <c r="B4085" t="inlineStr">
        <is>
          <t>Preparing to donate plasma - tips/advice?</t>
        </is>
      </c>
      <c r="C4085" t="inlineStr">
        <is>
          <t>Hi friends - I've been tentatively accepted into Mt. Sinai's COVID plasma program pending my titer/intake test (getting it next week).
I've seen some posts with tips but would welcome more — specifically from those who have recovered from COVID.  I'm still experiencing fatigue 4+ months out from my initial infection and wondering how donating has (or has not) affected those who have recovered and subsequently donated?
Thank you!</t>
        </is>
      </c>
      <c r="D4085" t="n">
        <v>1</v>
      </c>
      <c r="E4085" t="n">
        <v>2</v>
      </c>
      <c r="F4085">
        <f>HYPERLINK("https://www.reddit.com/r/COVID19positive/comments/i3rwbz/preparing_to_donate_plasma_tipsadvice/")</f>
        <v/>
      </c>
      <c r="G4085" t="inlineStr">
        <is>
          <t>2020-08-04 14:10:10</t>
        </is>
      </c>
      <c r="H4085" t="inlineStr">
        <is>
          <t>Tested Positive - Me</t>
        </is>
      </c>
    </row>
    <row r="4086">
      <c r="A4086" t="inlineStr">
        <is>
          <t>i3s5yf</t>
        </is>
      </c>
      <c r="B4086" t="inlineStr">
        <is>
          <t>Whole family sick. I'm not.</t>
        </is>
      </c>
      <c r="C4086" t="inlineStr">
        <is>
          <t>dad tested positive on the 1st, mom is waiting for results but sick as a cow. I have 0 symptoms and I was told to just act as if I have it, not go out, vitamins. 
Anyone else had this happen? It's kind of surreal. Any tips with helping them? I have not gotten tested yet, should I not go near my parents? Or am I probably good? Should I get tested? Idk exactly what to do because I have no issues.
My parents just want me to leave stuff at the door...
If I'm asymptomatic can it re infect my parents?</t>
        </is>
      </c>
      <c r="D4086" t="n">
        <v>1</v>
      </c>
      <c r="E4086" t="n">
        <v>6</v>
      </c>
      <c r="F4086">
        <f>HYPERLINK("https://www.reddit.com/r/COVID19positive/comments/i3s5yf/whole_family_sick_im_not/")</f>
        <v/>
      </c>
      <c r="G4086" t="inlineStr">
        <is>
          <t>2020-08-04 14:24:50</t>
        </is>
      </c>
      <c r="H4086" t="inlineStr">
        <is>
          <t>Tested Positive - Family</t>
        </is>
      </c>
    </row>
    <row r="4087">
      <c r="A4087" t="inlineStr">
        <is>
          <t>i3suc3</t>
        </is>
      </c>
      <c r="B4087" t="inlineStr">
        <is>
          <t>Urination issues?</t>
        </is>
      </c>
      <c r="C4087" t="inlineStr">
        <is>
          <t>So I have been having weird urination issues where I frequently have small urinations and almost have to work to force it out even though it really feels like I have to go.
Just messaged my doc and he said they have been seeing this a lot and think it may be Covid related. Anybody else have the same issue?</t>
        </is>
      </c>
      <c r="D4087" t="n">
        <v>1</v>
      </c>
      <c r="E4087" t="n">
        <v>12</v>
      </c>
      <c r="F4087">
        <f>HYPERLINK("https://www.reddit.com/r/COVID19positive/comments/i3suc3/urination_issues/")</f>
        <v/>
      </c>
      <c r="G4087" t="inlineStr">
        <is>
          <t>2020-08-04 15:02:26</t>
        </is>
      </c>
      <c r="H4087" t="inlineStr">
        <is>
          <t>Tested Positive</t>
        </is>
      </c>
    </row>
    <row r="4088">
      <c r="A4088" t="inlineStr">
        <is>
          <t>i3sy65</t>
        </is>
      </c>
      <c r="B4088" t="inlineStr">
        <is>
          <t>Any suggestions how to improve symptoms?</t>
        </is>
      </c>
      <c r="C4088" t="inlineStr">
        <is>
          <t>Two weeks ago, my friend (not a redditor), began having symptoms. It started with a migraine, which progressed to a high temp and then vomiting for several days. After vomiting for around 5 days I finally convinced her to go to the hospital. They tested her and did blood tests. She tested positive and her blood doesn’t show signs of dehydration. I read on this sub someone said that it’s recommended to sleep sitting up so fluid doesn’t get caught in your lungs and can help avoid pneumonia. Are there any other suggestions to help symptoms and also avoid virus getting worse?</t>
        </is>
      </c>
      <c r="D4088" t="n">
        <v>1</v>
      </c>
      <c r="E4088" t="n">
        <v>2</v>
      </c>
      <c r="F4088">
        <f>HYPERLINK("https://www.reddit.com/r/COVID19positive/comments/i3sy65/any_suggestions_how_to_improve_symptoms/")</f>
        <v/>
      </c>
      <c r="G4088" t="inlineStr">
        <is>
          <t>2020-08-04 15:08:23</t>
        </is>
      </c>
      <c r="H4088" t="inlineStr">
        <is>
          <t>Tested Positive - Friends</t>
        </is>
      </c>
    </row>
    <row r="4089">
      <c r="A4089" t="inlineStr">
        <is>
          <t>i3ti3j</t>
        </is>
      </c>
      <c r="B4089" t="inlineStr">
        <is>
          <t>Has anyone gotten a positive test without symptoms?</t>
        </is>
      </c>
      <c r="C4089" t="inlineStr">
        <is>
          <t>My fiancé and I were going to visit family and decided to get a test ahead of time. We got the rapid test and got it back and mine was positive while hers was negative. 
We’re not showing any symptoms at all could it still be developing? Has anyone gotten a positive test and not show symptoms at all?</t>
        </is>
      </c>
      <c r="D4089" t="n">
        <v>1</v>
      </c>
      <c r="E4089" t="n">
        <v>13</v>
      </c>
      <c r="F4089">
        <f>HYPERLINK("https://www.reddit.com/r/COVID19positive/comments/i3ti3j/has_anyone_gotten_a_positive_test_without_symptoms/")</f>
        <v/>
      </c>
      <c r="G4089" t="inlineStr">
        <is>
          <t>2020-08-04 15:39:28</t>
        </is>
      </c>
      <c r="H4089" t="inlineStr">
        <is>
          <t>Tested Positive - Me</t>
        </is>
      </c>
    </row>
    <row r="4090">
      <c r="A4090" t="inlineStr">
        <is>
          <t>i3tjzj</t>
        </is>
      </c>
      <c r="B4090" t="inlineStr">
        <is>
          <t>Month 5, unfortunately still sick</t>
        </is>
      </c>
      <c r="C4090" t="inlineStr">
        <is>
          <t>I said last month I'd post for the next month.  Probably will be doing that until I can type out a "recovered" post or until I personally feel posting is losing its value in contributing to this subreddit.  If you have any questions, please look at posting &amp;amp; comment history in this sub.  I'm posting this for informational purposes and am not seeking advice in any form.
Kinda getting the feeling that I'm dealing with some sort of autoimmune issue kickstarted by COVID, or something along those lines.  I don't want to talk about this like it's commonplace for COVID - I'm in the minority of those that get sick.  Please don't get anxious about it.
Still experiencing fatigue, fever (not low grade), body aches, nausea, brain fog, appetite changes.  The fatigue, body aches, and brain fog seems to have increased in severity.  The body aches are sometimes quite painful, much more than they used to be.
It's been hard to adjust to.  I haven't really adjusted to it very much yet because of how hard it is to adjust to.  But I'm starting to let go of the idea of being able to go back to how I was living before.  Maybe my body won't be able to do what it used to, but that doesn't mean I'm entirely incapable.  I'll still accomplish things, just slower than others.  Life is different but not over. 
See you guys next month!</t>
        </is>
      </c>
      <c r="D4090" t="n">
        <v>1</v>
      </c>
      <c r="E4090" t="n">
        <v>23</v>
      </c>
      <c r="F4090">
        <f>HYPERLINK("https://www.reddit.com/r/COVID19positive/comments/i3tjzj/month_5_unfortunately_still_sick/")</f>
        <v/>
      </c>
      <c r="G4090" t="inlineStr">
        <is>
          <t>2020-08-04 15:42:39</t>
        </is>
      </c>
      <c r="H4090" t="inlineStr">
        <is>
          <t>Tested Positive - Me</t>
        </is>
      </c>
    </row>
    <row r="4091">
      <c r="A4091" t="inlineStr">
        <is>
          <t>i3u309</t>
        </is>
      </c>
      <c r="B4091" t="inlineStr">
        <is>
          <t>MY SMELL CAME BACK - Day 15</t>
        </is>
      </c>
      <c r="C4091" t="inlineStr">
        <is>
          <t>I started to experience symptoms on July 20 and the next day I tested positive for Covid. The first couple days were bad, but nothing too severe. On the evening of Day 4 I lost my sense of smell. This was the only symptom I had from Day 5 on until I tested negative on August 1st. Even after my negative, I still didn’t have smell and was getting worried. But today, my smell came back all at once in the shower!!! If anyone is in the same boat as me and has just lost their smell, try not to freak out like I did about losing your smell forever, there’s light at the end of the tunnel!!</t>
        </is>
      </c>
      <c r="D4091" t="n">
        <v>1</v>
      </c>
      <c r="E4091" t="n">
        <v>13</v>
      </c>
      <c r="F4091">
        <f>HYPERLINK("https://www.reddit.com/r/COVID19positive/comments/i3u309/my_smell_came_back_day_15/")</f>
        <v/>
      </c>
      <c r="G4091" t="inlineStr">
        <is>
          <t>2020-08-04 16:14:13</t>
        </is>
      </c>
      <c r="H4091" t="inlineStr">
        <is>
          <t>Tested Positive - Me</t>
        </is>
      </c>
    </row>
    <row r="4092">
      <c r="A4092" t="inlineStr">
        <is>
          <t>i3u81u</t>
        </is>
      </c>
      <c r="B4092" t="inlineStr">
        <is>
          <t>its my 11th day with covid and i have question</t>
        </is>
      </c>
      <c r="C4092" t="inlineStr">
        <is>
          <t>Hi i am 20 y/o male , 11 days ago the symptoms started with me with fever and incredibly headache and i tested positive for covid but the hospitals are full in my area so they told me to stay home and comfort and i'll be ok soon so i did that and then day by day other symptoms appeared like coughing and Arthritis and Loss of smell and taste and a general weakness and at the 7th day all this symptoms have gone i thought i recovered but after two days (the 9th day) My shoulders and my fingers are hurting again , my stomach start hurting so much i never felt this pain in my life befor i literally barely sleep becuase of it , its been 3 day with this stomach pain that never rest , so my question now is should i just stay home and resist or there somthing i should do or some medicine i should take to relieve the pain ?</t>
        </is>
      </c>
      <c r="D4092" t="n">
        <v>1</v>
      </c>
      <c r="E4092" t="n">
        <v>6</v>
      </c>
      <c r="F4092">
        <f>HYPERLINK("https://www.reddit.com/r/COVID19positive/comments/i3u81u/its_my_11th_day_with_covid_and_i_have_question/")</f>
        <v/>
      </c>
      <c r="G4092" t="inlineStr">
        <is>
          <t>2020-08-04 16:22:49</t>
        </is>
      </c>
      <c r="H4092" t="inlineStr">
        <is>
          <t>Tested Positive - Me</t>
        </is>
      </c>
    </row>
    <row r="4093">
      <c r="A4093" t="inlineStr">
        <is>
          <t>i3uicw</t>
        </is>
      </c>
      <c r="B4093" t="inlineStr">
        <is>
          <t>Odd Covid symptoms</t>
        </is>
      </c>
      <c r="C4093" t="inlineStr">
        <is>
          <t>I tested positive for Covid and I was shocked. I went into the ER on Sunday with a severe migraine and thought at the most maybe I have a sinus infection. Turns out I have Covid. Just wanted to post my early symptoms in case anyone else has experienced the same or similar. It started with eye pain. My eyes started hurting one day, very sensitive to light and movement and occasional burning pain. After a few days of this I got a fever of 102 deg and the the day after I got a very intense headache that has never left. I’ve been 4 days with a severe headache that I can’t get any relief from. ER visit was unable to help much. Now I’m starting to feel pressure in my chest and it’s harder to breathe. No taste or smell and no appetite. Anyone else have similar symptoms? Let’s chat. I’d love to hear what you’re doing for pain management.</t>
        </is>
      </c>
      <c r="D4093" t="n">
        <v>1</v>
      </c>
      <c r="E4093" t="n">
        <v>33</v>
      </c>
      <c r="F4093">
        <f>HYPERLINK("https://www.reddit.com/r/COVID19positive/comments/i3uicw/odd_covid_symptoms/")</f>
        <v/>
      </c>
      <c r="G4093" t="inlineStr">
        <is>
          <t>2020-08-04 16:40:11</t>
        </is>
      </c>
      <c r="H4093" t="inlineStr">
        <is>
          <t>Tested Positive - Me</t>
        </is>
      </c>
    </row>
    <row r="4094">
      <c r="A4094" t="inlineStr">
        <is>
          <t>i3vkjq</t>
        </is>
      </c>
      <c r="B4094" t="inlineStr">
        <is>
          <t>5 positive in family</t>
        </is>
      </c>
      <c r="C4094" t="inlineStr">
        <is>
          <t>My family and I were all in quarantine for 5 weeks with Covid in AZ (Maricopa County) and we are all well now.  It was my husband, myself, and 3 children.  We were all positive.  I have documented my experience on my instagram page:  MistySpillsTheBeans 
I have several videos and also real coverage at the drive up test site.  If you are interested in my experience you can follow and message me there where I am active every day.  I am doing everything I can to help others get through this and answer questions and also offer support.
I am offering a positive environment to talk and also support each other.
Please message me to let me know you came from Reddit!  
MistySpillsTheBeans</t>
        </is>
      </c>
      <c r="D4094" t="n">
        <v>1</v>
      </c>
      <c r="E4094" t="n">
        <v>2</v>
      </c>
      <c r="F4094">
        <f>HYPERLINK("https://www.reddit.com/r/COVID19positive/comments/i3vkjq/5_positive_in_family/")</f>
        <v/>
      </c>
      <c r="G4094" t="inlineStr">
        <is>
          <t>2020-08-04 17:47:32</t>
        </is>
      </c>
      <c r="H4094" t="inlineStr">
        <is>
          <t>Tested Positive - Me</t>
        </is>
      </c>
    </row>
    <row r="4095">
      <c r="A4095" t="inlineStr">
        <is>
          <t>i3vl4n</t>
        </is>
      </c>
      <c r="B4095" t="inlineStr">
        <is>
          <t>5 weeks of covid with family of 5</t>
        </is>
      </c>
      <c r="C4095" t="inlineStr">
        <is>
          <t>My family and I were all in quarantine for 5 weeks with Covid in AZ (Maricopa County) and we are all well now.  It was my husband, myself, and 3 children.  We were all positive.  I have documented my experience on my instagram page:  MistySpillsTheBeans 
I have several videos and also real coverage at the drive up test site.  If you are interested in my experience you can follow and message me there where I am active every day.  I am doing everything I can to help others get through this and answer questions and also offer support.
I am offering a positive environment to talk and also support each other.
Please message me to let me know you came from Reddit!  
MistySpillsTheBeans</t>
        </is>
      </c>
      <c r="D4095" t="n">
        <v>1</v>
      </c>
      <c r="E4095" t="n">
        <v>6</v>
      </c>
      <c r="F4095">
        <f>HYPERLINK("https://www.reddit.com/r/COVID19positive/comments/i3vl4n/5_weeks_of_covid_with_family_of_5/")</f>
        <v/>
      </c>
      <c r="G4095" t="inlineStr">
        <is>
          <t>2020-08-04 17:48:36</t>
        </is>
      </c>
      <c r="H4095" t="inlineStr">
        <is>
          <t>Tested Positive - Me</t>
        </is>
      </c>
    </row>
    <row r="4096">
      <c r="A4096" t="inlineStr">
        <is>
          <t>i3vv9g</t>
        </is>
      </c>
      <c r="B4096" t="inlineStr">
        <is>
          <t>23 Male</t>
        </is>
      </c>
      <c r="C4096" t="inlineStr">
        <is>
          <t>Im making this post to console other who may be in situations similar to mines. I tested positive for covid and wanted to catalog my experiences. I'm not sure where I got the virus from and do not wish to speculate or point fingers at anyone.
 I got tested on Saturday August 1st 2020. results came the following Monday. I had a nasal swab test done.   I was prompted to get tested after having a sore throat and noticeable decline in my sense of smell and taste.  At one point I tried huffing gasoline to test my sense of smell and detected nothing. I browsed this subreddit before and recalled that experiencing  loss of smell and taste are pretty close to guaranteeing that you have covid. That is what prompted me to schedule the test.  As of now my sense have come back. I still get hot flashes but this may just be the triple digit temperature my area has been experiencing recently. Overall if it were not for the loss of senses and knowing there is a pandemic going on I would have shrugged this off as a "summer cold" 
&amp;amp;#x200B;
In the past I have done numerous clinical trials which require me to have blood work done. I will get my blood work done again and compare the results.</t>
        </is>
      </c>
      <c r="D4096" t="n">
        <v>1</v>
      </c>
      <c r="E4096" t="n">
        <v>3</v>
      </c>
      <c r="F4096">
        <f>HYPERLINK("https://www.reddit.com/r/COVID19positive/comments/i3vv9g/23_male/")</f>
        <v/>
      </c>
      <c r="G4096" t="inlineStr">
        <is>
          <t>2020-08-04 18:07:17</t>
        </is>
      </c>
      <c r="H4096" t="inlineStr">
        <is>
          <t>Tested Positive - Me</t>
        </is>
      </c>
    </row>
    <row r="4097">
      <c r="A4097" t="inlineStr">
        <is>
          <t>i3wh33</t>
        </is>
      </c>
      <c r="B4097" t="inlineStr">
        <is>
          <t>How long did it take you to test negative after testing positive???</t>
        </is>
      </c>
      <c r="C4097" t="inlineStr">
        <is>
          <t>So my fiancee got covid at the end of June beginning of July  she's since gotten better  she's tested twice and they came back positive even though he said she feels at 100% should she go get tested some where else ???</t>
        </is>
      </c>
      <c r="D4097" t="n">
        <v>1</v>
      </c>
      <c r="E4097" t="n">
        <v>5</v>
      </c>
      <c r="F4097">
        <f>HYPERLINK("https://www.reddit.com/r/COVID19positive/comments/i3wh33/how_long_did_it_take_you_to_test_negative_after/")</f>
        <v/>
      </c>
      <c r="G4097" t="inlineStr">
        <is>
          <t>2020-08-04 18:48:09</t>
        </is>
      </c>
      <c r="H4097" t="inlineStr">
        <is>
          <t>Tested Positive - Friends</t>
        </is>
      </c>
    </row>
    <row r="4098">
      <c r="A4098" t="inlineStr">
        <is>
          <t>i3wrh9</t>
        </is>
      </c>
      <c r="B4098" t="inlineStr">
        <is>
          <t>Just tested positive today - questions are the bottom</t>
        </is>
      </c>
      <c r="C4098" t="inlineStr">
        <is>
          <t>Previously wore a mask absolutely everywhere, am very cautious and so is my Fiancée and her family. I do, however, work a side job as a barista at a local coffee shop where a very slim amount wear a mask. Very conservative area :/
I went out to eat on Friday with my fiancée and started noticing that my nose was getting stuffy. Thought it was allergies. Woke up early for my coffee shift on Saturday and noticed my nose was still stuffy. But I also noticed my sense of smell and taste were gone. Later that day I went straight home and used some nasal spray and Claritin I had. No change. Put some Vick’s vaporub on over night. No change.
Stayed home all day Sunday, worked from home on Monday and scheduled an appointment for a test on Tuesday. 
Fast forward to today (Tuesday) and I still have no sense of smell or taste — day 5. That’s the only symptom I have. I was tested this morning and just got my result. Positive.
Should I be expecting worse? My fiancée is quite nervous. She doesn’t live with me, has been quarantining herself. She doesn’t have any symptoms, but Is getting tested tomorrow. Should she be expecting anything?</t>
        </is>
      </c>
      <c r="D4098" t="n">
        <v>1</v>
      </c>
      <c r="E4098" t="n">
        <v>10</v>
      </c>
      <c r="F4098">
        <f>HYPERLINK("https://www.reddit.com/r/COVID19positive/comments/i3wrh9/just_tested_positive_today_questions_are_the/")</f>
        <v/>
      </c>
      <c r="G4098" t="inlineStr">
        <is>
          <t>2020-08-04 19:07:49</t>
        </is>
      </c>
      <c r="H4098" t="inlineStr">
        <is>
          <t>Tested Positive - Me</t>
        </is>
      </c>
    </row>
    <row r="4099">
      <c r="A4099" t="inlineStr">
        <is>
          <t>i3xjjt</t>
        </is>
      </c>
      <c r="B4099" t="inlineStr">
        <is>
          <t>Chest pain?</t>
        </is>
      </c>
      <c r="C4099" t="inlineStr">
        <is>
          <t>Has anyone had chest pain for more than 3 months now? I still have chest pain all the time but it’s not as bad as it was my first few weeks I tested positive.</t>
        </is>
      </c>
      <c r="D4099" t="n">
        <v>1</v>
      </c>
      <c r="E4099" t="n">
        <v>11</v>
      </c>
      <c r="F4099">
        <f>HYPERLINK("https://www.reddit.com/r/COVID19positive/comments/i3xjjt/chest_pain/")</f>
        <v/>
      </c>
      <c r="G4099" t="inlineStr">
        <is>
          <t>2020-08-04 20:01:11</t>
        </is>
      </c>
      <c r="H4099" t="inlineStr">
        <is>
          <t>Tested Positive - Me</t>
        </is>
      </c>
    </row>
    <row r="4100">
      <c r="A4100" t="inlineStr">
        <is>
          <t>i3znc7</t>
        </is>
      </c>
      <c r="B4100" t="inlineStr">
        <is>
          <t>If I tested positive for the virus but am feeling better now (no symptoms) can I have sex?</t>
        </is>
      </c>
      <c r="C4100" t="inlineStr">
        <is>
          <t>Can I have sex with my boyfriend? I had the symptoms 14 days ago and got tested positive for the virus 12 days ago. And I did the antibody test and it’s still positive. I don’t want to get anyone sick from this virus so by when will I no longer have the virus inside my body? When should I go retested? And is it safe to have sex or should I wait till I get negative results?</t>
        </is>
      </c>
      <c r="D4100" t="n">
        <v>1</v>
      </c>
      <c r="E4100" t="n">
        <v>13</v>
      </c>
      <c r="F4100">
        <f>HYPERLINK("https://www.reddit.com/r/COVID19positive/comments/i3znc7/if_i_tested_positive_for_the_virus_but_am_feeling/")</f>
        <v/>
      </c>
      <c r="G4100" t="inlineStr">
        <is>
          <t>2020-08-04 22:38:20</t>
        </is>
      </c>
      <c r="H4100" t="inlineStr">
        <is>
          <t>Tested Positive - Me</t>
        </is>
      </c>
    </row>
    <row r="4101">
      <c r="A4101" t="inlineStr">
        <is>
          <t>i3zx5l</t>
        </is>
      </c>
      <c r="B4101" t="inlineStr">
        <is>
          <t>My Case and a Rant</t>
        </is>
      </c>
      <c r="C4101" t="inlineStr">
        <is>
          <t>I got covid at the end of may. It took me 3 weeks and then I tested negative once. I have had some really weird shit happen to me since then, it's been 7 weeks since I tested negative. I have had weird chest pains, shortness of breath, dealing with tachycardia, thrush on my tongue, 2 severe panic attacks, lightheadedness, severe brain fog, and dizziness. I was on ativan for whenever I needed it (anti-anxiety med) but recently stopped a couple days ago. I wasn't taking it consistently I only took it when I really needed it. I had pressure in my temples and sinuses so my doctor prescribed me amoxicillin (strong antibiotic) which did nothing. Today I have a really weird sweet smell stuck in my nose and I have no idea where it came from. A lot of times I do not feel like myself and I feel really detached from reality and that is probably the worst lingering symptom from covid. This virus literally changed my life for the worse and I am afraid I will never be the same but I have accepted it now.</t>
        </is>
      </c>
      <c r="D4101" t="n">
        <v>1</v>
      </c>
      <c r="E4101" t="n">
        <v>6</v>
      </c>
      <c r="F4101">
        <f>HYPERLINK("https://www.reddit.com/r/COVID19positive/comments/i3zx5l/my_case_and_a_rant/")</f>
        <v/>
      </c>
      <c r="G4101" t="inlineStr">
        <is>
          <t>2020-08-04 23:01:28</t>
        </is>
      </c>
      <c r="H4101" t="inlineStr">
        <is>
          <t>Tested Positive</t>
        </is>
      </c>
    </row>
    <row r="4102">
      <c r="A4102" t="inlineStr">
        <is>
          <t>i3zz84</t>
        </is>
      </c>
      <c r="B4102" t="inlineStr">
        <is>
          <t>Prolonged low grade fever</t>
        </is>
      </c>
      <c r="C4102" t="inlineStr">
        <is>
          <t>Hi everyone!  Sorry for this being so long! 
First of all, I would just like to thank each and every one of you!  This is my first post here, but reading all of your posts and comments have sincerely helped me tremendously in knowing I’m not alone! 
So basically here is the rundown of my experience 
My husband and I are essential. I am an RN, and my husband is an operator at a local plant. We have socially distanced, and have been very respectful and conscious about everything. 
So my symptoms began on 7/8 (Wednesday). I was at work and had a sudden onset of sneezing, runny nose, itchy eyes, tingly throat that I chalked up to allergies. That night the congestion began and was pretty intense (over the next few days lost taste and smell). Called the dr the next day and a covid test was ordered. The hospital that I work at wanted me to be tested there since the results would be quicker than the hospital that my dr is at.  Had a covid test that Friday morning and got a negative result, but I still had low grade temperatures. 
Went to the walk in clinic that Saturday and tested positive for strep throat   (Ps I’m a freak of nature with strep. I’ve had my tonsils removed and still get it at least 4-5 times a year)   Started antibiotics this day and continued for the prescribed 10 days   The dr at the walk in clinic wanted me to be tested for covid again before returning to work since I work with newborns. 
Retested the following Wednesday at the hospital I work at, and once again got a negative result. 
Over the next days work would not allow me back at work with the low grade fevers, which I completely agree with. Finished the antibiotic, and still had fever. The dr at this point ordered labs, chest x Ray, blood cultures, etc. she told me that she suspected that it was in fact covid, and that my tests were false negatives   (This was on a Thursday)   The only thing that showed abnormal was some atypical lymphocytes. I hate dr Google, but when I did google it, I saw that the first things that popped up were research articles about atypical lymphocytes and covid patients.  
That following Saturday, my husband started to feel ill. By Sunday, he was barely able to drive home and had full blown covid symptoms   He was tested the next day and came back positive, and this point the dr was like this basically confirms it for you having false negatives. 
Sooo now... I’m experiencing 1-2 days of no temps, and then there’s nights like tonight when my fever is back. Tonight is one of the highest (highest 100.5) 
Anybody else experiencing this? I feel like I need this to be over to be back at work as quickly as possible. Work has been very supportive and understanding; it’s just me pressuring myself. I feel like I am second guessing everything.   I’ve messaged the dr and will hopefully have some more answers soon</t>
        </is>
      </c>
      <c r="D4102" t="n">
        <v>1</v>
      </c>
      <c r="E4102" t="n">
        <v>7</v>
      </c>
      <c r="F4102">
        <f>HYPERLINK("https://www.reddit.com/r/COVID19positive/comments/i3zz84/prolonged_low_grade_fever/")</f>
        <v/>
      </c>
      <c r="G4102" t="inlineStr">
        <is>
          <t>2020-08-04 23:06:27</t>
        </is>
      </c>
      <c r="H4102" t="inlineStr">
        <is>
          <t>Presumed Positive - From Doctor</t>
        </is>
      </c>
    </row>
    <row r="4103">
      <c r="A4103" t="inlineStr">
        <is>
          <t>i40117</t>
        </is>
      </c>
      <c r="B4103" t="inlineStr">
        <is>
          <t>extremely worried about long term effects.</t>
        </is>
      </c>
      <c r="C4103" t="inlineStr">
        <is>
          <t>I’m super super worried about the long term effects of this on my body. i’m only 18 but i’ve had shortness of breathe for about 3-4 weeks now. i have no underlying health issues. i keep reading things about lung heart and kidney damage. I’m a severe hypochondriac and now i’m extremely worried about my kidneys and heart and lungs. Any intake or advice would be helpful.</t>
        </is>
      </c>
      <c r="D4103" t="n">
        <v>1</v>
      </c>
      <c r="E4103" t="n">
        <v>7</v>
      </c>
      <c r="F4103">
        <f>HYPERLINK("https://www.reddit.com/r/COVID19positive/comments/i40117/extremely_worried_about_long_term_effects/")</f>
        <v/>
      </c>
      <c r="G4103" t="inlineStr">
        <is>
          <t>2020-08-04 23:10:34</t>
        </is>
      </c>
      <c r="H4103" t="inlineStr">
        <is>
          <t>Presumed Positive - From Doctor</t>
        </is>
      </c>
    </row>
    <row r="4104">
      <c r="A4104" t="inlineStr">
        <is>
          <t>i4011s</t>
        </is>
      </c>
      <c r="B4104" t="inlineStr">
        <is>
          <t>Day 16th and counting. Tested positive on July 20th.</t>
        </is>
      </c>
      <c r="C4104" t="inlineStr">
        <is>
          <t>Hello all,
Just wanted to share my experience with covid-19. 
On the night of July 19th at around 2200hrs, I began to feel congestion in the nose. The next morning on the 20th, I felt more congestion and a runny nose. I called my supervisor and informed him of the symptoms. Through my work, I have access to efficient and quick testing; I was immediately placed in the testing queue. 
At 0945hrs on the 20th, I was swabbed for covid. At approximately 1730hrs I received the call telling me I have tested positive for covid-19. 
Of course, I was scared at first, but I tried to relax and began to inform my close relatives about the situation and that they should get tested immediately. 
Ok, symptoms. 
At first, it felt like a typical flu. Congestion, runny nose, coughing. By the 2nd day, the fever kicked in. The highest recorded fever was 100.2 and it never went above that, but it felt a lot hotter and it made me a bit delirious. I could tell my body was already reacting to this invader; I felt tired. Really tired. I just wanted to sleep. 
By the 4th day, I lost sense of smell and taste and I was coughing a lot more violently. This time, my cough was accompanied by phlegm. At this point, my lungs felt heavy. It felt as if I could feel the weight of them inside my body. There was never any shortness of breath, but taking deep breaths was difficult because I felt my lungs swollen and incapable of expanding as much as they used to. 
On the 5th day, I experienced muscle aches in my lower back. Could be because of how I slept or maybe it was the aches people talk about. 
The 6th day was the most difficult. I was completely out of it. Everything hit me at the same time. That must have been the peak of the battle between my body and covid. I only got out of bed to use the restroom. And even then that was difficult. 
This continued until the 8th day when I woke up and I could take a deep breath without feeling like I was being constricted by a snake. My nose was still blocked up, but it didn’t feel like congestion. It felt like boogers were just stuck in there. 
On the 10th day, I used the restroom and while washing my hands, I caught a whiff of the hand soap. I could smell again. Not 100%, but I could smell.
Ok the 12th day, the only symptoms I had were loss of taste, coughing, and fatigue. 
Today was the 16th day and my cough has dramatically decreased. My smell is not 100% and taste hasn’t returned yet. But I can breath normally, and I don’t get winded when sweeping the floor. 
For perspective, I am 28 years old. 
I’d also like to add something curious I noticed. For about 10 days, I didn’t have normal bowel movements. I hardly pooped at all. I feel like I ate normally, but my body just wasn’t processing it. I’m pooping normally now, but I found it curious that a lot of people say diarrhea, but I had constipation. Please feel free to ask any questions.</t>
        </is>
      </c>
      <c r="D4104" t="n">
        <v>1</v>
      </c>
      <c r="E4104" t="n">
        <v>4</v>
      </c>
      <c r="F4104">
        <f>HYPERLINK("https://www.reddit.com/r/COVID19positive/comments/i4011s/day_16th_and_counting_tested_positive_on_july_20th/")</f>
        <v/>
      </c>
      <c r="G4104" t="inlineStr">
        <is>
          <t>2020-08-04 23:10:37</t>
        </is>
      </c>
      <c r="H4104" t="inlineStr">
        <is>
          <t>Tested Positive - Me</t>
        </is>
      </c>
    </row>
    <row r="4105">
      <c r="A4105" t="inlineStr">
        <is>
          <t>i40u6f</t>
        </is>
      </c>
      <c r="B4105" t="inlineStr">
        <is>
          <t>I Had COVID-19, Ask Me Anything</t>
        </is>
      </c>
      <c r="C4105" t="inlineStr">
        <is>
          <t>I tested positive for COVID-19 5 Weeks ago and recovered after the 14 days (CDC guidelines), and tested negative last week just to make sure I was good.
I wanted to make this Reddit post to answer any questions some people may not find anywhere else and calm some nerves.
BEFORE YOU ASK (Other then this, ask away :)):
\- My only Symptom was a Loss of Smell, I still cannot smell and would say I have about 5% smell back currently.</t>
        </is>
      </c>
      <c r="D4105" t="n">
        <v>1</v>
      </c>
      <c r="E4105" t="n">
        <v>35</v>
      </c>
      <c r="F4105">
        <f>HYPERLINK("https://www.reddit.com/r/COVID19positive/comments/i40u6f/i_had_covid19_ask_me_anything/")</f>
        <v/>
      </c>
      <c r="G4105" t="inlineStr">
        <is>
          <t>2020-08-05 00:22:36</t>
        </is>
      </c>
      <c r="H4105" t="inlineStr">
        <is>
          <t>Tested Positive - Me</t>
        </is>
      </c>
    </row>
    <row r="4106">
      <c r="A4106" t="inlineStr">
        <is>
          <t>i41h7w</t>
        </is>
      </c>
      <c r="B4106" t="inlineStr">
        <is>
          <t>Asymptomatic (maybe): how I got my positive test and some venting</t>
        </is>
      </c>
      <c r="C4106" t="inlineStr">
        <is>
          <t>26F here. I went to the ER last Thursday for flank pain and was admitted for a 7mm kidney stone. I was told I needed surgery to break up the stone and put in a stent which requires a pre-op covid test which came back positive. Initially they told me they wouldn't do the surgery because of the positive test, but after several hours my nurse came in and said things changed (not sure what). I was doubled over in pain from the stone and pain meds weren't helping.
I work in healthcare so the positive test wasn't a complete shock, but still upsetting. I had a sportatic cough/minor sore throat for less than 24 hours and it started immediately after waking up from anesthesia (not uncommon from being intubated). I don't believe that was related to covid. I had muscle soreness the day following surgery but it resolved in a day. I'm not sure about that one. No other complaints. I feel good now physically minus this stupid stent in my ureter which is a nightmare.
I'm mainly struggling mentally and emotionally. This was my first experience being admitted to the hospital. The urologist wouldn't come talk to me about the procedure they wanted to perform (even pre covid test). They kept telling me I'd be told in holding. I was never walked through the procedure but in the end, I was in so much pain I didn't care anymore. It's hard not being able to have visitors in the hospital right now. My mom kept texting me to be an advocate for myself but when you're in pain... It's tough. Once I was transferred to the covid floor I was pretty well forgotten. I was there for 12 hours total and they never came to plug in my heart monitor, take vitals, or hook me back up to fluids. I'm patient but I did eventually call for my nurse and she didn't come. It wasn't until the infectious disease doctor came in and saw me sobbing in pain that I got pain meds. These aren't really complaints, I fully recognize being the least priority on that floor being that I was asymptomatic. A kidney stone is nothing on this floor. There are people dying and I know these nurses are stretched thin. I could hear nurses calling for the morgue. It was just a very sad, lonely, scary experience. Not knowing what was going to happen was the worst part, I think.
Reiterating that these aren't complaints. I understand why everyone is so afraid, and I know it isn't personal. But I hope it's okay to vent a little. My boyfriend is staying with me  because we figured he was probably positive and he didn't want to infect his roommate, but his test came back negative. I could hear the regret in his voice about staying here when he told me his results. I don't think people realize that some of the things they say and do come off very hurtful to the covid positive person. I feel a lot of guilt about being positive and potentially exposing anyone already. I know their reactions are coming from a place of fear and I do understand why. Please don't tear me apart. I'm just struggling right now. I hoped writing this out would make me feel a little better.</t>
        </is>
      </c>
      <c r="D4106" t="n">
        <v>1</v>
      </c>
      <c r="E4106" t="n">
        <v>4</v>
      </c>
      <c r="F4106">
        <f>HYPERLINK("https://www.reddit.com/r/COVID19positive/comments/i41h7w/asymptomatic_maybe_how_i_got_my_positive_test_and/")</f>
        <v/>
      </c>
      <c r="G4106" t="inlineStr">
        <is>
          <t>2020-08-05 01:21:35</t>
        </is>
      </c>
      <c r="H4106" t="inlineStr">
        <is>
          <t>Tested Positive - Me</t>
        </is>
      </c>
    </row>
    <row r="4107">
      <c r="A4107" t="inlineStr">
        <is>
          <t>i41s2x</t>
        </is>
      </c>
      <c r="B4107" t="inlineStr">
        <is>
          <t>Hello, I tested positive today after 2 negative tests</t>
        </is>
      </c>
      <c r="C4107" t="inlineStr">
        <is>
          <t>I got covid in early June and made a full recovery in about 2 and a half weeks. I tested after I stopped showing symptoms and came back negative, I tested again last week and came back negative. I went to get tested again today and came back positive, but I have absolutely no symptoms. Only a cough from vaping and smoking. Am I still contagious? I’ve been working since I’ve recovered and have been feeling fine, this positive caught me off guard. They’ve all been nasal swabs if that means anything. Thank you</t>
        </is>
      </c>
      <c r="D4107" t="n">
        <v>1</v>
      </c>
      <c r="E4107" t="n">
        <v>17</v>
      </c>
      <c r="F4107">
        <f>HYPERLINK("https://www.reddit.com/r/COVID19positive/comments/i41s2x/hello_i_tested_positive_today_after_2_negative/")</f>
        <v/>
      </c>
      <c r="G4107" t="inlineStr">
        <is>
          <t>2020-08-05 01:49:36</t>
        </is>
      </c>
      <c r="H4107" t="inlineStr">
        <is>
          <t>Tested Positive - Me</t>
        </is>
      </c>
    </row>
    <row r="4108">
      <c r="A4108" t="inlineStr">
        <is>
          <t>i436yb</t>
        </is>
      </c>
      <c r="B4108" t="inlineStr">
        <is>
          <t>When does this suffering end? Nearly 5 months of pain, fear and more importantly no progression.</t>
        </is>
      </c>
      <c r="C4108" t="inlineStr">
        <is>
          <t>I have got to the point now where I doubt recovery is possible in my case. I just haven’t seen anything to suggest thats happening...
The physical suffering is one thing and when the waves come fucking hell its unbearable. But the mental torture of it all is making me suicidal, something I never thought I would ever be.
What kind of life is it to wake up in pain every day wondering what could have been. Feeling completely shut off from the rest of the world because everyone else you know has managed to stay healthy. 
I want that freedom when you wake in the morning. I want that sense of security when you go to bed at night. I want to know that things will get better and this isn’t just leading to my demise at the age of twenty god damn years old.
Where is the justice in this world? When does this suffering end?</t>
        </is>
      </c>
      <c r="D4108" t="n">
        <v>1</v>
      </c>
      <c r="E4108" t="n">
        <v>22</v>
      </c>
      <c r="F4108">
        <f>HYPERLINK("https://www.reddit.com/r/COVID19positive/comments/i436yb/when_does_this_suffering_end_nearly_5_months_of/")</f>
        <v/>
      </c>
      <c r="G4108" t="inlineStr">
        <is>
          <t>2020-08-05 03:56:15</t>
        </is>
      </c>
      <c r="H4108" t="inlineStr">
        <is>
          <t>Presumed Positive - From Doctor</t>
        </is>
      </c>
    </row>
    <row r="4109">
      <c r="A4109" t="inlineStr">
        <is>
          <t>i44h4x</t>
        </is>
      </c>
      <c r="B4109" t="inlineStr">
        <is>
          <t>22 year old’s experience with covid</t>
        </is>
      </c>
      <c r="C4109" t="inlineStr">
        <is>
          <t>Here’s my experience with covid so far. I’m 22 years old, very healthy and active, yet I still got hit pretty hard with covid. I’m presumed positive by doctors, and I’m taking a test later today to confirm. 
It all started when my boyfriend developed a dry cough about 2 weeks ago. I didn’t think much of it, because he didn’t have other symptoms, so we just assumed it was allergies. However, the cough became pretty persistent and uncontrollable, so he got tested for covid just to be sure. We’re still waiting on the results. 
I developed symptoms about a week after him; below has been my experience so far. 
Days 1-3: headache that isn’t alleviated with otc meds. Sinus pressure. Tiredness. Diarrhea on day 3
- I just assumed it was allergies at this point
Day 4: severe headache, sore throat started to develop
Day 5: sore throat, extreme shortness of breath, dry cough that eventually turned productive, chest tightness - felt like weights were placed on chest, fever, wheezing, stabbing pains in chest, excessive thirst, chills, pain in gums and ears
- debated about going to the hospital at this point, because I was gasping for air and was pretty frightened about not being able to breathe. 
Day 6: sore throat, shortness of breath, wheezing, dry/productive cough, fatigue, nose is slightly running periodically, diarrhea
- started to feel better in the afternoon
Day 7: can finally breathe!! Headache is back, painful sinus congestion, runny nose with thick, bright green mucus, chills, slight body aches, productive cough, persistent fever, watery eyes, feel the worst I’ve felt yet
Day 8 (today): headache, green mucus in nose, congestion, runny nose, watery eyes, ear pain, cough, complete lose of smell and taste
It’s day 8 for me and I still feel sick, but I feel so much better than I’ve felt these last few days.</t>
        </is>
      </c>
      <c r="D4109" t="n">
        <v>1</v>
      </c>
      <c r="E4109" t="n">
        <v>6</v>
      </c>
      <c r="F4109">
        <f>HYPERLINK("https://www.reddit.com/r/COVID19positive/comments/i44h4x/22_year_olds_experience_with_covid/")</f>
        <v/>
      </c>
      <c r="G4109" t="inlineStr">
        <is>
          <t>2020-08-05 05:32:38</t>
        </is>
      </c>
      <c r="H4109" t="inlineStr">
        <is>
          <t>Presumed Positive - From Doctor</t>
        </is>
      </c>
    </row>
    <row r="4110">
      <c r="A4110" t="inlineStr">
        <is>
          <t>i45gq6</t>
        </is>
      </c>
      <c r="B4110" t="inlineStr">
        <is>
          <t>26M - very healthy - experience thus far</t>
        </is>
      </c>
      <c r="C4110" t="inlineStr">
        <is>
          <t>So, I haven’t been tested a second time because I’ve been tested previously and it was negative (of course). So I’ve been isolating and handling things at home to the best of my ability. I’m not sure where I would’ve gotten it as I’ve followed masking and distancing protocol but whatever, I’m posting my day by day symptoms thus far. I’m not sure my first day of symptoms was actually day 1, I have bad allergies so it was hard to discern when the true starting point was. Other useful info: I’m very “healthy”, I don’t typically get sick ever, I eat a very clean diet of fruits/vegs/lean meats 90% of the time, I lift weights and bike or run 6 days a week, no underlying health conditions I’m aware of, I do get pretty bad allergies. Here are my symptoms so far, I’ll continue to update as well. 
Symptom tracking
7/31 — woke up sore throat (hurt to swallow), sleepy, progresses to diarrhea (not complete liquid), cold but no fever, fingertips and toes cold
8/1 — minor pain in throat, headache upon waking (but also didn’t drink much water so dehydration probably influenced), little head fog, slept 9.5 hours with a lot of waking up, normal sweating here and there, taste and smell fine, no fever temp normal around 97.2
Took DayQuil and oregano oil in morning &amp;amp; zicam
8/2 — sore throats very minimal, woke up at 8:15 still very tired, face is congested, maybe slight tightness around chest and abdomen, temp around 97, slight cough (very hoarse sounding, maybe a few times an hour), chest pain started in evening, falling asleep was slightly difficult because of chest tightness (not sure if Covid or anxiety)
8/3 — sore throat faintly that went away with a glass of water so prob just dry, headache faintly, very sleep upon waking, chest discomfort present starting 10 mins after waking up, the chest feeling is pain/burning, minimal coughing, stool a little loose but much improved from previous days, upper back feels right when taking a deep breathe, no SOB with chest discomfort. Post nasal drip type feeling in throat mid afternoon/early evening. Almost like a GERD feeling in chest. Started 4 baby aspirin every 5 hours starting at noon. I think chest discomfort has decreased, whether related to the aspirin or not. Went on 1.5 walk this morning, mowed my decent sized yard with push mower no problems. HR stayed in range normal for myself. Temp all day normal for me. Normal stool that evening, back to purely solid like normal not loose diarrhea 
8/4 — weird feeling in throat when swallowing (minimal), normal stool in the morning upon waking, no real cough although kind of scratchy/vibration feeling in chest like you could cough, temp in normal range, fair amount of mucus in my face (normal for my allergies though so who knows), full/tight feeling around chest and abdomen way less noticeable when taking deep breathes than before. Will take aspirin, oregano oil and bee propolis in the morning. Went for 5K run at lunch time, pace was pretty decent for my average. HR elevated but not beyond normal for me, breathing felt fine, just felt like some congestion in my nasal passages. Slightly dizzy when finishing but that left pretty quickly. Pretty loose bowel movement midday (diarrhea). Temp maintained normal levels post run, feel a little fatigued but not sure if it’s beyond “normal”. Body definitely still has that weird “off” feeling you get when you have a cold. 
8/5 — last nights evening was rough, chest and back pain constant. Very rough nausea. Woke up with some chest and back pain again, not nearly as bad as last night. But constant enough, not sure if Covid related or from taking medications round the clock since the start of this all. Some facial congestion of course and a slight headache. Temps were normal this morning. Stools were normal this morning despite the nausea and stomach pain. Throat seems to be okay aside from clearing it as per usual for me. The chest pain seems to be a pressure or knot feeling right at my sternum and directly into my back from that same point. 
That’s it so far, I’ve never had a fever through any of this. I’ll say I also suffer from anxiety which I took medication for for a few years (not currently). All things considered, I shouldn’t have run yesterday that was probably a bad idea but I’m a fool. This has definitely been an uncomfortable and anxiety spiking situation but I’ve never felt like I was going to actually die. At least not yet lol. Posting this in hopes it can help someone or at least relieve some anxiety. I know it’s tough and it feels shitty but you can make it through this. 
Supplements I’ve been using since day 1, everyday on a very tight schedule:
- multivitamin
- vitamin D (5000iu)
- oregano oil
- bee propolis
- aspirin
- mucinex syrup (🤮)
- zinc in the beginning but it causes too much gastric distress for me so stopped
- fish oil 
I’ve also been making a point to sit in direct sunlight everyday for extended periods. I work from home so I’m definitely blessed with that privilege. I’ve been making smoothies at least twice a day with various frozen berries and spinach &amp;amp; kale. 
Feel free to ask questions and maybe I can help. Will update as symptoms progress or hopefully end 🙄</t>
        </is>
      </c>
      <c r="D4110" t="n">
        <v>1</v>
      </c>
      <c r="E4110" t="n">
        <v>10</v>
      </c>
      <c r="F4110">
        <f>HYPERLINK("https://www.reddit.com/r/COVID19positive/comments/i45gq6/26m_very_healthy_experience_thus_far/")</f>
        <v/>
      </c>
      <c r="G4110" t="inlineStr">
        <is>
          <t>2020-08-05 06:36:24</t>
        </is>
      </c>
      <c r="H4110" t="inlineStr">
        <is>
          <t>Presumed Positive - From Doctor</t>
        </is>
      </c>
    </row>
    <row r="4111">
      <c r="A4111" t="inlineStr">
        <is>
          <t>i45jzc</t>
        </is>
      </c>
      <c r="B4111" t="inlineStr">
        <is>
          <t>Is Rule 1 of this sub even remotely enforced?</t>
        </is>
      </c>
      <c r="C4111" t="inlineStr">
        <is>
          <t>There’s no meta flair, but this is a meta post. Regular user of this sub, but using another account to say this.
So is rule 1 of this sub even enforced by mods anymore? “I think I have it” posts are supposed to be limited to the stickied thread, but this sub has become like 80% “I think I have it posts” and no one ever does anything about it.
I come to this sub to share my experiences recovering from the virus and support other people who have tested positive, not comfort some hypochondriac that’s seemingly incapable of using the search function of the sub.
Not only that, but the stickied thread is no longer called “I think I have it” and is now just “general discussion.” So is rule 1 even in place anymore? I have never seen mods enforce it, like ever.
Some of the posts I’ve seen are ridiculous, and can almost always be answered with a simple search. I’ve seen some pretty crazy stuff like *”I touched a surface by accident when taking out the trash, but I immediately took a bath in Germ-x. Do I have COVID now? Freaking out.”*
It’s just frustrating when I come here looking for people in the same situation, but instead get nothing but perfectly healthy hypochondriacs looking for validation and comfort. It’s honestly a little offensive. It’s like someone complaining about breaking a nail to someone who suffered a stab wound.
I get that being presumed positive from a doctor is basically the same thing as testing positive, but I’m not talking about those posts. I get that many concerns are legitimate, but until there’s a positive test, shouldn’t they still be limited to the  stickied thread? And why don’t people ever utilize the search function before asking a question that’s already been asked and answer dozens of times? Why don’t the mods do anything?</t>
        </is>
      </c>
      <c r="D4111" t="n">
        <v>1</v>
      </c>
      <c r="E4111" t="n">
        <v>3</v>
      </c>
      <c r="F4111">
        <f>HYPERLINK("https://www.reddit.com/r/COVID19positive/comments/i45jzc/is_rule_1_of_this_sub_even_remotely_enforced/")</f>
        <v/>
      </c>
      <c r="G4111" t="inlineStr">
        <is>
          <t>2020-08-05 06:42:12</t>
        </is>
      </c>
      <c r="H4111" t="inlineStr">
        <is>
          <t>Tested Positive - Me</t>
        </is>
      </c>
    </row>
    <row r="4112">
      <c r="A4112" t="inlineStr">
        <is>
          <t>i46fwv</t>
        </is>
      </c>
      <c r="B4112" t="inlineStr">
        <is>
          <t>As a healthcare worker (venting)</t>
        </is>
      </c>
      <c r="C4112" t="inlineStr">
        <is>
          <t>I am an RN and I work at a long-term care facility. I work PRN so I’m usually on a different floor each week. Last week I worked with 8 covid + residents whom I was unaware had it until later. Of course I took all precautions (masks, gown, face shield, Sanitize after leaving each room) this past week I was working on a new unit and I felt bad. I felt dizzy with a headache, I had diarrhea and was nauseated so I took my oral temp.. it was 99.9... the supervisor took it with the forehead scanner and it was 99.4. She said we don’t send people home unless it’s 99.5.......
So I worked all day feeling so bad and possibly infecting 35+ residents all over the age of 75. I have taken the test but no results yet... it’s just so infuriating to me that they are willing to put peoples lives in danger just to avoid having to call someone else in to take my place.</t>
        </is>
      </c>
      <c r="D4112" t="n">
        <v>1</v>
      </c>
      <c r="E4112" t="n">
        <v>64</v>
      </c>
      <c r="F4112">
        <f>HYPERLINK("https://www.reddit.com/r/COVID19positive/comments/i46fwv/as_a_healthcare_worker_venting/")</f>
        <v/>
      </c>
      <c r="G4112" t="inlineStr">
        <is>
          <t>2020-08-05 07:36:01</t>
        </is>
      </c>
      <c r="H4112" t="inlineStr">
        <is>
          <t>Presumed Positive - From Doctor</t>
        </is>
      </c>
    </row>
    <row r="4113">
      <c r="A4113" t="inlineStr">
        <is>
          <t>i47gku</t>
        </is>
      </c>
      <c r="B4113" t="inlineStr">
        <is>
          <t>Is Rule 1 of this sub even remotely enforced?</t>
        </is>
      </c>
      <c r="C4113" t="inlineStr">
        <is>
          <t>I saw a similar post trending on here a week or so ago, so I hope this is ok to post. 
So is rule 1 of this sub even enforced by mods anymore? “I think I have it” posts are supposed to be limited to the stickied thread, but this sub has become like 80% “I think I have it” posts, and no one ever does anything about it.
I come to this sub to share my experiences recovering from the virus and support other people who have tested positive, not comfort some hypochondriac that’s seemingly incapable of using the search function of the sub.
Not only that, but the stickied thread is no longer called “I think I have it” and is now just “general discussion.” So is rule 1 even in place anymore? I have never seen mods enforce it, like ever.
Some of the posts I’ve seen are ridiculous, and can almost always be answered with a simple search. I’ve seen some pretty crazy stuff like *”I touched a surface by accident when taking out the trash, but I immediately took a bath in Germ-x. Do I have COVID now? Freaking out.”*
It’s just frustrating when I come here looking for people in the same situation, but instead get nothing but perfectly healthy hypochondriacs looking for validation and comfort. It’s honestly a little offensive. It’s like someone complaining about breaking a nail to someone who suffered a stab wound.
I get that being presumed positive from a doctor is basically the same thing as testing positive, but I’m not talking about those posts. I get that many concerns are legitimate, but until there’s a positive test, shouldn’t they still be limited to the  stickied thread? And why don’t people ever utilize the search function before asking a question that’s already been asked and answer dozens of times? Why don’t the mods do anything?
Not every “I think I have it” post is a hypochondriac. Some are legitimate. But this is still supposed to be a sub for people who have tested positive. And the same questions keep getting asked over and over again.</t>
        </is>
      </c>
      <c r="D4113" t="n">
        <v>1</v>
      </c>
      <c r="E4113" t="n">
        <v>5</v>
      </c>
      <c r="F4113">
        <f>HYPERLINK("https://www.reddit.com/r/COVID19positive/comments/i47gku/is_rule_1_of_this_sub_even_remotely_enforced/")</f>
        <v/>
      </c>
      <c r="G4113" t="inlineStr">
        <is>
          <t>2020-08-05 08:33:04</t>
        </is>
      </c>
      <c r="H4113" t="inlineStr">
        <is>
          <t>Tested Positive - Me</t>
        </is>
      </c>
    </row>
    <row r="4114">
      <c r="A4114" t="inlineStr">
        <is>
          <t>i47kdg</t>
        </is>
      </c>
      <c r="B4114" t="inlineStr">
        <is>
          <t>So my mom tested positive for COVID</t>
        </is>
      </c>
      <c r="C4114" t="inlineStr">
        <is>
          <t>Long story short my mom works in the hospital she’s a physical therapist she tested positive for COVID after being around patient who had i. She also has signs of the sickness mild fever and cough but other then that she doing alright thankfully. 
What can I do to minimize my chances of catching it staying out of the house is not a option I have nowhere to go so the only things I can think of is to shower a couple times a day and stay mainly in my bedroom. 
Any advice would be appreciated.</t>
        </is>
      </c>
      <c r="D4114" t="n">
        <v>1</v>
      </c>
      <c r="E4114" t="n">
        <v>3</v>
      </c>
      <c r="F4114">
        <f>HYPERLINK("https://www.reddit.com/r/COVID19positive/comments/i47kdg/so_my_mom_tested_positive_for_covid/")</f>
        <v/>
      </c>
      <c r="G4114" t="inlineStr">
        <is>
          <t>2020-08-05 08:38:33</t>
        </is>
      </c>
      <c r="H4114" t="inlineStr">
        <is>
          <t>Tested Positive - Family</t>
        </is>
      </c>
    </row>
    <row r="4115">
      <c r="A4115" t="inlineStr">
        <is>
          <t>i488hj</t>
        </is>
      </c>
      <c r="B4115" t="inlineStr">
        <is>
          <t>COVID-19 is sneaky, please look after yourselves</t>
        </is>
      </c>
      <c r="C4115" t="inlineStr">
        <is>
          <t>Hi Lovely People,
Felt kinda compelled to share my story because my journey has been interesting, to say the least.
First off, I (F/27) live in Cape Town, South Africa. I am asthmatic, as well. I tested positive on 27th July (just over a week ago). It came as a shock because I did everything I was supposed to and I thought I could avoid this (stupid, I know 🙄). My first symptoms were constant headaches and loss of taste &amp;amp; smell. Then came the GI issues, tons of stomach pain &amp;amp; diarrhea. What's odd is that one day I would feel like I'm on the road to recovery and the next I'm unable to get out of bed. This morning was by far the worst day I have had, I woke up unable to breath (note: this was different to how an asthma attack felt)... I was home alone and freaking out. I called for an ambulance and called my closest family. Got to the hospital, only to be diagnosed with COVID induced pneumonia. I received oxygen therapy and had to sit on a drip for half of today. I'm thankful to God to have made it out alive, it was touch and go for a moment there. 
To anybody who is struggling with this horrible disease, you're not alone in your confusion and fear. We will beat this. Remember to rest, even if you're feeling okay. I'm praying for all of us.</t>
        </is>
      </c>
      <c r="D4115" t="n">
        <v>1</v>
      </c>
      <c r="E4115" t="n">
        <v>26</v>
      </c>
      <c r="F4115">
        <f>HYPERLINK("https://www.reddit.com/r/COVID19positive/comments/i488hj/covid19_is_sneaky_please_look_after_yourselves/")</f>
        <v/>
      </c>
      <c r="G4115" t="inlineStr">
        <is>
          <t>2020-08-05 09:14:01</t>
        </is>
      </c>
      <c r="H4115" t="inlineStr">
        <is>
          <t>Tested Positive - Me</t>
        </is>
      </c>
    </row>
    <row r="4116">
      <c r="A4116" t="inlineStr">
        <is>
          <t>i48ktn</t>
        </is>
      </c>
      <c r="B4116" t="inlineStr">
        <is>
          <t>Leaving the subreddit after recovery</t>
        </is>
      </c>
      <c r="C4116" t="inlineStr">
        <is>
          <t>For everyone who looks for stories of a full recovery and can’t find them online, most of us leave once we feel better. I’m telling you this from personal experience! I got covid in March and hit a 90+% recovered threshold about 2 weeks ago. Since then I have barely been back to this sub. Once the virus consumes your life for months at a time and you begin to feel better, reading about it is the last thing you want to spend your time doing. Just know that people DO recover, even long haulers. Spending too much time reading about the virus will make you feel even worse about it but there are positive stories out there</t>
        </is>
      </c>
      <c r="D4116" t="n">
        <v>1</v>
      </c>
      <c r="E4116" t="n">
        <v>81</v>
      </c>
      <c r="F4116">
        <f>HYPERLINK("https://www.reddit.com/r/COVID19positive/comments/i48ktn/leaving_the_subreddit_after_recovery/")</f>
        <v/>
      </c>
      <c r="G4116" t="inlineStr">
        <is>
          <t>2020-08-05 09:32:07</t>
        </is>
      </c>
      <c r="H4116" t="inlineStr">
        <is>
          <t>Tested Positive</t>
        </is>
      </c>
    </row>
    <row r="4117">
      <c r="A4117" t="inlineStr">
        <is>
          <t>i48ky0</t>
        </is>
      </c>
      <c r="B4117" t="inlineStr">
        <is>
          <t>A well-written cautionary tale from a coworker, shared with her permission.</t>
        </is>
      </c>
      <c r="C4117" t="inlineStr">
        <is>
          <t>I got the virus June 29 from hugging a friend and speaking indoors for a very short time without masks. It seemed that that person's quarantine was impeccable and I'd also been wearing a mask everywhere and maintaining six feet distance, and only speaking with others outdoors. But that night I let down my precautions. I didn't know the friend lived with someone who worked with the public. Two days later, that person and the friend tested positive. Three days after that, on July 4, my partner and I did. This person ended up infecting 8 people before she knew she was positive. (I highly recommend Texas MedClinic--their 20-minute antigen tests which are completely covered by insurance. There is no reason to wait for a week for a test result!) I was felled by a hug and a short conversation with a responsibly quarantined person with no symptoms. 
The next two weeks were the sickest I've ever been, with fevers, constant coughing, chest pain, headache, shortness of breath, being unable to swallow anything solid, and feeling unable to walk across the house or stand for more than a minute or two. At its worst it was like a delirium with an elephant sitting on the chest. The most important thing was having a pulse oximeter at home, and testing blood oxygen several times a day. If blood oxygen dips below 93, it's time to go to the hospital. I am very fortunate that this never happened, and I got a lot of peace of mind every day by testing with the pulse oximeter. Everyone should have one at home during the pandemic. I also got advice that the protocol that makes COVID less destructive is high doses of Vitamin D, Vitamin C, and N-acetyl cysteine, along with green tea extract and quercetin. Though none of it is proven as preventative, it is proven to slow the virus' entry into the cells. This protocol is something people can also begin ahead of time in order to be in the best position to have a milder experience, if infected. 
After two and a half weeks of recovery, aided by a wonderful MealTrain and lots of kind friends, herbalists and support, I went back to Texas MedClinic again and tested negative. I felt better and was cleared by Teledoc to start work again Wednesday before last. That's when I made a brief appearance on Zoom and email! It was a joy to see everyone's faces.
The next day, I had an in-person follow-up with my doctor, to be safe. After a chest x-ray, I learned that I actually had pneumonia. Apparently, I was still sick but didn't realize it--and Teledoc can't really be relied on to diagnose, of course. I went back to full rest and started antibiotics which have taken care of the pneumonia. However, the chest pain got more intense and last Sunday, I went to the ER at the Heart Hospital where I learned that the virus has affected my heart. I was diagnosed with pericarditis, or inflammation of the lining surrounding the heart, excess fluid around the heart, and costochondritis, or inflammation of the rib cage and chest wall. I started medicine for these.
This is part of what the doctors are calling a post-COVID syndrome, where different systems of the body become involved and the recovery period is prolonged. My doctor at ARC said that one in five ARC patients with COVID are experiencing a slow, longer-term recovery.
I'm cleared again now to start working on Monday, rest as needed, increase hours as I can, and keep going on treatment. I feel very, very fortunate that my COVID experience has been fairly light in comparison with many other people's. At the same time, it's been very impactful. 
Please continue to be as safe as humanly possible, even though it may be abysmally boring not to go anywhere or do anything. Get groceries with curbside pick-up. Don't talk to anyone outside of your household without a mask and six foot distance, even if they are family or chosen family. No hugging! Wear gloves when pumping gas. Hand wash or sanitize after touching door handles or ATM buttons.</t>
        </is>
      </c>
      <c r="D4117" t="n">
        <v>1</v>
      </c>
      <c r="E4117" t="n">
        <v>110</v>
      </c>
      <c r="F4117">
        <f>HYPERLINK("https://www.reddit.com/r/COVID19positive/comments/i48ky0/a_wellwritten_cautionary_tale_from_a_coworker/")</f>
        <v/>
      </c>
      <c r="G4117" t="inlineStr">
        <is>
          <t>2020-08-05 09:32:20</t>
        </is>
      </c>
      <c r="H4117" t="inlineStr">
        <is>
          <t>Tested Positive - Friends</t>
        </is>
      </c>
    </row>
    <row r="4118">
      <c r="A4118" t="inlineStr">
        <is>
          <t>i49fep</t>
        </is>
      </c>
      <c r="B4118" t="inlineStr">
        <is>
          <t>How long were yall testing positive ?</t>
        </is>
      </c>
      <c r="C4118" t="inlineStr">
        <is>
          <t>Im at day 25 pretty much asymptomatic . Only thing is i lost smell the first week but it came back within 2 weeks . I want to bear yalls stories .</t>
        </is>
      </c>
      <c r="D4118" t="n">
        <v>1</v>
      </c>
      <c r="E4118" t="n">
        <v>3</v>
      </c>
      <c r="F4118">
        <f>HYPERLINK("https://www.reddit.com/r/COVID19positive/comments/i49fep/how_long_were_yall_testing_positive/")</f>
        <v/>
      </c>
      <c r="G4118" t="inlineStr">
        <is>
          <t>2020-08-05 10:16:11</t>
        </is>
      </c>
      <c r="H4118" t="inlineStr">
        <is>
          <t>Tested Positive</t>
        </is>
      </c>
    </row>
    <row r="4119">
      <c r="A4119" t="inlineStr">
        <is>
          <t>i49wiw</t>
        </is>
      </c>
      <c r="B4119" t="inlineStr">
        <is>
          <t>My grandma (87) tested positive after being in and out of the hospital for other health issues. Life sucks</t>
        </is>
      </c>
      <c r="C4119" t="inlineStr">
        <is>
          <t>I live with her. She had already been in and out of the hospital dealing with auto-immune anemia. (I’m not sure of the clinical name for it). Which has already been pretty bad considering she’s older and it had already been making her very, very weak.
The hospital was allowing 1 visitor at a time. Theres 7 of us in my house, we all took turns visiting her and last time was about 2 weeks ago. Her anemia was getting better, so she got transferred to a rehab place to start physical therapy to get stronger. This place didn’t allow visitors, and after about a week in there doing PT she went back to the ER with a high fever and got diagnosed with COVID the next morning. This was Saturday night/Sunday morning. Her fever went away the next day and hasn’t come back, but she’s been on oxygen. Been 4-5 days now. Super weak. Hasn’t gotten worse I guess, but just hanging in there. We’re assuming she got it at the rehab place, because nobody in my house is sick, and when she got diagnosed none of us had been in close contact with her for 11 or 12 days. But my dad, brother, and I went to the rehab place last Thursday (6 days ago) and we spoke to her through the window from outside (they allow this, just no visitors inside). We also directly spoke to her nurse when we were there (not through a window), who had been direct in contact with my grandma obviously. She got a fever 2 days later. So, I don’t know how likely transmission is. 
I tested negative at the end of June, but I got swabbed this morning again as a precaution. They’re backed up with tests though and said I probably wouldn’t get results for 12-14 days. My aunt, who I also live with, is getting a test done this afternoon too. I’m having physical symptoms with chest pain/breathing/cough/runny nose but I’ve been having that for months due to my anxiety/panic attacks. I quit smoking recently too (within the past couple weeks) so the cough/nose issues could be related to that! I can’t tell. I was dealing with allergies too. I’ve posted about my health anxiety previously on Reddit, so now my biggest fears are basically confirmed. Can’t tell what symptoms are real and what’s in my head. I don’t want to lose my grandma, I’ve been worried about her this whole pandemic and I just can’t believe she actually contracted it. Now we just all have to sit at home and wait and see what happens. I’m turning 24 on the 23rd of this month, my brother is 21 but the next youngest person in my household is my dad who is 60. Rest of my family in my house are in they’re 60’s. So...... tons of anxiety. Don’t know what’s going to happen. 
My work is still closed. Life sucks. I’m in a group teletherapy zoom call rn. Been checking my pulse/ox and temp compulsively. Just waiting</t>
        </is>
      </c>
      <c r="D4119" t="n">
        <v>1</v>
      </c>
      <c r="E4119" t="n">
        <v>2</v>
      </c>
      <c r="F4119">
        <f>HYPERLINK("https://www.reddit.com/r/COVID19positive/comments/i49wiw/my_grandma_87_tested_positive_after_being_in_and/")</f>
        <v/>
      </c>
      <c r="G4119" t="inlineStr">
        <is>
          <t>2020-08-05 10:41:05</t>
        </is>
      </c>
      <c r="H4119" t="inlineStr">
        <is>
          <t>Tested Positive - Family</t>
        </is>
      </c>
    </row>
    <row r="4120">
      <c r="A4120" t="inlineStr">
        <is>
          <t>i4a8eh</t>
        </is>
      </c>
      <c r="B4120" t="inlineStr">
        <is>
          <t>Still Positive After Recovery</t>
        </is>
      </c>
      <c r="C4120" t="inlineStr">
        <is>
          <t>Hey covid queens and kings,
So I tested positive about two weeks ago and followed CDC guidelines by isolating myself to my room for 10 days. On the 11th day I had recovered from my symptoms, besides my lack of sense of smell, and no fever for 72 hours so I ended my isolation as well as retested so I could return to work. 
However I just found out I’m still positive even though I’m almost fully recovered. I’ve read you can still carry the virus and not be contagious, but my work will not let me back until I receive a negative test result. 
Sooo, I guess I’m just curious, for those who had covid and retested, how long did it take for the negative appear? Also am I still contagious right now, should I be isolating?
I’m so confused. My mom just tested positive too and I’m not sure if I should be isolating from her as well. Could I get it again? It’s a mystery.</t>
        </is>
      </c>
      <c r="D4120" t="n">
        <v>1</v>
      </c>
      <c r="E4120" t="n">
        <v>5</v>
      </c>
      <c r="F4120">
        <f>HYPERLINK("https://www.reddit.com/r/COVID19positive/comments/i4a8eh/still_positive_after_recovery/")</f>
        <v/>
      </c>
      <c r="G4120" t="inlineStr">
        <is>
          <t>2020-08-05 10:58:43</t>
        </is>
      </c>
      <c r="H4120" t="inlineStr">
        <is>
          <t>Tested Positive - Me</t>
        </is>
      </c>
    </row>
    <row r="4121">
      <c r="A4121" t="inlineStr">
        <is>
          <t>i4ajv8</t>
        </is>
      </c>
      <c r="B4121" t="inlineStr">
        <is>
          <t>Anybody out there?</t>
        </is>
      </c>
      <c r="C4121" t="inlineStr">
        <is>
          <t>I wanted to see if anyone here is experiencing similar symptoms. I was bed ridden for weeks in march with respiratory illness. Then again in June. Then in July I started noticing digestive symptoms. Since then, I've lost a lot of feeling in my arms and legs. My hands shake randomly and I get nauseous. I get deep vascular pains in my legs, and rounded pain across my chest and back. Neck pains that feel like a cord come and go. When I stand I feel pressure in my scrotum region, and I get dizzy from turning around or turning my head while standing. I haven't been able to function for a week now, because I have this insanely sleepy lethargic feeling like I'm moving underwater. My vision is also obstructed at times with spots. Bloodwork says I'm fighting a viral illness and I've tested negative 3 times. 29 year old Male. Anyone out there experiencing anything similar?</t>
        </is>
      </c>
      <c r="D4121" t="n">
        <v>1</v>
      </c>
      <c r="E4121" t="n">
        <v>3</v>
      </c>
      <c r="F4121">
        <f>HYPERLINK("https://www.reddit.com/r/COVID19positive/comments/i4ajv8/anybody_out_there/")</f>
        <v/>
      </c>
      <c r="G4121" t="inlineStr">
        <is>
          <t>2020-08-05 11:15:06</t>
        </is>
      </c>
      <c r="H4121" t="inlineStr">
        <is>
          <t>Presumed Positive - From Doctor</t>
        </is>
      </c>
    </row>
    <row r="4122">
      <c r="A4122" t="inlineStr">
        <is>
          <t>i4alo2</t>
        </is>
      </c>
      <c r="B4122" t="inlineStr">
        <is>
          <t>COVID-19 positive husband sleepwalking and getting hurt</t>
        </is>
      </c>
      <c r="C4122" t="inlineStr">
        <is>
          <t>My husband and I are now both positive, struggling badly. Today his day 7 or 8 I believe, and he told me he feels drunk. We assumed it was the Vertussan, but he's been on that 3 days. He fell asleep within moments, and shortly after he abruptly stood up and started stumbling around with his arms folded. I couldn't lead him or wake him with any of the calm methods I know, and he walked into a door hard and woke up. It's happened repeatedly now. Has anyone else experienced sleepwalking with this? 
I'm so worried I'm going to fall asleep myself or be too weak to stop him from getting hurt. 😔</t>
        </is>
      </c>
      <c r="D4122" t="n">
        <v>1</v>
      </c>
      <c r="E4122" t="n">
        <v>4</v>
      </c>
      <c r="F4122">
        <f>HYPERLINK("https://www.reddit.com/r/COVID19positive/comments/i4alo2/covid19_positive_husband_sleepwalking_and_getting/")</f>
        <v/>
      </c>
      <c r="G4122" t="inlineStr">
        <is>
          <t>2020-08-05 11:17:46</t>
        </is>
      </c>
      <c r="H4122" t="inlineStr">
        <is>
          <t>Tested Positive - Family</t>
        </is>
      </c>
    </row>
    <row r="4123">
      <c r="A4123" t="inlineStr">
        <is>
          <t>i4apax</t>
        </is>
      </c>
      <c r="B4123" t="inlineStr">
        <is>
          <t>My dad has covid. I'm scared</t>
        </is>
      </c>
      <c r="C4123" t="inlineStr">
        <is>
          <t>He's being transferred to ICU. He can hardly breathe and I'm scared he's gonna leave us.
Today, he kinda told my mom a goodbye speech, but I know he did it because he's scared. 
I'm choosing to stay positive. I wanna believe he's gonna win this fight.
Please, tell me if someone who's been in his situation actually recovered and tested negative 🙏🏻</t>
        </is>
      </c>
      <c r="D4123" t="n">
        <v>1</v>
      </c>
      <c r="E4123" t="n">
        <v>30</v>
      </c>
      <c r="F4123">
        <f>HYPERLINK("https://www.reddit.com/r/COVID19positive/comments/i4apax/my_dad_has_covid_im_scared/")</f>
        <v/>
      </c>
      <c r="G4123" t="inlineStr">
        <is>
          <t>2020-08-05 11:23:05</t>
        </is>
      </c>
      <c r="H4123" t="inlineStr">
        <is>
          <t>Tested Positive - Family</t>
        </is>
      </c>
    </row>
    <row r="4124">
      <c r="A4124" t="inlineStr">
        <is>
          <t>i4bgtb</t>
        </is>
      </c>
      <c r="B4124" t="inlineStr">
        <is>
          <t>My dad tested positive yesterday</t>
        </is>
      </c>
      <c r="C4124" t="inlineStr">
        <is>
          <t>Hello! Please share your first symptoms you experienced with covid. I get tested tomorrow but I’m not sure if I’m just paranoid or am experiencing symptoms.
I live alone but I visit my parents and see them all the time. I saw my dad quite a few times last week and was in close contact. Last time I saw my dad was Saturday evening/night and we were definitely in close contact with no masks. He noticed a fever on Sunday and my mom tried to quarantine him in the guest room. I’ve been around my mom in close contact every day since then. My dad ended up testing positive yesterday. 
MY symptoms so far:
On Friday I noticed my eyes were burning and felt hot all day. It was almost like when you wear contact lenses too long and they dry out but I haven’t worn contacts in years. I have allergies but they only cause burning whenever I touch them after touching an allergen and it’s always accompanied by itching. 
I went to bed last night with a headache and burning lips. My lips felt like I had been outside in the winter for hours and they were chapped except that they’re not currently chapped because I always use lip balms all the time. 
I woke up this morning still with a headache and a slightly sore throat (I vape so not sure if that’s the cause of the sore throat) and my head is still pounding especially when I stand up or walk. 
Anyone have any similar symptoms or helpful/relatable info?</t>
        </is>
      </c>
      <c r="D4124" t="n">
        <v>1</v>
      </c>
      <c r="E4124" t="n">
        <v>11</v>
      </c>
      <c r="F4124">
        <f>HYPERLINK("https://www.reddit.com/r/COVID19positive/comments/i4bgtb/my_dad_tested_positive_yesterday/")</f>
        <v/>
      </c>
      <c r="G4124" t="inlineStr">
        <is>
          <t>2020-08-05 12:01:46</t>
        </is>
      </c>
      <c r="H4124" t="inlineStr">
        <is>
          <t>Tested Positive - Family</t>
        </is>
      </c>
    </row>
    <row r="4125">
      <c r="A4125" t="inlineStr">
        <is>
          <t>i4bs0e</t>
        </is>
      </c>
      <c r="B4125" t="inlineStr">
        <is>
          <t>My covid timeline</t>
        </is>
      </c>
      <c r="C4125" t="inlineStr">
        <is>
          <t>I am a healthy 28 year old female. No underlying conditions, but i am a bit overweight. I was exposed from July 11-July 17 (though we didn't know it at the time). We stayed in a beach house with family for vacation.
Day 1 (July 20) - extremely mild post nasal drip, very normal for me as I have bad allergies
Day 2 - still mild drainage, throat feels scratchy but not really sore, decreased appetite 
Day 3 - can definitely feel mucus in my throat, my nasal cavative are burning, have the urge to clear my throat all day but not really coughing, decreased appetite I start isolating from my family
Day 4 - find out family member has tested positive, nasal cavities are burning BAD, mucus feels like its moving down into the upper part of my chest, throat not hurting/scratchy anymore, diarrhea 1 time
Day 5 - nasal cavities are still burning bad like snorting pool water up my nose, dry cough has started, diarrhea 1 time, spent most of the day just laying around 
Day 6 - mostly the same, dry cough, burning nasal cavaties, feeling crummy but not very sick. Feels like a sinus infection
Day 7 - same as 6
Day 8 - symptoms are the same, got a positive rapid test from the urgent care, doc said my lungs sound good
Day 9 - nasal burning eases up, first thing in the morning my cough is productive but then quickly goes back to dry, I notice my taste is decreased
Day 10 - 100% complete loss of taste and smell, somewhat productive cough, still feeling crummy but not sick, shortness of breath starts
Day 11 - same
Day 12 - starting to feel more normal, cough decreases, still have zero taste or smell, get winded easily and my lungs hurt
Day 13-15 - same
Day 16 - woke up feeling awesome, barely any cough, no shortness of breath, lots of energy, but still no taste or smell
Day 17 (today) - woke up feeling good, still no smell but I feel like I can taste sugar, randomly got bad diarrhea in the afternoon (the worst my stomach has felt the whole time)
All in all, I am so grateful to have dealt with a very mild case. I have had the flu that turned into pneumonia before, and honestly my worst day with covid was still way better than that. I never ran a fever or had body aches. I'm hoping that today's diarrhea is caused by something I ate and not something I'm going to have to continue dealing with. The worst symptom to deal with is the lack of taste and smell. It doesn't sound that bad, but its actually been awful! Also my spouse did not catch it despite all her exposure. She was with us  on vacation and she has been around me every day since I've been sick. Every adult that went got sick and tested positive except her.</t>
        </is>
      </c>
      <c r="D4125" t="n">
        <v>1</v>
      </c>
      <c r="E4125" t="n">
        <v>22</v>
      </c>
      <c r="F4125">
        <f>HYPERLINK("https://www.reddit.com/r/COVID19positive/comments/i4bs0e/my_covid_timeline/")</f>
        <v/>
      </c>
      <c r="G4125" t="inlineStr">
        <is>
          <t>2020-08-05 12:17:32</t>
        </is>
      </c>
      <c r="H4125" t="inlineStr">
        <is>
          <t>Tested Positive - Me</t>
        </is>
      </c>
    </row>
    <row r="4126">
      <c r="A4126" t="inlineStr">
        <is>
          <t>i4c5g0</t>
        </is>
      </c>
      <c r="B4126" t="inlineStr">
        <is>
          <t>Maybe , maybe not</t>
        </is>
      </c>
      <c r="C4126" t="inlineStr">
        <is>
          <t>I see a lot of posts here , I have a headache , I have this , or that , could it be covid?
 Fact is , it could be or maybe not . I see a lot of post with no response .
It seems it would be better to call an dr or get tested if it possible.
 Everyone’s symptoms are different . A friend had it and her symptoms were respiratory distress, high fever , coughing.
I am still in recovery, my symptoms were/ some still are extreme fatigue , headaches, sore throat and flu like muscle pains . Never had a fever or much of a cough.
Since symptoms vary and we don’t know your lifestyle , history ect 
We can’t tell you if we thinks it’s covid.
If you have been exposed, yes get tested !</t>
        </is>
      </c>
      <c r="D4126" t="n">
        <v>1</v>
      </c>
      <c r="E4126" t="n">
        <v>2</v>
      </c>
      <c r="F4126">
        <f>HYPERLINK("https://www.reddit.com/r/COVID19positive/comments/i4c5g0/maybe_maybe_not/")</f>
        <v/>
      </c>
      <c r="G4126" t="inlineStr">
        <is>
          <t>2020-08-05 12:36:05</t>
        </is>
      </c>
      <c r="H4126" t="inlineStr">
        <is>
          <t>Tested Positive - Me</t>
        </is>
      </c>
    </row>
    <row r="4127">
      <c r="A4127" t="inlineStr">
        <is>
          <t>i4c6os</t>
        </is>
      </c>
      <c r="B4127" t="inlineStr">
        <is>
          <t>12 days after covid symptoms, and still snotty!</t>
        </is>
      </c>
      <c r="C4127" t="inlineStr">
        <is>
          <t>I was told by the doctor who took my test AND read from the CDC website that ten days after symptoms begin I am free from quarantine as the virus in mild cases isn’t contagious. My case was pretty mild. 
I’ve felt pretty one hundred percent for about a week now.. besides my sinus being congested. This is common for me as I have allergies but I’m just wondering how to proceed.
It’s not like i want to go to a giant party or anything, i would just like to have some mental peace.</t>
        </is>
      </c>
      <c r="D4127" t="n">
        <v>1</v>
      </c>
      <c r="E4127" t="n">
        <v>9</v>
      </c>
      <c r="F4127">
        <f>HYPERLINK("https://www.reddit.com/r/COVID19positive/comments/i4c6os/12_days_after_covid_symptoms_and_still_snotty/")</f>
        <v/>
      </c>
      <c r="G4127" t="inlineStr">
        <is>
          <t>2020-08-05 12:37:42</t>
        </is>
      </c>
      <c r="H4127" t="inlineStr">
        <is>
          <t>Tested Positive - Me</t>
        </is>
      </c>
    </row>
    <row r="4128">
      <c r="A4128" t="inlineStr">
        <is>
          <t>i4dqri</t>
        </is>
      </c>
      <c r="B4128" t="inlineStr">
        <is>
          <t>Day 153 Update and Encouragment!</t>
        </is>
      </c>
      <c r="C4128" t="inlineStr">
        <is>
          <t>I’m a Long Hauler. I posted my journey back when this sub was all fresh and newish, back mid March. I posted a real time, fever fuelled diary. I ended up on our National news and in newspaper. 
Anyway...here we are 153 days in. 
I did have continued long term waves of SOB, neuralgia, absolute exhaustion.  The SOB is gone (touch wood!) I am able to function again, be active! I do get those overwhelming waves of exhaustion but they only last a wee bit (like half an hour) and I can continue to do stuff. Some brain fog but, that’s normal for me anyway lol. 
I’ve even weaned my vitamin intake down. Yay. 
So KEEP UP THE GOOD FIGHT!! YOU have GOT this!! The biggest take away, find some Zen! To the guy in this sub who told me on Day 13, my Hell Day/ER Day to “Just Chill” , thank you, I did, it worked and I hope you are healed as well. 
I used a LOT of YouTube videos with noise cancelling headphones to “get out of them panic zone”. Free, and chemical free. 
I used no meds. I am an athlete, female 59 and appreciate every single day like a gift. 
One day at a time. Be kind to yourself. Let your body heal, there’s no rush to get “back to normal”. It’ll be there when you are done. Gently hugs to all of you.  🤗 Just Chill.</t>
        </is>
      </c>
      <c r="D4128" t="n">
        <v>1</v>
      </c>
      <c r="E4128" t="n">
        <v>10</v>
      </c>
      <c r="F4128">
        <f>HYPERLINK("https://www.reddit.com/r/COVID19positive/comments/i4dqri/day_153_update_and_encouragment/")</f>
        <v/>
      </c>
      <c r="G4128" t="inlineStr">
        <is>
          <t>2020-08-05 13:59:36</t>
        </is>
      </c>
      <c r="H4128" t="inlineStr">
        <is>
          <t>Presumed Positive - From Doctor</t>
        </is>
      </c>
    </row>
    <row r="4129">
      <c r="A4129" t="inlineStr">
        <is>
          <t>i4e89z</t>
        </is>
      </c>
      <c r="B4129" t="inlineStr">
        <is>
          <t>Coworker informed us that her son tested positive, but I am doubting the truthfulness of the information she is claiming her doctor gave her. Can anybody confirm or deny the just plausibility of what she is telling me?</t>
        </is>
      </c>
      <c r="C4129" t="inlineStr">
        <is>
          <t>In the state of Oregon in case that matters.
I have worked with this woman in a very small office for the last several years. She is one of those people who chronically lies about everything. I'm talking like 50-90% of what comes out of her mouth is verifiable nonsense, it doesn't matter how small or large of an issue something is. Normally, this is fine and I just enjoy her stories and only talk to her about surface level stuff that doesn't have any real ramifications. However, she told us last night that her son has tested positive for Coronavirus. So far she has also been very disrespectful of our office's mask/social distancing rules and is snippy whenever anybody asks her to modify her behavior. She has also told me that her son has house parties every weekend and that her house is constantly filled with random teenagers. I have no idea if this true, but it seems pretty likely given what she has told me about her family in the past. 
So here's the thing. She has also told us that she has been going through chemo/radiation for years to treat reoccurring breast cancer, and that her doctor won't give her the weekly chemo until she gets a negative covid test. According to her, this means she is getting a covid test at least once a week, and is getting the results same day. She told us that even though her son tested positive today, that because she tests every Friday her doctor said that she didn't have to follow the CDC guidelines for quarantining for 14 days and only needs to quarantine for 5-7 days, and that we are in no real danger of catching anything from her. Her son is quarantining, but he lives at home and I assume they will still be interacting. When our manager asked for a copy of her doctor's instructions saying she didn't have to adhere to CDC guidelines, she got very defensive and refused to provide any medical documentation and instead yelled about us calling her a liar. 
I know that nobody can really speak to the actual truthfulness of these statements, but I'm just wondering if they even sound plausible at all. Is anybody getting weekly tests with same day results? Would a doctor tell someone they did not have to adhere to CDC guidelines? Does anybody have a personal experience or story that would refute or confirm the types of claims she is making? I am freaking out, but I don't know if I should be. I'm upset that I can't trust this person to be honest, and I'm really worried about putting myself and my family in danger if I take what she says at face value.
Thanks guys, I appreciate the input/advice/help.
I didn't know where else to ask this, but if it isn't appropriate for this sub please let me know and I'll take it down.</t>
        </is>
      </c>
      <c r="D4129" t="n">
        <v>1</v>
      </c>
      <c r="E4129" t="n">
        <v>10</v>
      </c>
      <c r="F4129">
        <f>HYPERLINK("https://www.reddit.com/r/COVID19positive/comments/i4e89z/coworker_informed_us_that_her_son_tested_positive/")</f>
        <v/>
      </c>
      <c r="G4129" t="inlineStr">
        <is>
          <t>2020-08-05 14:25:47</t>
        </is>
      </c>
      <c r="H4129" t="inlineStr">
        <is>
          <t>Tested Positive - Friends</t>
        </is>
      </c>
    </row>
    <row r="4130">
      <c r="A4130" t="inlineStr">
        <is>
          <t>i4fjjr</t>
        </is>
      </c>
      <c r="B4130" t="inlineStr">
        <is>
          <t>When to get tested after exposure?</t>
        </is>
      </c>
      <c r="C4130" t="inlineStr">
        <is>
          <t>I was exposed Saturday the 1st. I didn’t know until literally two minutes ago. When is the best time to get tested?</t>
        </is>
      </c>
      <c r="D4130" t="n">
        <v>1</v>
      </c>
      <c r="E4130" t="n">
        <v>10</v>
      </c>
      <c r="F4130">
        <f>HYPERLINK("https://www.reddit.com/r/COVID19positive/comments/i4fjjr/when_to_get_tested_after_exposure/")</f>
        <v/>
      </c>
      <c r="G4130" t="inlineStr">
        <is>
          <t>2020-08-05 15:38:14</t>
        </is>
      </c>
      <c r="H4130" t="inlineStr">
        <is>
          <t>Tested Positive - Friends</t>
        </is>
      </c>
    </row>
    <row r="4131">
      <c r="A4131" t="inlineStr">
        <is>
          <t>i4ft9z</t>
        </is>
      </c>
      <c r="B4131" t="inlineStr">
        <is>
          <t>The Aftermath of Covid</t>
        </is>
      </c>
      <c r="C4131" t="inlineStr">
        <is>
          <t>Hey guys , i hope everyone is well and safe. 
First of all english isnt my first language so sorry for any grammatical mistakes. 
I had covid back in march , spent around 20 days in the hospital. 
The symptoms i had were 
- extreme diarrhea 
- low blood pressure 
- mild difficulty breathing 
- chest pains 
But since then I dont feel like im 100% completely back to normal.  
I still have chest pains every now and then. I am soo sensitive to smells. And i still have diarrhea since then but not as extreme but diffently not as normal as before .
Also I used to be hookah/vape heavy user I didnt use it since then because Im scared. But really craving to
Is anyone back to their old habits ? Or had the same issue as i do?</t>
        </is>
      </c>
      <c r="D4131" t="n">
        <v>1</v>
      </c>
      <c r="E4131" t="n">
        <v>3</v>
      </c>
      <c r="F4131">
        <f>HYPERLINK("https://www.reddit.com/r/COVID19positive/comments/i4ft9z/the_aftermath_of_covid/")</f>
        <v/>
      </c>
      <c r="G4131" t="inlineStr">
        <is>
          <t>2020-08-05 15:53:51</t>
        </is>
      </c>
      <c r="H4131" t="inlineStr">
        <is>
          <t>Tested Positive - Me</t>
        </is>
      </c>
    </row>
    <row r="4132">
      <c r="A4132" t="inlineStr">
        <is>
          <t>i4g0rb</t>
        </is>
      </c>
      <c r="B4132" t="inlineStr">
        <is>
          <t>How worried should I be?</t>
        </is>
      </c>
      <c r="C4132" t="inlineStr">
        <is>
          <t>I’m a 20 year old male and I apologize for any errors as I’m pretty out of it right now. Today is day 2 of symptoms and I have had a 101 degree fever all day today. I have also been extremely lightheaded and have coughing fits every 5-10 minutes. I have tried over the counter medicine and it hasn’t helped at all. Does this sound bad enough to seek medical treatment? For those that went to the hospital, what was your deciding factor?</t>
        </is>
      </c>
      <c r="D4132" t="n">
        <v>1</v>
      </c>
      <c r="E4132" t="n">
        <v>5</v>
      </c>
      <c r="F4132">
        <f>HYPERLINK("https://www.reddit.com/r/COVID19positive/comments/i4g0rb/how_worried_should_i_be/")</f>
        <v/>
      </c>
      <c r="G4132" t="inlineStr">
        <is>
          <t>2020-08-05 16:05:36</t>
        </is>
      </c>
      <c r="H4132" t="inlineStr">
        <is>
          <t>Tested Positive - Friends</t>
        </is>
      </c>
    </row>
    <row r="4133">
      <c r="A4133" t="inlineStr">
        <is>
          <t>i4gnoj</t>
        </is>
      </c>
      <c r="B4133" t="inlineStr">
        <is>
          <t>Anyone get that “fizzing” or “buzzing” feeling in their body?</t>
        </is>
      </c>
      <c r="C4133" t="inlineStr">
        <is>
          <t>I’ve seen a couple of posts about it on here but wondering if y’all could give me your experiences. 
I think I just finished my 3rd wave of covid yesterday and the “fizzing/buzzing” sensation started and has continued through today (in waves). The 2nd wave I got the burning sensation and slight fizzing after my symptoms subsided and it seems to following the same pattern but I’m not sure. 
Has anyone had the same experience?</t>
        </is>
      </c>
      <c r="D4133" t="n">
        <v>1</v>
      </c>
      <c r="E4133" t="n">
        <v>23</v>
      </c>
      <c r="F4133">
        <f>HYPERLINK("https://www.reddit.com/r/COVID19positive/comments/i4gnoj/anyone_get_that_fizzing_or_buzzing_feeling_in/")</f>
        <v/>
      </c>
      <c r="G4133" t="inlineStr">
        <is>
          <t>2020-08-05 16:43:25</t>
        </is>
      </c>
      <c r="H4133" t="inlineStr">
        <is>
          <t>Tested Positive - Me</t>
        </is>
      </c>
    </row>
    <row r="4134">
      <c r="A4134" t="inlineStr">
        <is>
          <t>i4gsif</t>
        </is>
      </c>
      <c r="B4134" t="inlineStr">
        <is>
          <t>Tested negative after close contact (no symptoms currently) ?</t>
        </is>
      </c>
      <c r="C4134" t="inlineStr">
        <is>
          <t>Me and my friend both got tested last Friday and I tested negative while my friend tested positive, she had very faint symptoms and we had been hanging out prior to that. Now my friend tested positive while I tested negative but currently I have no major symptoms nor did I have any earlier. I do have an on and off sore throat, but despite that I tested negative earlier. I am about to visit my parents and I was wondering if I should get tested again just for my sanity after the first negative. Also should I do an antibody or a regular covid test?</t>
        </is>
      </c>
      <c r="D4134" t="n">
        <v>1</v>
      </c>
      <c r="E4134" t="n">
        <v>5</v>
      </c>
      <c r="F4134">
        <f>HYPERLINK("https://www.reddit.com/r/COVID19positive/comments/i4gsif/tested_negative_after_close_contact_no_symptoms/")</f>
        <v/>
      </c>
      <c r="G4134" t="inlineStr">
        <is>
          <t>2020-08-05 16:51:20</t>
        </is>
      </c>
      <c r="H4134" t="inlineStr">
        <is>
          <t>Tested Positive - Friends</t>
        </is>
      </c>
    </row>
    <row r="4135">
      <c r="A4135" t="inlineStr">
        <is>
          <t>i4hpex</t>
        </is>
      </c>
      <c r="B4135" t="inlineStr">
        <is>
          <t>COVID-19 timeline</t>
        </is>
      </c>
      <c r="C4135" t="inlineStr">
        <is>
          <t>Listen to your body. For me, body aches are always my first sign of sickness, without fail. When they came on, I was on high alert. ALSO, I never get headaches when I’m sick, so when I kept having them (moderate headaches) that was another sign of me thinking it was covid. In addition, the eye pain and brain fog was definitely interestingly. It would hurt when I would look to the left or right—like a straining. The brain fog sounds vague, but if you’ve felt it, you know exactly what it is. And of course once I couldn’t smell my bag of weed at all or perfume, then I was certain it was covid. It took 10 days to get my result—I got it today. The state of testing and processing results in Nevada is absolutely atrocious.
Wednesday July 22nd: leg aches, headache, hot flashes
Thursday: nothing
Friday: light cough, headache, brain fog
Saturday: light cough, headache, brain fog, eye pain 
Sunday: light cough, headache, brain fog, eye pain 
Monday: light cough , nasal congestion, headache, 99+ temp 
Tuesday: headache, 99.5 + temp 
Wednesday: congestion, cough, high temp 
Thursday: congestion, cough, partial loss of smell, high temp 
Friday: nose burning, increase in cough, total loss of smell, diarrhea 
Saturday: cough, no smell, congestion 
Sunday: cough, no smell/taste, 
Monday: cough, regained a bit of smell.
Tuesday: cough, regaining smell 
Wednesday: cough, regaining smell</t>
        </is>
      </c>
      <c r="D4135" t="n">
        <v>1</v>
      </c>
      <c r="E4135" t="n">
        <v>7</v>
      </c>
      <c r="F4135">
        <f>HYPERLINK("https://www.reddit.com/r/COVID19positive/comments/i4hpex/covid19_timeline/")</f>
        <v/>
      </c>
      <c r="G4135" t="inlineStr">
        <is>
          <t>2020-08-05 17:45:52</t>
        </is>
      </c>
      <c r="H4135" t="inlineStr">
        <is>
          <t>Tested Positive - Me</t>
        </is>
      </c>
    </row>
    <row r="4136">
      <c r="A4136" t="inlineStr">
        <is>
          <t>i4i11f</t>
        </is>
      </c>
      <c r="B4136" t="inlineStr">
        <is>
          <t>Lung Pain in Back?</t>
        </is>
      </c>
      <c r="C4136" t="inlineStr">
        <is>
          <t>I had a mild but crappy case for about 7 days. I’ve started feeling a lot better the last 3 or 4 days with some exceptions. If I exert myself too much, I have coughing fits and very mild shortness of breath and then the next day I’ll be fatigued. 
But today I started feeling right lung discomfort in my back. It’s really uncomfortable. I keep moving and contorting my body to try and make it comfortable but I cannot. Almost feels like someone tied a small knot in my upper right lung. But all the discomfort is in my back and not the chest. Is this normal? I was planning on calling my doctor tomorrow to ask them but my friend thinks I should go to the ER. I think the ER is overkill at this point and I’d prefer not to be there right now.</t>
        </is>
      </c>
      <c r="D4136" t="n">
        <v>1</v>
      </c>
      <c r="E4136" t="n">
        <v>9</v>
      </c>
      <c r="F4136">
        <f>HYPERLINK("https://www.reddit.com/r/COVID19positive/comments/i4i11f/lung_pain_in_back/")</f>
        <v/>
      </c>
      <c r="G4136" t="inlineStr">
        <is>
          <t>2020-08-05 18:05:16</t>
        </is>
      </c>
      <c r="H4136" t="inlineStr">
        <is>
          <t>Presumed Positive - From Doctor</t>
        </is>
      </c>
    </row>
    <row r="4137">
      <c r="A4137" t="inlineStr">
        <is>
          <t>i4i6yq</t>
        </is>
      </c>
      <c r="B4137" t="inlineStr">
        <is>
          <t>When should I go back to work?</t>
        </is>
      </c>
      <c r="C4137" t="inlineStr">
        <is>
          <t>I tested positive on July 21st and had a pretty rough couple of weeks. Headache, fever, cough(still have it), extreme fatigue and even took a few trips to ER. My sister also tested positive but had a very mild case, and my mom(65+yrs) tested negative but it’s possible she was asymptomatic and she has a weird cough but says she feels fine. I’m feeling better minus being tired and my vision is a little off and finally able to eat a little more but now I’m curious when I should go back to work. I mentioned that I probably wouldn’t be back for another week and a half or so but now what do I do? I’ve gotten major anxiety from exposure and I am an administrative assistant working in a dance studio. Right now we’re closed for classes but starting this “learning hub” where students can come and do their homework...kind of like a daycare. I’m going to call my doctor tomorrow but is there any advice out there for going back to work? Work days are usually about 6+ hrs.</t>
        </is>
      </c>
      <c r="D4137" t="n">
        <v>1</v>
      </c>
      <c r="E4137" t="n">
        <v>5</v>
      </c>
      <c r="F4137">
        <f>HYPERLINK("https://www.reddit.com/r/COVID19positive/comments/i4i6yq/when_should_i_go_back_to_work/")</f>
        <v/>
      </c>
      <c r="G4137" t="inlineStr">
        <is>
          <t>2020-08-05 18:14:29</t>
        </is>
      </c>
      <c r="H4137" t="inlineStr">
        <is>
          <t>Tested Positive - Me</t>
        </is>
      </c>
    </row>
    <row r="4138">
      <c r="A4138" t="inlineStr">
        <is>
          <t>i4iuk3</t>
        </is>
      </c>
      <c r="B4138" t="inlineStr">
        <is>
          <t>interpreting blood test results (IgM, igG)</t>
        </is>
      </c>
      <c r="C4138" t="inlineStr">
        <is>
          <t>I got my immunological results, and I am not sure how to interpret them:
&amp;amp;#x200B;
|SARS-CoV-2 (S1,S2,N) IgG-Ak|&amp;lt; 1.1 Index|0.07|
|:-|:-|:-|
|SARS-CoV-2 (S1,S2,N) IgM-Ak|&amp;lt; 1.1 Index|0.13|
The second column is reference, the third is actual result. Does this mean negative ?
Why are the actual values non zero ?</t>
        </is>
      </c>
      <c r="D4138" t="n">
        <v>1</v>
      </c>
      <c r="E4138" t="n">
        <v>2</v>
      </c>
      <c r="F4138">
        <f>HYPERLINK("https://www.reddit.com/r/COVID19positive/comments/i4iuk3/interpreting_blood_test_results_igm_igg/")</f>
        <v/>
      </c>
      <c r="G4138" t="inlineStr">
        <is>
          <t>2020-08-05 18:55:28</t>
        </is>
      </c>
      <c r="H4138" t="inlineStr">
        <is>
          <t>Presumed Positive - From Test</t>
        </is>
      </c>
    </row>
    <row r="4139">
      <c r="A4139" t="inlineStr">
        <is>
          <t>i4jaey</t>
        </is>
      </c>
      <c r="B4139" t="inlineStr">
        <is>
          <t>Worried about returning to work.</t>
        </is>
      </c>
      <c r="C4139" t="inlineStr">
        <is>
          <t>I got a positive test in March and was out of work for 3 weeks. When I returned to work employees avoided me like the plague. And when customers came in that refused to wear a mask and would come up next to me I would back away from them and they would actually laugh. 
At the end of June I had a second positive test. This time was worse I have been out of work for a month and a half. I’m supposed to go back to work soon but I’m scared. 
I have to work as a single mother of two. And I want to work. I enjoy my job. But I’m scared what will happen to my kids if I get it again, not sure my body can do this again. I’m still not well.</t>
        </is>
      </c>
      <c r="D4139" t="n">
        <v>1</v>
      </c>
      <c r="E4139" t="n">
        <v>7</v>
      </c>
      <c r="F4139">
        <f>HYPERLINK("https://www.reddit.com/r/COVID19positive/comments/i4jaey/worried_about_returning_to_work/")</f>
        <v/>
      </c>
      <c r="G4139" t="inlineStr">
        <is>
          <t>2020-08-05 19:22:32</t>
        </is>
      </c>
      <c r="H4139" t="inlineStr">
        <is>
          <t>Tested Positive - Me</t>
        </is>
      </c>
    </row>
    <row r="4140">
      <c r="A4140" t="inlineStr">
        <is>
          <t>i4qswb</t>
        </is>
      </c>
      <c r="B4140" t="inlineStr">
        <is>
          <t>My wife is PCR positive and I am PCR negative</t>
        </is>
      </c>
      <c r="C4140" t="inlineStr">
        <is>
          <t>My wife started with the symptoms (sore throat) on 7/20. She was tested by PCR on 7/24, the results arrived on 7/29, positive. She did a lung CT scan, her lung is clean. Yesterday her doctor said she can go back to normal life. She beat COVID.
Me, on the other hand, had no symptoms at all. 7/29, when my wife's PCR result came, I ran and did an IgG / IgM, which was negative for me. On 7/31, I was tested by PCR, the results arrived yesterday, negative.
I’ve been with her all the time, before and after her infection. I’ve asked my doctor how can she have COVID and not me? 
His answer was that this is the 1 billion dollars question. He said that some people don’t get infected and they don’t know why. In some places everyone in the house gets infected except for one. He really doesn’t know and actually nobody knows why this happens. 
So my wife is PCR positive and I am PCR negative, how often is this?</t>
        </is>
      </c>
      <c r="D4140" t="n">
        <v>1</v>
      </c>
      <c r="E4140" t="n">
        <v>15</v>
      </c>
      <c r="F4140">
        <f>HYPERLINK("https://www.reddit.com/r/COVID19positive/comments/i4qswb/my_wife_is_pcr_positive_and_i_am_pcr_negative/")</f>
        <v/>
      </c>
      <c r="G4140" t="inlineStr">
        <is>
          <t>2020-08-06 05:19:57</t>
        </is>
      </c>
      <c r="H4140" t="inlineStr">
        <is>
          <t>Tested Positive - Family</t>
        </is>
      </c>
    </row>
    <row r="4141">
      <c r="A4141" t="inlineStr">
        <is>
          <t>i4ricq</t>
        </is>
      </c>
      <c r="B4141" t="inlineStr">
        <is>
          <t>My story (have underylying conditions)</t>
        </is>
      </c>
      <c r="C4141" t="inlineStr">
        <is>
          <t>I am 27F have underlying conditions. Suffer from dilated cardiomyopathy (implanted  ICD) and chronic renal disease (on hemodyalysis since 1,5 year), so I cannot say that I am “young and healthy”. Except this two major problems no other co-morbidities like overweight (BMI 21,0), chronic lung diseases etc. Despite my diseases have almost normal life, only not able to major physical activity due to cardiac problems and I have to go on dialysis 3 times a week. 
I have no idea when and where I had a contact with virus. Since march I am working only from home, go outside only if it necessary, even going walk late in night when there is empty outside  (I knew that I was at risk due my underlying conditions and I was very careful ). 
Here is my “covid timeline”:
Day “0”. (3rd of may). That day I was on dialysis at hospital, at evening when I was at home noticed slight fever and tiredness, thought that was only a cold, took paracetamol and went to the bed.
Day1. I woke up with fever around 38  Celsius degree, general fatigue, headache and dry cough, loss smell and taste. I knew that there was something wrong, got to the car and went to the nearest infectious hospital. Had a test for covid.
Day2. Had fever, dry cough, muscle pain, lhad no smell and taste. At evening have been phone by healthcare worker from hospital that my test is positive. The same day late in night admitted to hospital due to my co-morbidities. 
Day 3-7. Symptoms worsened. Developed shortness o breath, dyspnoea, very high fever and fatigue.
Day 8-11. The worst 4 days in my life. I was not able to left the bed, had major problem with breathing, (severe chest pain with each breath), fever 39,5 Celsius and above, needed BIPAP to breath (without oxygen SPO2 85-88), severe muscle pain.
Day 12. First time since few days felt better. Still had fever and chest pain while breathing but not so bad like day or two days before. SPO2 without oxygen 89 and higher. Still felt extremely weak, left the bed rarely. 
Day 13-20. Noticed improvement in my condition. Had no fever, no chest pain while breathing, still had no smell and taste.
Day 21-22. My condition still improved. Except dry cough (mostly at evening) and losssnest of smell and taste no other symptoms (but still feel very weak and tired).
Day 23. Had a test which was negative!
Day 25. Had second test, also negative!
Day 26. First time in home since nearly a month!
Fortunately two months after coronavirus my condition practically returned to the state it was before disease, have no more breathlessness than before my covid illness (but have post inflammatory changes in lungs) . My only symptoms now is  dry cough at evening, and bad night sweats, my smell and taste return in 75-80%. 
What I want to say: 
&amp;amp;#x200B;
1. It was 10 times more worse than      the worst influenza I ever had. 
2. I am happy that I am still  alive J
And… sorry for my poor English language. I am from Poland in my daily life use only Polish language, be understanding for me!</t>
        </is>
      </c>
      <c r="D4141" t="n">
        <v>1</v>
      </c>
      <c r="E4141" t="n">
        <v>33</v>
      </c>
      <c r="F4141">
        <f>HYPERLINK("https://www.reddit.com/r/COVID19positive/comments/i4ricq/my_story_have_underylying_conditions/")</f>
        <v/>
      </c>
      <c r="G4141" t="inlineStr">
        <is>
          <t>2020-08-06 06:08:59</t>
        </is>
      </c>
      <c r="H4141" t="inlineStr">
        <is>
          <t>Tested Positive - Me</t>
        </is>
      </c>
    </row>
    <row r="4142">
      <c r="A4142" t="inlineStr">
        <is>
          <t>i4rsoj</t>
        </is>
      </c>
      <c r="B4142" t="inlineStr">
        <is>
          <t>Feels like I never recovered</t>
        </is>
      </c>
      <c r="C4142" t="inlineStr">
        <is>
          <t>Before getting COVID, I was an entrepreneur and reading like crazy. Now I have no energy to get off the couch. Most days I’m unable to work or keep the house clean. Is anyone else like this?</t>
        </is>
      </c>
      <c r="D4142" t="n">
        <v>1</v>
      </c>
      <c r="E4142" t="n">
        <v>105</v>
      </c>
      <c r="F4142">
        <f>HYPERLINK("https://www.reddit.com/r/COVID19positive/comments/i4rsoj/feels_like_i_never_recovered/")</f>
        <v/>
      </c>
      <c r="G4142" t="inlineStr">
        <is>
          <t>2020-08-06 06:27:57</t>
        </is>
      </c>
      <c r="H4142" t="inlineStr">
        <is>
          <t>Presumed Positive - From Doctor</t>
        </is>
      </c>
    </row>
    <row r="4143">
      <c r="A4143" t="inlineStr">
        <is>
          <t>i4si8t</t>
        </is>
      </c>
      <c r="B4143" t="inlineStr">
        <is>
          <t>Smell has yet to return</t>
        </is>
      </c>
      <c r="C4143" t="inlineStr">
        <is>
          <t>The title says it all. I tested positive in the last week of June. At the time, I was asymptomatic, but symptoms slowly started to appear in the following days. I ended up having a very mild case: At its worst, I woke up one morning with shivers and a low grade fever, but taking Tylenol seemed to alleviate this for the most part. Other than that, my only other symptoms were loss of taste and smell. My taste has returned (for the most part), but my smell is still lacking big time. I can smell very minimally; that is, I can smell my shampoo if I hold it up to my nose. Anyone else experiencing this?</t>
        </is>
      </c>
      <c r="D4143" t="n">
        <v>1</v>
      </c>
      <c r="E4143" t="n">
        <v>14</v>
      </c>
      <c r="F4143">
        <f>HYPERLINK("https://www.reddit.com/r/COVID19positive/comments/i4si8t/smell_has_yet_to_return/")</f>
        <v/>
      </c>
      <c r="G4143" t="inlineStr">
        <is>
          <t>2020-08-06 07:12:07</t>
        </is>
      </c>
      <c r="H4143" t="inlineStr">
        <is>
          <t>Tested Positive - Me</t>
        </is>
      </c>
    </row>
    <row r="4144">
      <c r="A4144" t="inlineStr">
        <is>
          <t>i4sjo3</t>
        </is>
      </c>
      <c r="B4144" t="inlineStr">
        <is>
          <t>Need some help/advice/support</t>
        </is>
      </c>
      <c r="C4144" t="inlineStr">
        <is>
          <t>It had been raining (almost everyday) for almost a month, foggy/sunless and cold days, and it suddenly stopped raining and the past few days were more warmer than usual. My mom caught a low grade fever( not more than 100) four days ago, she took some medicine and after a day she got better, she didn't suffer from shortness of breath or any chest pains but she did have a runny nose, she's feeling a lil feverish again today(almost 100). Should we be concerned?
We talked to some doctors and they said maybe it's because of the sudden weather changes. Is she showing some symptoms of the virus? Can one have covid-19 and show symptoms like this, fever one day better the next day and again feverish after a few days ?
Thanks in advance for any replies.
May God keep you, your friends, and family safe.</t>
        </is>
      </c>
      <c r="D4144" t="n">
        <v>1</v>
      </c>
      <c r="E4144" t="n">
        <v>4</v>
      </c>
      <c r="F4144">
        <f>HYPERLINK("https://www.reddit.com/r/COVID19positive/comments/i4sjo3/need_some_helpadvicesupport/")</f>
        <v/>
      </c>
      <c r="G4144" t="inlineStr">
        <is>
          <t>2020-08-06 07:14:27</t>
        </is>
      </c>
      <c r="H4144" t="inlineStr">
        <is>
          <t>Presumed Positive - From Doctor</t>
        </is>
      </c>
    </row>
    <row r="4145">
      <c r="A4145" t="inlineStr">
        <is>
          <t>i4sjvi</t>
        </is>
      </c>
      <c r="B4145" t="inlineStr">
        <is>
          <t>I'm pretty sure I lost my sense of smell/taste for the... third f*cking time</t>
        </is>
      </c>
      <c r="C4145" t="inlineStr">
        <is>
          <t>Title says it all. First time on day 5 (lasted 5 days I think), on day 70 (lasted 5 days) and on day 132 approximately (2 days ago). I had been symptom-free for almost four weeks (except for probable sequelae like loss of appetite and thirst, covid fingers/toes/feet, SPO2 a bit low). I don't know if it's reinfection or relapse, and now that I think about it, it might even have been reinfection on day 70 too as both times I had been to a medical appointment a few days before. I am almost amused, it's ridiculous. Nothing to be done, I'm just glad I never stopped isolation. I wish I had access to an "at home" test but my country doesn't offer it. It wouldn't change anything though so... well I'll keep doing puzzles and watching documentaries in my room, and I will never get out of my house again (except if I think I'm about to die or something).</t>
        </is>
      </c>
      <c r="D4145" t="n">
        <v>1</v>
      </c>
      <c r="E4145" t="n">
        <v>8</v>
      </c>
      <c r="F4145">
        <f>HYPERLINK("https://www.reddit.com/r/COVID19positive/comments/i4sjvi/im_pretty_sure_i_lost_my_sense_of_smelltaste_for/")</f>
        <v/>
      </c>
      <c r="G4145" t="inlineStr">
        <is>
          <t>2020-08-06 07:14:48</t>
        </is>
      </c>
      <c r="H4145" t="inlineStr">
        <is>
          <t>Presumed Positive - From Doctor</t>
        </is>
      </c>
    </row>
    <row r="4146">
      <c r="A4146" t="inlineStr">
        <is>
          <t>i4swi2</t>
        </is>
      </c>
      <c r="B4146" t="inlineStr">
        <is>
          <t>Assuming I’m positive. What a ride.</t>
        </is>
      </c>
      <c r="C4146" t="inlineStr">
        <is>
          <t>So while I haven’t officially gotten tested, we have a close friend who is a surgeon who basically said she’d assume it was COVID based on early symptoms.
Day 1 (7/23): started feeling super fatigued, body aches, chills, fever topped at 100.2, and then the stomach pains and uncontrollable power washer diarrhea started. Slight chest tightness but not enough to where it couldn’t have also been anxiety
Day 2: woke up feeling exhausted but overall much better. Fever was gone, no chills, no aches. Slight stomach pain and diarrhea lessened
Then basically 2 weeks of my stomach feeling “off” but overall felt like I had recovered and was feeling good!
Then yesterday (8/5) the stomach cramps started back up and back came the diarrhea. Not nearly as frequent or uncontrollable as initially though. Increased chest tightness last night and maybe some brain fog?
This morning the only symptom seems to be GI. Stomach cramps and diarrhea but chest tightness gone again. Again, maybe some brain fog but also didn’t sleep super well so that may be the cause there.
Basically, this has been such a weird experience! Staying hydrated and taking vitamins and basically just riding all of this out unless I get to a more serious level.
Figure if I get tested with current symptoms and am positive they’ll basically tell me to do what I’m doing now, so might as well just start here.
Hang in there, everyone and stay safe!</t>
        </is>
      </c>
      <c r="D4146" t="n">
        <v>1</v>
      </c>
      <c r="E4146" t="n">
        <v>5</v>
      </c>
      <c r="F4146">
        <f>HYPERLINK("https://www.reddit.com/r/COVID19positive/comments/i4swi2/assuming_im_positive_what_a_ride/")</f>
        <v/>
      </c>
      <c r="G4146" t="inlineStr">
        <is>
          <t>2020-08-06 07:35:32</t>
        </is>
      </c>
      <c r="H4146" t="inlineStr">
        <is>
          <t>Presumed Positive - From Doctor</t>
        </is>
      </c>
    </row>
    <row r="4147">
      <c r="A4147" t="inlineStr">
        <is>
          <t>i4t93i</t>
        </is>
      </c>
      <c r="B4147" t="inlineStr">
        <is>
          <t>5 month old baby</t>
        </is>
      </c>
      <c r="C4147" t="inlineStr">
        <is>
          <t>Myself and my 5 month old contracted Covid about a month ago when her dad brought it home after attending a wedding. We were lucky that him and I didn’t get the respiratory symptoms, but it definitely kicked our ass for over 10 days. 
This post is mainly for the moms worried about their babies getting it! My babygirl only had a fever for a week, no other symptoms. It was very mild for her and from what the doctors told us, in most babies. Just keep breastfeeding, they said! Not saying it was horrifying and scary, it was. But it was manageable. 
Stay safe, everyone!</t>
        </is>
      </c>
      <c r="D4147" t="n">
        <v>1</v>
      </c>
      <c r="E4147" t="n">
        <v>34</v>
      </c>
      <c r="F4147">
        <f>HYPERLINK("https://www.reddit.com/r/COVID19positive/comments/i4t93i/5_month_old_baby/")</f>
        <v/>
      </c>
      <c r="G4147" t="inlineStr">
        <is>
          <t>2020-08-06 07:55:29</t>
        </is>
      </c>
      <c r="H4147" t="inlineStr">
        <is>
          <t>Tested Positive</t>
        </is>
      </c>
    </row>
    <row r="4148">
      <c r="A4148" t="inlineStr">
        <is>
          <t>i4tkvo</t>
        </is>
      </c>
      <c r="B4148" t="inlineStr">
        <is>
          <t>Calf pain during covid, should I be worried?</t>
        </is>
      </c>
      <c r="C4148" t="inlineStr">
        <is>
          <t>I am currently on Day 9 of covid (day 1 is when I first showed symptoms). My right calf has been hurting since day 6 or 7 and I started taking a small dose of aspirin since then just to be safe. The pain is not extreme at all. Kind of feels like what soreness feels like two days after leg day. But I'm worried because this pain is just in my right calf and not my left calf. Is there any way my pain could be from a clot if I have no redness, swelling or extreme pain in my calf? Should I be worried or should I just stretch it and massage it and let it be? Is there anything I should watch out for? Other than this leg pain I feel perfectly fine, except for a little fatigue.</t>
        </is>
      </c>
      <c r="D4148" t="n">
        <v>1</v>
      </c>
      <c r="E4148" t="n">
        <v>17</v>
      </c>
      <c r="F4148">
        <f>HYPERLINK("https://www.reddit.com/r/COVID19positive/comments/i4tkvo/calf_pain_during_covid_should_i_be_worried/")</f>
        <v/>
      </c>
      <c r="G4148" t="inlineStr">
        <is>
          <t>2020-08-06 08:13:38</t>
        </is>
      </c>
      <c r="H4148" t="inlineStr">
        <is>
          <t>Tested Positive - Me</t>
        </is>
      </c>
    </row>
    <row r="4149">
      <c r="A4149" t="inlineStr">
        <is>
          <t>i4uil8</t>
        </is>
      </c>
      <c r="B4149" t="inlineStr">
        <is>
          <t>Need a negative test to return to work</t>
        </is>
      </c>
      <c r="C4149" t="inlineStr">
        <is>
          <t>Hi all, I tested positive back on July 23rd. My company offered to pay for a rapid results test on 7/30 in hopes I could return to work. I was showing minimal symptoms at the time (cough and minor fever, nothing over 100) but it came back negative. It’s now been 2 weeks since my original negative test, 16 days overall since symptoms started showing. Would I be safe to re-test now? I’d be paying out of pocket for this test ($200) so I’d like to make sure I’m safe. Currently the only symptom I’m showing is a minimal cough (just feels like I need to clear my throat every now and then) my sense of smell and taste have returned, no more body aches or chills or fever. 
Thanks for any help with this matter.</t>
        </is>
      </c>
      <c r="D4149" t="n">
        <v>1</v>
      </c>
      <c r="E4149" t="n">
        <v>4</v>
      </c>
      <c r="F4149">
        <f>HYPERLINK("https://www.reddit.com/r/COVID19positive/comments/i4uil8/need_a_negative_test_to_return_to_work/")</f>
        <v/>
      </c>
      <c r="G4149" t="inlineStr">
        <is>
          <t>2020-08-06 09:05:54</t>
        </is>
      </c>
      <c r="H4149" t="inlineStr">
        <is>
          <t>Tested Positive - Me</t>
        </is>
      </c>
    </row>
    <row r="4150">
      <c r="A4150" t="inlineStr">
        <is>
          <t>i4um5z</t>
        </is>
      </c>
      <c r="B4150" t="inlineStr">
        <is>
          <t>Timeline of my mild case!</t>
        </is>
      </c>
      <c r="C4150" t="inlineStr">
        <is>
          <t>Background on me: Female. 25 years old. Blood Type: B+. I don’t have any underlying conditions other than PCOS (don’t think that’s too relevant but never hurts to disclose I guess)
My sister and I were exposed to someone who had COVID, out of precaution we both got tested. I tested NEGATIVE on July 22nd while my sister tested Positive. My sister quarantined in her room and used a separate bathroom. 
However, Three days later I felt a slight tickle in my throat, went back and Tested POSITIVE (July 25th).
Timeline:
Saturday, July 25th: sore throat, minimal nose congestion, and headaches. 
Still no fever. 
Sunday, July 26th: sore throat, headaches, and body aches. 
Still no fever. 
Monday, July 27th: same as above. 
Mother (45) tested positive this day. 
Her symptoms: cough, runny nose, headache, and fatigue. 
Tuesday, July 28th: No change in symptoms 
Wednesday, July 29th: no change in symptoms 
Thursday, July 30th: nonstop sneezing and runny nose... later this day I lost my taste and smell 
Friday, July 31st: same as above
Saturday, August 1st: taste and smell gradually returning. Other than this no other symptoms. 
Sunday, August 2nd- Thursday, August 6th: no symptoms. Felt pretty normal except for lack of taste and smell. I went and got tested August 6th and tested negative. 
Neither my mom nor I ever had a fever. My sister (20) ran a series of low grade fevers (highest temp 99 F). We all took Vitamin C and D. I took baby aspirin, Tylenol, and a nasal decongestant. My sister, mother, and I quarantined in our rooms we did frequently have contact with one another and shared a separate bathroom. My father stayed in the living room and used the guest bathroom. My father never got sick. Whenever we went to the kitchen we used face masks and gloves. 
I’m open to any questions! Honestly, The anxiety was the worst part. I never knew if I was going to feel worse or better. I’m posting my story in hopes of easing other people’s minds. You will get through this!! Stay positive!!!</t>
        </is>
      </c>
      <c r="D4150" t="n">
        <v>1</v>
      </c>
      <c r="E4150" t="n">
        <v>21</v>
      </c>
      <c r="F4150">
        <f>HYPERLINK("https://www.reddit.com/r/COVID19positive/comments/i4um5z/timeline_of_my_mild_case/")</f>
        <v/>
      </c>
      <c r="G4150" t="inlineStr">
        <is>
          <t>2020-08-06 09:11:14</t>
        </is>
      </c>
      <c r="H4150" t="inlineStr">
        <is>
          <t>Tested Positive - Family</t>
        </is>
      </c>
    </row>
    <row r="4151">
      <c r="A4151" t="inlineStr">
        <is>
          <t>i4uqrb</t>
        </is>
      </c>
      <c r="B4151" t="inlineStr">
        <is>
          <t>I got the vomiting symptom this morning. How much worse is this gonna get?</t>
        </is>
      </c>
      <c r="C4151" t="inlineStr">
        <is>
          <t>I have that cough it's hard to breath sometimes my legs ache horribly whenever I stand I feel very low energy I don't really get headaches sore throat congestion runny nose nausea and vomiting and diarrhea. I've also had burning in my chest sometimes but not always.</t>
        </is>
      </c>
      <c r="D4151" t="n">
        <v>1</v>
      </c>
      <c r="E4151" t="n">
        <v>5</v>
      </c>
      <c r="F4151">
        <f>HYPERLINK("https://www.reddit.com/r/COVID19positive/comments/i4uqrb/i_got_the_vomiting_symptom_this_morning_how_much/")</f>
        <v/>
      </c>
      <c r="G4151" t="inlineStr">
        <is>
          <t>2020-08-06 09:18:07</t>
        </is>
      </c>
      <c r="H4151" t="inlineStr">
        <is>
          <t>Tested Positive - Me</t>
        </is>
      </c>
    </row>
    <row r="4152">
      <c r="A4152" t="inlineStr">
        <is>
          <t>i4visk</t>
        </is>
      </c>
      <c r="B4152" t="inlineStr">
        <is>
          <t>Our story - mild but still sucked.</t>
        </is>
      </c>
      <c r="C4152" t="inlineStr">
        <is>
          <t>I wanted to write to add my experience as one (two I guess) data points, in hopes that it's helpful to someone looking.
Before we got it, I wasn't aware of mild cases really. Didn't know anyone who had it, never saw mention of any specific mild cases on the news or on online. We wear masks, work from home, socially distance, etc. Aside from the grocery store and getting dinner on occasion, we stay home with our 10-month-old.
My symptoms started July 6. My wife's started July 7th. Very mild for a few days, aside from the fatigue, which was like none I've experienced. Then, low fever, disproportionally bad chills at night, loss of appetite, loss of taste and smell, etc. Went to my doctor who turned me away, stating I didn't have it because I had no fever at the time. Got worse over the weekend of the 11th, wife tested positive, so we locked down.
The second week was much worse. All of the above plus chest congestion and a painful cough (for me - my wife just kept the above for the second week). I have asthma, so I tried using my inhaler. The pain from a sharp breath nearly knocked me to the floor and triggered a bad coughing fit that hurt like hell. So I got a refill on my albuterol Rx for my nebulizer. Not giving medical advice here, but I'm confident the nebulizer treatments every 4-6 hours kept me out of the hospital. For two days I couldn't talk - not because of shortness of breath, but because the vibration in my throat would trigger painful coughing fits. Used OTC cough medicines for that.
In the end it was 15-16 days, and we thankfully didn't pass it on. Our kid must have gotten it, but never showed symptoms. We followed CDC guidelines for ending isolation + ~2 weeks because that's about when our friends and family became comfortable with having us around.</t>
        </is>
      </c>
      <c r="D4152" t="n">
        <v>1</v>
      </c>
      <c r="E4152" t="n">
        <v>8</v>
      </c>
      <c r="F4152">
        <f>HYPERLINK("https://www.reddit.com/r/COVID19positive/comments/i4visk/our_story_mild_but_still_sucked/")</f>
        <v/>
      </c>
      <c r="G4152" t="inlineStr">
        <is>
          <t>2020-08-06 09:59:25</t>
        </is>
      </c>
      <c r="H4152" t="inlineStr">
        <is>
          <t>Tested Positive</t>
        </is>
      </c>
    </row>
    <row r="4153">
      <c r="A4153" t="inlineStr">
        <is>
          <t>i4vwnu</t>
        </is>
      </c>
      <c r="B4153" t="inlineStr">
        <is>
          <t>Am I crazy?</t>
        </is>
      </c>
      <c r="C4153" t="inlineStr">
        <is>
          <t>I tested positive on July 31st while in the hospital for a kidney stone. I have no symptoms. My boyfriend decided to stay with me because we figured he had it and I also needed a little help at home because I had surgery. He also didn't want to expose his roommate. He also got tested on July 31st and received a negative test a few days later. He got tested again yesterday and is waiting for those results. He says that if this test comes back negative he should go back to his place. I know being stuck in my bedroom is making me a miserable bitch so maybe it's that, but this doesn't make sense to me. We've been staying away from each other as much as possible but I feel like he's looking for his get out of jail free card to break quarantine. If I was his roommate I wouldn't want him back in the house yet. Or am I looking at this the wrong way?</t>
        </is>
      </c>
      <c r="D4153" t="n">
        <v>1</v>
      </c>
      <c r="E4153" t="n">
        <v>3</v>
      </c>
      <c r="F4153">
        <f>HYPERLINK("https://www.reddit.com/r/COVID19positive/comments/i4vwnu/am_i_crazy/")</f>
        <v/>
      </c>
      <c r="G4153" t="inlineStr">
        <is>
          <t>2020-08-06 10:19:03</t>
        </is>
      </c>
      <c r="H4153" t="inlineStr">
        <is>
          <t>Tested Positive - Me</t>
        </is>
      </c>
    </row>
    <row r="4154">
      <c r="A4154" t="inlineStr">
        <is>
          <t>i4wm9d</t>
        </is>
      </c>
      <c r="B4154" t="inlineStr">
        <is>
          <t>We keep testing positive, but work says i cant come back?</t>
        </is>
      </c>
      <c r="C4154" t="inlineStr">
        <is>
          <t>My mom and I tested positive a month ago. She [57F] has had no symptoms at all but has tested positive today 30 days after the initial test. We work at the same place and although we both are still positive they said she can come back because she "only has a little of the virus left"? She's a custodian at a school! School isn't open yet but it will next week and she's still positive, but doesn't want to loose her job.
I on the other hand have a shit immune system since birth and took every precaution to not get it. I had no symptoms before one day collapsing out of nowhere and then beginning a long 11 day hell of basically all the symptoms of covid with lowest fever being 101°F. My organs felt like they were stabbing each other and I lost a lot of weight and muscle mass because I was completely bed ridden and couldn't eat anything. 
After day 11 I got better and now im back to being my version of "healthy" since i still have a compromised immune system. I still have trouble breathing if i excert myself while working out and i get tired much easier than before, but i feel like an affect that has stuck with me is slight brain fog. It won't go away. 
Our doctor said to take our second covid test 2 weeks after we first got tested.  2nd test was positive.  Since it was through our work we called again to schedule another test but that's when my mom was told she could come back to work August 14 without another test saying she's negative. Ofcourse my family needs to know if she's still positive so we went to get a free test and August 5 she tested positive again.  Im waiting on result for mine.
Is the "little bit of virus" true? Im worried for my mom going into a school with children being positive and potentially infecting them. I also want her to be safe from the virus if she only has a little virus in her.</t>
        </is>
      </c>
      <c r="D4154" t="n">
        <v>1</v>
      </c>
      <c r="E4154" t="n">
        <v>10</v>
      </c>
      <c r="F4154">
        <f>HYPERLINK("https://www.reddit.com/r/COVID19positive/comments/i4wm9d/we_keep_testing_positive_but_work_says_i_cant/")</f>
        <v/>
      </c>
      <c r="G4154" t="inlineStr">
        <is>
          <t>2020-08-06 10:56:25</t>
        </is>
      </c>
      <c r="H4154" t="inlineStr">
        <is>
          <t>Tested Positive - Family</t>
        </is>
      </c>
    </row>
    <row r="4155">
      <c r="A4155" t="inlineStr">
        <is>
          <t>i4x27a</t>
        </is>
      </c>
      <c r="B4155" t="inlineStr">
        <is>
          <t>This virus is no joke!</t>
        </is>
      </c>
      <c r="C4155" t="inlineStr">
        <is>
          <t>Hello everyone,
I thought I should share my experience with covid-19. I tested positive on the 10th of July and had symptoms for about three weeks. The symptoms I experienced were, lost of taste and smell, constant headaches, cough attacks, pressure and pain on my chest and a sore throat. My whole family end up contracting the virus, Till this day I have no idea where I could have gotten the virus. I wear a mask in public and carry hand sanitizer with me, but that wasn’t enough. The person who suffered the most in my family was my father. He is 50 year old man and had to be hospitalized for 8 days. I urge anyone that test positive to buy a oximeter they are not that expensive on amazon. If i hadn’t bought this my dad would not be here with us today. I would check his oxygen level constantly and the day he had to be hospitalized he was at 88% and dropped to 76%. I can’t really recommend any medicine because all I did was drink a multivitamin and hot tea throughout the experience. So the purpose of this post it to inform all of you to buy and oximeter if you do contract the virus.</t>
        </is>
      </c>
      <c r="D4155" t="n">
        <v>1</v>
      </c>
      <c r="E4155" t="n">
        <v>12</v>
      </c>
      <c r="F4155">
        <f>HYPERLINK("https://www.reddit.com/r/COVID19positive/comments/i4x27a/this_virus_is_no_joke/")</f>
        <v/>
      </c>
      <c r="G4155" t="inlineStr">
        <is>
          <t>2020-08-06 11:19:41</t>
        </is>
      </c>
      <c r="H4155" t="inlineStr">
        <is>
          <t>Tested Positive - Me</t>
        </is>
      </c>
    </row>
    <row r="4156">
      <c r="A4156" t="inlineStr">
        <is>
          <t>i4xzk6</t>
        </is>
      </c>
      <c r="B4156" t="inlineStr">
        <is>
          <t>Family tested positive, my mom with unusual symptoms.</t>
        </is>
      </c>
      <c r="C4156" t="inlineStr">
        <is>
          <t>Well, my mom and dad tested positive about a week ago with very mild symptoms, both got low fever,body aches and only my mom got a sore throat and very little SOB, none lost the sense of taste and smell, which a thought was a universal symptom. But within a week, taking Azitromicine and dexametasone, they feel just fine. Only thing my mom is experiecing geographical tongue, which a find unusual by reading some cases here, if anyone had it, and are willing to share tips or anything, i'd appreciate.  
And after trying to isolate myself from them, my county health departament kept records of my family disease and booked me a quick test (not everyone can test anytime they want in the public health system) and I am feeling fine, only had a feeling of a stuck cough, but nothing unbearable, and that feeling when you drink a lot of cold water. And not other symptoms. 
I just wanted to share with you guys because I'm feeling kinda alone in this, maintaining distance from my parents and my girlfriend and not seeing a lot of cases with symptoms like my parents' and mine, and hoping that everyone that is the real struggle to be fine, it's being some weird times.</t>
        </is>
      </c>
      <c r="D4156" t="n">
        <v>1</v>
      </c>
      <c r="E4156" t="n">
        <v>7</v>
      </c>
      <c r="F4156">
        <f>HYPERLINK("https://www.reddit.com/r/COVID19positive/comments/i4xzk6/family_tested_positive_my_mom_with_unusual/")</f>
        <v/>
      </c>
      <c r="G4156" t="inlineStr">
        <is>
          <t>2020-08-06 12:06:41</t>
        </is>
      </c>
      <c r="H4156" t="inlineStr">
        <is>
          <t>Tested Positive - Family</t>
        </is>
      </c>
    </row>
    <row r="4157">
      <c r="A4157" t="inlineStr">
        <is>
          <t>i4y7wl</t>
        </is>
      </c>
      <c r="B4157" t="inlineStr">
        <is>
          <t>Should I get retested?</t>
        </is>
      </c>
      <c r="C4157" t="inlineStr">
        <is>
          <t>Hi there, 
I’m a 21 year old female who tested positive for covid. I originally thought I had a sinus infection and my doctor thought so too, giving me antibiotics but the day right after I completely lost my sense of smell and somewhat taste and knew I should get tested. I got tested on June 24th and tested positive. My symptoms were mild - mostly a stuffy nose, intense headaches and loss of smell. I had no fever, no chest pains, shortness of breath or cough. It honestly seemed too have hit me mentally/neurologically. My boyfriend and family all tested negative, no one around me tested positive which is odd that I was the only one. Today is my last day of my 14 day self isolation and I’m wondering if anyone else who tested positive got retested and tested negative? I’ve been reading a lot that many people still test positive even after they’ve recovered. I feel like I’ve completely recovered, I wake up feeling normal and well - although I’m a nanny and the family I work for would like me too get retested and want me too return once I test negative again. I completely understand that dead cells can hang around which causes the test too be positive but I’m still curious what the odds are!</t>
        </is>
      </c>
      <c r="D4157" t="n">
        <v>1</v>
      </c>
      <c r="E4157" t="n">
        <v>2</v>
      </c>
      <c r="F4157">
        <f>HYPERLINK("https://www.reddit.com/r/COVID19positive/comments/i4y7wl/should_i_get_retested/")</f>
        <v/>
      </c>
      <c r="G4157" t="inlineStr">
        <is>
          <t>2020-08-06 12:18:39</t>
        </is>
      </c>
      <c r="H4157" t="inlineStr">
        <is>
          <t>Tested Positive</t>
        </is>
      </c>
    </row>
    <row r="4158">
      <c r="A4158" t="inlineStr">
        <is>
          <t>i500sg</t>
        </is>
      </c>
      <c r="B4158" t="inlineStr">
        <is>
          <t>Have reason to believe I could have it, but such mild symptoms I'm not sure</t>
        </is>
      </c>
      <c r="C4158" t="inlineStr">
        <is>
          <t>27, F, unsure of my blood type (mom and Granpda are O+), no health issues.
&amp;amp;#x200B;
My coworker started feeling a few symptoms 7/28. 7/29 she woke up with a sore throat and fever so she called in. I was around her the morning of 7/28, not before, not after. We work 6 feet apart but are around eachother still. A few days later she tested positive. 
&amp;amp;#x200B;
I have felt 100% normal this whole time (it has been 9 days since I was exposed to her) however yesterday I wanted to test my temp to monitor myself. It ranges from 98.9 and 99.7. I still feel normal, however these past few days I wake up with the slightest soreness in one part of my throat. Can't feel it when I swallow but could when I talked. It goes away as the day progresses. I do want to note that my sister and I were playing a horror game and we were screaming each night lol. That's what I thought it could be from but am still weary.
&amp;amp;#x200B;
However, today feel the slightest sensation to cough. Can't tell if it's my paranoia/allergies or real. It's nothing that I can't suppress.</t>
        </is>
      </c>
      <c r="D4158" t="n">
        <v>1</v>
      </c>
      <c r="E4158" t="n">
        <v>14</v>
      </c>
      <c r="F4158">
        <f>HYPERLINK("https://www.reddit.com/r/COVID19positive/comments/i500sg/have_reason_to_believe_i_could_have_it_but_such/")</f>
        <v/>
      </c>
      <c r="G4158" t="inlineStr">
        <is>
          <t>2020-08-06 13:54:28</t>
        </is>
      </c>
      <c r="H4158" t="inlineStr">
        <is>
          <t>Tested Positive - Friends</t>
        </is>
      </c>
    </row>
    <row r="4159">
      <c r="A4159" t="inlineStr">
        <is>
          <t>i5016h</t>
        </is>
      </c>
      <c r="B4159" t="inlineStr">
        <is>
          <t>Social Impact from Testing Positive</t>
        </is>
      </c>
      <c r="C4159" t="inlineStr">
        <is>
          <t>I was lucky, and had mild symptoms, and recovered physically within 3 days. If not for being tested, I would have shrugged it off as a seasonal bug. Word spread quickly among friends that my 2 roommates and I had it, and tested positive. 
My work required 2x negative tests to return, so I went after 14 days to be retested. Still positive. Again after 21 days.. still positive.. 28, still positive. Finally after 32 days, I received a negative test. 
It was very frustrating to have a CDC guideline state I was not contagious but still be ostracized from society. Friends were (rightfully so) concerned i was testing positive, and did not want to be around me.  It was tough, luckily I had 2 roommates in the same boat, or I would have struggled with my mental health (something I don’t normally struggle with).
I know I’m lucky for my health, but thought maybe other mild cases could relate and it’s not something people seem to talk about - the illness portion was mild, but the social impact gets hard on your mental health after a few weeks..</t>
        </is>
      </c>
      <c r="D4159" t="n">
        <v>1</v>
      </c>
      <c r="E4159" t="n">
        <v>8</v>
      </c>
      <c r="F4159">
        <f>HYPERLINK("https://www.reddit.com/r/COVID19positive/comments/i5016h/social_impact_from_testing_positive/")</f>
        <v/>
      </c>
      <c r="G4159" t="inlineStr">
        <is>
          <t>2020-08-06 13:54:58</t>
        </is>
      </c>
      <c r="H4159" t="inlineStr">
        <is>
          <t>Tested Positive</t>
        </is>
      </c>
    </row>
    <row r="4160">
      <c r="A4160" t="inlineStr">
        <is>
          <t>i51a8p</t>
        </is>
      </c>
      <c r="B4160" t="inlineStr">
        <is>
          <t>Extreme shortness of breath, but pulse ox is above 95. Not sure what to do. Advice or encouragement would be appreciated.</t>
        </is>
      </c>
      <c r="C4160" t="inlineStr">
        <is>
          <t>Day 11 of symptoms.  Went to ER Sunday with low ox sats and shortness of breath.  Today shortness of breath is the worst it’s been but my ox numbers are reading above 95.  I’m not running a fever and have not been febrile since the start, but I’m sweating a lot.  I’ve had a constant headache that won’t go away, today head pain is off the charts.  Was prescribed Tylenol 3 at ER and it doesn’t help at all.  I’ve tried naproxen, ibuprofen, Tylenol, Tylenol 3, homeopathic remedies, ice, etc.  I’m staying hydrated very well, lots and lots of water and Gatorade/Powerade.  My boyfriend called my doc this morning because he found me curled up in bath bawling from the head pain.  Cough was exasperating headache, so doctor prescribed Tussionex, which is second bottle of it, he first prescribed it when I was tested positive.  The bottles are very small and they don’t last long even when trying to stretch out and take less than a full dose.  I took a dose and it helped the cough, but the head pain is still beyond unbearable.  Having trouble focusing.  (Even before I took the medicine, so it’s not from the medications)
Is going back to hospital something I should consider?  Does anyone know how I could have such severe SOB but pulse ox be in normal range?  I can’t even walk to the bathroom and back without having to catch my breath for several minutes.  If I go up the stairs and back down it takes me a good 15-20 minutes to catch my breath.  I’m doing budesonide breathing treatments twice a day, and have been doing albuterol inhaler 2 puffs as needed, but never with less than 6 hours in between.  
I’m reaching a point where I’m mentally being unable to “ride it out” anymore.  I can’t sleep, I’m exhausted, my head pain is making me fall apart, and if I do anything it takes forever to catch my breath and have had to change shirts from sweating.  
I’m not wheezing, and the chest pain/tightness and right lung pain aren’t any worse than they were at last ER appointment.  Chest X-ray was normal Sunday.  Pulse is higher than normal but in a normal range.  I usually have a fairly low resting rate around 60, but today I’ve fluctuated between 85-130.  I assume the severe pain is attributing.  
If pulse ox is in a safe range does that mean I’m okay?  Could there be something dangerous happening and still have normal oxygen saturation, no wheezing or worsening chest and lung pain?</t>
        </is>
      </c>
      <c r="D4160" t="n">
        <v>1</v>
      </c>
      <c r="E4160" t="n">
        <v>7</v>
      </c>
      <c r="F4160">
        <f>HYPERLINK("https://www.reddit.com/r/COVID19positive/comments/i51a8p/extreme_shortness_of_breath_but_pulse_ox_is_above/")</f>
        <v/>
      </c>
      <c r="G4160" t="inlineStr">
        <is>
          <t>2020-08-06 15:02:13</t>
        </is>
      </c>
      <c r="H4160" t="inlineStr">
        <is>
          <t>Tested Positive - Me</t>
        </is>
      </c>
    </row>
    <row r="4161">
      <c r="A4161" t="inlineStr">
        <is>
          <t>i51gbv</t>
        </is>
      </c>
      <c r="B4161" t="inlineStr">
        <is>
          <t>Because of Covid 19 my disabled fiance and I are about to become homeless. We've never felt so low in our lives.</t>
        </is>
      </c>
      <c r="C4161" t="inlineStr">
        <is>
          <t>We live with my father who is also a disabled veteran. My fiance and I moved in with him because my fiance needs a slew of surgeries and my father needed some care too. My fiance had back surgery last year and is recovering from shoulder surgery that he had two months ago. He was scheduled to have knee surgery July 29th which was canceled because of catching Covid. After his knee surgery he was supposed to have his other shoulder surgery and a spinal surgery. He was hit by a semi truck years ago, and had been fighting with the VA for many years to have these surgeries, but apparently his injuries were not "bad enough" to warrant procedures until his body deteriorated enough. Its been a constant battle with the VA. So much so we had to hire an attorney to work on getting his disability increased and getting Social Security Disability. That fight is still ongoing. And if you know anything about VA disability, or even getting the care you need, it's very slow moving. He needs a lot of care in recovery, and lots of physical therapy. Which is why we made the decision to live with my father so he could recover and we could afford to live on just my income selling on Ebay. It gave me the flexibility to take care of them both. It's been exhausting, but worth the fight to get my fiance healed. He's been living with immense pain for way too long. 
My father agreed that this would be the best thing for us since he couldn't have the surgeries any other way because we couldn't afford to keep our rental home on just my salary. So all's good. He gets two surgeries and is on track to have his third when I test positive for Covid. Because my father is immune compromised with severe COPD, emphysema, and other health problems, we had to quarantine at an efficiency for 14 days to keep him safe. My fiance was scheduled to have knee surgery on the 29th (the day I was to get off quarantine) but he tested positive for Covid (two days before surgery). We kinda knew it was going to happen, but I had read stories of people living together and sleeping in the same room where the other person didn't catch it, so I was trying to stay positive that maybe we would get lucky. We didn't. And so, we had to find another place to quarantine for another two weeks. Which means another two weeks without pay. To make matters worse, the water pump on our Jeep broke. Great. /s
We have three more days in quarantine. We are so ready to go back home. Then boom. My dad calls today and said we needed to talk. He said he's scared for his life, and scared he is going to catch Covid. I already put him at risk once. And he was lucky not to catch it. But next time he might. He's worried we are going to bring the virus home to him again, and I can absolutely understand that. He was super lucky not to catch it this time. 
Even with all the precautions I took, I still caught it. I always wore a mask, and used so much hand sanitizer my skin should have peeled off. I haven't even seen my friends in over two and a half months. I stayed at least six feet away from people, and still cought the damn virus. Even still, I feel immensely guilty. 
Almost everything we had was spent on staying in a hotel for a month, and fixing our vehicle. We have under $100 left to our name with two bills coming up, and now we have to move out with nowhere to go. My dad apologized over and over. I told him I'm not mad at him, I understand it's his life he is worried about, but I have no idea what we are going to do, or where we're going to go.
I live in SW Florida. If anyone knows of any resources that I can reach out to please let me know. We will be calling the VA first thing in the morning to see if they offer any help, but I won't hold my breath. I'll also be calling the Red Cross and 211. Those are the only resources I'm familiar with. In the event that we have to stay in a shelter, I'm going to beg my dad to take care of our dogs until we can find a place to live. I've been crying with just the thought of having to give up our dogs. They are like our children. 
I'm so tired of this pandemic. I'm so tired of struggling.</t>
        </is>
      </c>
      <c r="D4161" t="n">
        <v>1</v>
      </c>
      <c r="E4161" t="n">
        <v>2</v>
      </c>
      <c r="F4161">
        <f>HYPERLINK("https://www.reddit.com/r/COVID19positive/comments/i51gbv/because_of_covid_19_my_disabled_fiance_and_i_are/")</f>
        <v/>
      </c>
      <c r="G4161" t="inlineStr">
        <is>
          <t>2020-08-06 15:11:30</t>
        </is>
      </c>
      <c r="H4161" t="inlineStr">
        <is>
          <t>Tested Positive</t>
        </is>
      </c>
    </row>
    <row r="4162">
      <c r="A4162" t="inlineStr">
        <is>
          <t>i51on9</t>
        </is>
      </c>
      <c r="B4162" t="inlineStr">
        <is>
          <t>Does COVID-19 destroy lungs and heart permanently?</t>
        </is>
      </c>
      <c r="C4162" t="inlineStr">
        <is>
          <t>Hi guys. I got my test back - positive. Ffs. I was feeling super shit for about 3 or 4 days last week. Feeling much better this week. I’ve read that apparently covid-19 destroys about 30% of lungs and heart permanently even in mild cases. Is this true? I’m really scared of it. Also, will my smell ever come back? Thanks.</t>
        </is>
      </c>
      <c r="D4162" t="n">
        <v>1</v>
      </c>
      <c r="E4162" t="n">
        <v>9</v>
      </c>
      <c r="F4162">
        <f>HYPERLINK("https://www.reddit.com/r/COVID19positive/comments/i51on9/does_covid19_destroy_lungs_and_heart_permanently/")</f>
        <v/>
      </c>
      <c r="G4162" t="inlineStr">
        <is>
          <t>2020-08-06 15:24:35</t>
        </is>
      </c>
      <c r="H4162" t="inlineStr">
        <is>
          <t>Tested Positive - Me</t>
        </is>
      </c>
    </row>
    <row r="4163">
      <c r="A4163" t="inlineStr">
        <is>
          <t>i526vh</t>
        </is>
      </c>
      <c r="B4163" t="inlineStr">
        <is>
          <t>Why do I have symptoms coming and going in waves (3 months later)?</t>
        </is>
      </c>
      <c r="C4163" t="inlineStr">
        <is>
          <t>I was sick in the beginning of May for about two weeks. Then I started feeling 100% again, overexerted myself, then started to feel fatigue and sore throat again. That’s happened about three times since then. It’s now 3 months later, and I’m feeling symptoms that I started with (fatigue and sore throat). Why is this still happening? Is this corona or something else? My dad is experiencing the same thing (his coughing started again). And it usually happens at the same time for all my family members</t>
        </is>
      </c>
      <c r="D4163" t="n">
        <v>1</v>
      </c>
      <c r="E4163" t="n">
        <v>19</v>
      </c>
      <c r="F4163">
        <f>HYPERLINK("https://www.reddit.com/r/COVID19positive/comments/i526vh/why_do_i_have_symptoms_coming_and_going_in_waves/")</f>
        <v/>
      </c>
      <c r="G4163" t="inlineStr">
        <is>
          <t>2020-08-06 15:53:08</t>
        </is>
      </c>
      <c r="H4163" t="inlineStr">
        <is>
          <t>Tested Positive</t>
        </is>
      </c>
    </row>
    <row r="4164">
      <c r="A4164" t="inlineStr">
        <is>
          <t>i52nzy</t>
        </is>
      </c>
      <c r="B4164" t="inlineStr">
        <is>
          <t>34/F, I was hoping it was just a cold :-(</t>
        </is>
      </c>
      <c r="C4164" t="inlineStr">
        <is>
          <t>After two cases of confirmed positive results at my work recently, I was tested for a third time and came back positive for COVID.   A few months ago, we had briefly done a rotating schedule where we only went into the office a few days per week, but that lasted about a month and then it was back to business as usual.  Some hand sanitizing stations were put in, we were given masks, and a couple weeks ago they started checking our temperatures each morning when we arrived.  Mine has been consistently normal, 97.9.
On July 17th I felt like I had a frog in my throat but by the end of the day, it had gone away.  The following week, no symptoms.  Last Thursday I started feeling like I was developing a cold, it was still very mild though.  I thought about taking a bath because I had slight aches in my neck and shoulders.  My throat felt scratchy but it was manageable.  I had a general feeling of malaise this past weekend; low energy, spaced out, cloudy in my head.  I mostly just laid around in bed and watched Netflix.  By Monday I had lost my sense of taste and smell.  Strangely the symptoms lessened a bit on Tuesday and Wednesday, then came back today (Thursday) full force.  I've been coughing all day and still can't taste or smell (I assume that will take quite awhile to return, from other accounts I've read).
I was a bit in shock when I got my positive results this morning but I am staying strong and relying on my family for support.  I do feel there will be a stigma once I return to work later this month/after quarantine.  My work doesn't seem to think I picked it up from the office, but given that we've had multiple confirmed cases, it seems pretty obvious to me.  
Hang in there everyone.</t>
        </is>
      </c>
      <c r="D4164" t="n">
        <v>1</v>
      </c>
      <c r="E4164" t="n">
        <v>6</v>
      </c>
      <c r="F4164">
        <f>HYPERLINK("https://www.reddit.com/r/COVID19positive/comments/i52nzy/34f_i_was_hoping_it_was_just_a_cold/")</f>
        <v/>
      </c>
      <c r="G4164" t="inlineStr">
        <is>
          <t>2020-08-06 16:20:37</t>
        </is>
      </c>
      <c r="H4164" t="inlineStr">
        <is>
          <t>Tested Positive - Me</t>
        </is>
      </c>
    </row>
    <row r="4165">
      <c r="A4165" t="inlineStr">
        <is>
          <t>i52qnk</t>
        </is>
      </c>
      <c r="B4165" t="inlineStr">
        <is>
          <t>She is positive, I am negative...WTF?</t>
        </is>
      </c>
      <c r="C4165" t="inlineStr">
        <is>
          <t>My sister watches my kids daily (along with her own) so that I can work and support both of us. Two weeks ago we both started having a cough, aches, chills, huge headache, etc., so we both got tested 10 days ago. Hers came back positive and mine negative. I was so flabbergasted by this result that I got retested this week. Still negative, and we both still have symptoms but gradually getting better. (We think it came from her ex husband who thinks this whole thing is a hoax. Other than him we have isolated quite thoroughly.)
How??? How is this possible that we have the same symptoms but only one of us is positive? When we share a collective 6 kids there is no way one of us could get it and not the other. Especially when we both have the exact same symptoms! What is going on?</t>
        </is>
      </c>
      <c r="D4165" t="n">
        <v>1</v>
      </c>
      <c r="E4165" t="n">
        <v>11</v>
      </c>
      <c r="F4165">
        <f>HYPERLINK("https://www.reddit.com/r/COVID19positive/comments/i52qnk/she_is_positive_i_am_negativewtf/")</f>
        <v/>
      </c>
      <c r="G4165" t="inlineStr">
        <is>
          <t>2020-08-06 16:25:01</t>
        </is>
      </c>
      <c r="H4165" t="inlineStr">
        <is>
          <t>Tested Positive - Family</t>
        </is>
      </c>
    </row>
    <row r="4166">
      <c r="A4166" t="inlineStr">
        <is>
          <t>i52xh1</t>
        </is>
      </c>
      <c r="B4166" t="inlineStr">
        <is>
          <t>Heavy breathing post-COVID</t>
        </is>
      </c>
      <c r="C4166" t="inlineStr">
        <is>
          <t>I tested positive in early July and just got cleared (negative retests) last week. However, I've still had this occasional (maybe a little more often than occasional, actually) heavy breathing issue. My pulse oximeter has been showing normal numbers, and I can take kinda deep breaths, but I feel some weird heaviness. Like, I feel out of breath sometimes. I've been trying to keep track of any patterns or triggers but not much luck. So far, I've only noticed that it flares up when I sit down on the couch or after I get full from eating. When I walk around, it's sort of not as bad though. Any similar experiences or advice? Thank you ♡</t>
        </is>
      </c>
      <c r="D4166" t="n">
        <v>1</v>
      </c>
      <c r="E4166" t="n">
        <v>8</v>
      </c>
      <c r="F4166">
        <f>HYPERLINK("https://www.reddit.com/r/COVID19positive/comments/i52xh1/heavy_breathing_postcovid/")</f>
        <v/>
      </c>
      <c r="G4166" t="inlineStr">
        <is>
          <t>2020-08-06 16:36:19</t>
        </is>
      </c>
      <c r="H4166" t="inlineStr">
        <is>
          <t>Tested Positive - Me</t>
        </is>
      </c>
    </row>
    <row r="4167">
      <c r="A4167" t="inlineStr">
        <is>
          <t>i5366i</t>
        </is>
      </c>
      <c r="B4167" t="inlineStr">
        <is>
          <t>The roomate of my roomate bf, flew internationally when arrived he got tested positive, been 5 days and no one or him have symptoms</t>
        </is>
      </c>
      <c r="C4167" t="inlineStr">
        <is>
          <t>Hi guys, help me out, so the roomate of the boyfriend of my roomate left the US and arrived to France, once he arrived he was asked to be tested and he came out positive, he had zero symptoms and was hanging with my roomate during the weekend, (2 days before his flight) its been 5 days and No one has showed any symptoms, we all went to get tested but results take forever to arrive, do u think there is a chance we all have it? Or why would no one have symptoms, we notified everyone we’ve been in contact, but im stressed
Also i was not in contact with the covid positive person, i only saw my roomate but we drank from the same water hang in living room etc, she dates the roomate of the guy who tested positive and they all hanged on the weekend, only them not outside, no symptoms from anyone and its been 5 days</t>
        </is>
      </c>
      <c r="D4167" t="n">
        <v>1</v>
      </c>
      <c r="E4167" t="n">
        <v>12</v>
      </c>
      <c r="F4167">
        <f>HYPERLINK("https://www.reddit.com/r/COVID19positive/comments/i5366i/the_roomate_of_my_roomate_bf_flew_internationally/")</f>
        <v/>
      </c>
      <c r="G4167" t="inlineStr">
        <is>
          <t>2020-08-06 16:51:05</t>
        </is>
      </c>
      <c r="H4167" t="inlineStr">
        <is>
          <t>Tested Positive - Friends</t>
        </is>
      </c>
    </row>
    <row r="4168">
      <c r="A4168" t="inlineStr">
        <is>
          <t>i537oc</t>
        </is>
      </c>
      <c r="B4168" t="inlineStr">
        <is>
          <t>Probably have Covid.. Mom won't quarantine</t>
        </is>
      </c>
      <c r="C4168" t="inlineStr">
        <is>
          <t>I (F21) had a rapid test come back negative Monday 8/3 and have continued to feel crappy all week. When I talked to my doctor yesterday, she said she's pretty certain I got a false negative. She then swabbed me later that day and I'm currently waiting on the lab results that will probably take a week. In the meantime, I am ordered to quarantine and she suggested my mom does too since we've been in close contact. My mom and her boyfriend, however, just decided that instead of him visiting our house this weekend, he'll just get a hotel room close by so they can go to a dinner. I am furious after learning this. and feel like they're being childish. I have tried to be very responsible concerning the virus for the last few months and these people who are supposed to be adults are going to put not only themselves (her boyfriend) and the rest of the people they come in contact with at risk. Am I crazy for getting mad at her over this?? Because she sure tried to make me feel like I was.</t>
        </is>
      </c>
      <c r="D4168" t="n">
        <v>1</v>
      </c>
      <c r="E4168" t="n">
        <v>5</v>
      </c>
      <c r="F4168">
        <f>HYPERLINK("https://www.reddit.com/r/COVID19positive/comments/i537oc/probably_have_covid_mom_wont_quarantine/")</f>
        <v/>
      </c>
      <c r="G4168" t="inlineStr">
        <is>
          <t>2020-08-06 16:53:39</t>
        </is>
      </c>
      <c r="H4168" t="inlineStr">
        <is>
          <t>Presumed Positive - From Doctor</t>
        </is>
      </c>
    </row>
    <row r="4169">
      <c r="A4169" t="inlineStr">
        <is>
          <t>i53lh8</t>
        </is>
      </c>
      <c r="B4169" t="inlineStr">
        <is>
          <t>Testing positive again and again with no symptoms</t>
        </is>
      </c>
      <c r="C4169" t="inlineStr">
        <is>
          <t>Hi guys! A little bit about my covid experience. Girlfriend and I both work in the restaurant business (servers) and after a few days of flu like symptoms we tested and got a positive result. We had been getting tested every week prior, and once we got a positive result we’ve been quarantined for about a month. Around two weeks in my symptoms vanished. I feel 100% yet I’m still testing positive while she’s testing negative. I’m curious about everyone’s experience and if the virus is just dormant. Is there another form of test that would be more accurate? We’ve been taking the mouth swab tests. I hope you’re all doing well. I can’t thank everyone enough for their stories and shared support on this forum.</t>
        </is>
      </c>
      <c r="D4169" t="n">
        <v>1</v>
      </c>
      <c r="E4169" t="n">
        <v>5</v>
      </c>
      <c r="F4169">
        <f>HYPERLINK("https://www.reddit.com/r/COVID19positive/comments/i53lh8/testing_positive_again_and_again_with_no_symptoms/")</f>
        <v/>
      </c>
      <c r="G4169" t="inlineStr">
        <is>
          <t>2020-08-06 17:17:25</t>
        </is>
      </c>
      <c r="H4169" t="inlineStr">
        <is>
          <t>Tested Positive - Me</t>
        </is>
      </c>
    </row>
    <row r="4170">
      <c r="A4170" t="inlineStr">
        <is>
          <t>i53onu</t>
        </is>
      </c>
      <c r="B4170" t="inlineStr">
        <is>
          <t>False-negative? Any advice is appreciated.</t>
        </is>
      </c>
      <c r="C4170" t="inlineStr">
        <is>
          <t>I've been having COVID like symptoms since Saturday. I just tested at a minute clinic Monday and got the results back Thursday and negative. I really feel like this is COVID 19. I really don't know besides getting tested again. 
July 31: I start having asthma symptoms during the night. My backaches. Nothing too bad.
August 1: I wake up feeling awful. I slept 12 hours and still feel the most fatigued in my left. My back and neck ache. I feel like I have a combination of mono and hangover. Brain fog and general weakness No fever or cough. No SOB.
August 2: No improvement. Same symptoms. 
August 3: I call out from work for the week and schedule a test. The fatigue is better but my kidneys hurt. I feel like I have the flu but without the sinus issues. Low-grade fever.
August 4: I feel slightly better. Still feel like I am hungover without drinking. I get tested.
August 5: I feel generally better but still out of it until nighttime I have the worse asthma attack I have had. I finally am able to get to sleep.
August 6: I am wake up feeling just as shitty as I did Saturday. Like I haven't been improving whatsoever. My breathing is fine but I'm so tired and malaised. I get my test results back as negative.
I'm really at a loss. My employer wants me to go back to work due to the negative test. I can only get a virtual appointment from my doctor because I have COVID symptoms so I really don't know what good that will do. I spoke to him on the phone and he is assuming I have it.
Any advice is appreciated.</t>
        </is>
      </c>
      <c r="D4170" t="n">
        <v>1</v>
      </c>
      <c r="E4170" t="n">
        <v>4</v>
      </c>
      <c r="F4170">
        <f>HYPERLINK("https://www.reddit.com/r/COVID19positive/comments/i53onu/falsenegative_any_advice_is_appreciated/")</f>
        <v/>
      </c>
      <c r="G4170" t="inlineStr">
        <is>
          <t>2020-08-06 17:22:59</t>
        </is>
      </c>
      <c r="H4170" t="inlineStr">
        <is>
          <t>Presumed Positive - From Doctor</t>
        </is>
      </c>
    </row>
    <row r="4171">
      <c r="A4171" t="inlineStr">
        <is>
          <t>i547lz</t>
        </is>
      </c>
      <c r="B4171" t="inlineStr">
        <is>
          <t>Came into contact with Family who had the virus..</t>
        </is>
      </c>
      <c r="C4171" t="inlineStr">
        <is>
          <t>I’m currently experiencing phlegm (clear) and slight sore throat. I came into contact with these family members 3 days ago. I’m super paranoid about whether I’m positive or not...</t>
        </is>
      </c>
      <c r="D4171" t="n">
        <v>1</v>
      </c>
      <c r="E4171" t="n">
        <v>4</v>
      </c>
      <c r="F4171">
        <f>HYPERLINK("https://www.reddit.com/r/COVID19positive/comments/i547lz/came_into_contact_with_family_who_had_the_virus/")</f>
        <v/>
      </c>
      <c r="G4171" t="inlineStr">
        <is>
          <t>2020-08-06 17:57:30</t>
        </is>
      </c>
      <c r="H4171" t="inlineStr">
        <is>
          <t>Tested Positive - Family</t>
        </is>
      </c>
    </row>
    <row r="4172">
      <c r="A4172" t="inlineStr">
        <is>
          <t>i54cy8</t>
        </is>
      </c>
      <c r="B4172" t="inlineStr">
        <is>
          <t>[Serious] Is suicide a reasonable and logical option while I still have my wits about me?</t>
        </is>
      </c>
      <c r="C4172" t="inlineStr">
        <is>
          <t>I see all these people around me suffering. Very few have died, and I almost envy those that did. At what point do you call it quits to save yourself from suffering unnecessarily?
Hospitals and doctors in America refuse to help in this manner and will force you to live against your will and the possible will(s) of people close to you. So, what do you think, fellow plague-havers? Be brutally honest.
Also if you feel compelled to discourage the idea just because you think that being alive just for the sake of being alive is good, please don't comment about it. Life robbed of its substance and "salt" (so to speak) is as good as a pile of sand in your mouth.</t>
        </is>
      </c>
      <c r="D4172" t="n">
        <v>1</v>
      </c>
      <c r="E4172" t="n">
        <v>16</v>
      </c>
      <c r="F4172">
        <f>HYPERLINK("https://www.reddit.com/r/COVID19positive/comments/i54cy8/serious_is_suicide_a_reasonable_and_logical/")</f>
        <v/>
      </c>
      <c r="G4172" t="inlineStr">
        <is>
          <t>2020-08-06 18:07:22</t>
        </is>
      </c>
      <c r="H4172" t="inlineStr">
        <is>
          <t>Presumed Positive - From Doctor</t>
        </is>
      </c>
    </row>
    <row r="4173">
      <c r="A4173" t="inlineStr">
        <is>
          <t>i54vz4</t>
        </is>
      </c>
      <c r="B4173" t="inlineStr">
        <is>
          <t>Smelling smoke??</t>
        </is>
      </c>
      <c r="C4173" t="inlineStr">
        <is>
          <t>I had covid from June 10- June 13. Very mild case. Low fever. No other symptoms. No loss of smell or taste. 
The last 48 hours I am experiencing the faint smell of oven burning or smoke or gas or so something like that. It was not over powering but I can smell it. Smells almost like the heater first turns on in a house. Except I have smelled it at both my offices and my home. 
Kind of comes and goes but is more constant at home. Sometimes so strong when I walked in this evening it made me a little nauseous. My kids had McDonalds but my husband couldn’t smell anything different. So weird. 
Doubt its seizures or brain tumor since this is more of a constant smell, not sudden. 
Wondering if it could be covid related messing with the smell receptors, even though its been almost 2 months.</t>
        </is>
      </c>
      <c r="D4173" t="n">
        <v>1</v>
      </c>
      <c r="E4173" t="n">
        <v>14</v>
      </c>
      <c r="F4173">
        <f>HYPERLINK("https://www.reddit.com/r/COVID19positive/comments/i54vz4/smelling_smoke/")</f>
        <v/>
      </c>
      <c r="G4173" t="inlineStr">
        <is>
          <t>2020-08-06 18:42:13</t>
        </is>
      </c>
      <c r="H4173" t="inlineStr">
        <is>
          <t>Tested Positive - Me</t>
        </is>
      </c>
    </row>
    <row r="4174">
      <c r="A4174" t="inlineStr">
        <is>
          <t>i55pta</t>
        </is>
      </c>
      <c r="B4174" t="inlineStr">
        <is>
          <t>I was tested two weeks ago, test was negative (yay!) but today I get a horrible phone call...</t>
        </is>
      </c>
      <c r="C4174" t="inlineStr">
        <is>
          <t>My best friend I’ve spent the last few days with has now tested positive for covid. When we hangout we had both been tested already and were negative at the time and now since her boss said she was exposed as one of her coworkers had it.. she needed to get tested.
She’s positive with no symptoms. We are both 22 year old females. I have Hashimotos but other than that fairly healthy.. 
What’s my chances you think? We didn’t drink or eat behind another and when we hung out she drove separate but I’m just worried.
Getting re-tested ASAP. Will my insurance cover it twice... I have blue cross of N.C.</t>
        </is>
      </c>
      <c r="D4174" t="n">
        <v>1</v>
      </c>
      <c r="E4174" t="n">
        <v>34</v>
      </c>
      <c r="F4174">
        <f>HYPERLINK("https://www.reddit.com/r/COVID19positive/comments/i55pta/i_was_tested_two_weeks_ago_test_was_negative_yay/")</f>
        <v/>
      </c>
      <c r="G4174" t="inlineStr">
        <is>
          <t>2020-08-06 19:37:30</t>
        </is>
      </c>
      <c r="H4174" t="inlineStr">
        <is>
          <t>Tested Positive - Friends</t>
        </is>
      </c>
    </row>
    <row r="4175">
      <c r="A4175" t="inlineStr">
        <is>
          <t>i55yc0</t>
        </is>
      </c>
      <c r="B4175" t="inlineStr">
        <is>
          <t>Very Odd Symptom; Temperature Sensation. My Husband Has it Too</t>
        </is>
      </c>
      <c r="C4175" t="inlineStr">
        <is>
          <t>My husband and I tested positive at the beginning of May, so it’s been quite awhile. I still haven’t regained my sense of smell. He has.
Both of us have noticed another odd neurological symptom, though. I thought our refrigerator was going out because things feel warm. Chilled water? Warm. Food? Warm, so I bought a refrigerator thermometer, and it’s normal. 
I didn’t think much of it until my husband told me that he’d experienced the same exact thing at work. He thought his lunch/drink were room temperature although they had been refrigerated. Others confirmed that their food was cold. Since then, we’ve experimented a bit, and it goes both ways. Water from the tap can be steaming or cold and it always feels lukewarm. Coffee never really feels hot. 
I’m wondering if anyone else has noticed the same? It’s very hard to search because “Covid” and “temperature” bring up results for fever-related topics.</t>
        </is>
      </c>
      <c r="D4175" t="n">
        <v>1</v>
      </c>
      <c r="E4175" t="n">
        <v>11</v>
      </c>
      <c r="F4175">
        <f>HYPERLINK("https://www.reddit.com/r/COVID19positive/comments/i55yc0/very_odd_symptom_temperature_sensation_my_husband/")</f>
        <v/>
      </c>
      <c r="G4175" t="inlineStr">
        <is>
          <t>2020-08-06 19:53:42</t>
        </is>
      </c>
      <c r="H4175" t="inlineStr">
        <is>
          <t>Tested Positive - Me</t>
        </is>
      </c>
    </row>
    <row r="4176">
      <c r="A4176" t="inlineStr">
        <is>
          <t>i56nky</t>
        </is>
      </c>
      <c r="B4176" t="inlineStr">
        <is>
          <t>Taste and smell</t>
        </is>
      </c>
      <c r="C4176" t="inlineStr">
        <is>
          <t>So I definitely got COVID back in March. Lost my sense of smell and taste. Lasted over three weeks. It was really depressing not being able to taste anything. 
But even now I feel like it’s not back 100%. I thought I was the only one but it seems like others haven’t gotten it back all the way either. I’ve seen some say they get sort of a chemical smell/taste. Like sulfur. I been experiencing something like that too. I noticed that I don’t get the smell right away with certain things. Like detergent. 
I really hope this isn’t permanent but it’s been months. 
Fuck COVID 19</t>
        </is>
      </c>
      <c r="D4176" t="n">
        <v>1</v>
      </c>
      <c r="E4176" t="n">
        <v>3</v>
      </c>
      <c r="F4176">
        <f>HYPERLINK("https://www.reddit.com/r/COVID19positive/comments/i56nky/taste_and_smell/")</f>
        <v/>
      </c>
      <c r="G4176" t="inlineStr">
        <is>
          <t>2020-08-06 20:41:27</t>
        </is>
      </c>
      <c r="H4176" t="inlineStr">
        <is>
          <t>Tested Positive</t>
        </is>
      </c>
    </row>
    <row r="4177">
      <c r="A4177" t="inlineStr">
        <is>
          <t>i56qql</t>
        </is>
      </c>
      <c r="B4177" t="inlineStr">
        <is>
          <t>To those with ADHD, do you also feel its significantly more severe during/after COVID-19?</t>
        </is>
      </c>
      <c r="C4177" t="inlineStr">
        <is>
          <t>On god, I feel like I've lost IQ points with COVID-19. My husband and I both have ADHD, and we're basically sharing a single brain cell at this point. ( it's apparently my turn rn, he's on the couch staring into The Void. )
We both tested positive for COVID-19 back to back this week, and our ADHD feels like it's increased tenfold! We're still taking a ( lower ) dose of our Adderall, but ot feels like we aren't taking it at all. We lose our thoughts, forget words while talking, and forget important things we must do, just like we do off-meds.
And yes, I know stimulants are risky right now. Unfortunately, we have energetic 4 and 7 year olds and absolutely need to get up and take care of them. They'd be totally on their own if we didn't take it at all. We trade off on which of us gets to sleep it off, and which has to take their meds and be responsible that day. 😔</t>
        </is>
      </c>
      <c r="D4177" t="n">
        <v>1</v>
      </c>
      <c r="E4177" t="n">
        <v>11</v>
      </c>
      <c r="F4177">
        <f>HYPERLINK("https://www.reddit.com/r/COVID19positive/comments/i56qql/to_those_with_adhd_do_you_also_feel_its/")</f>
        <v/>
      </c>
      <c r="G4177" t="inlineStr">
        <is>
          <t>2020-08-06 20:47:29</t>
        </is>
      </c>
      <c r="H4177" t="inlineStr">
        <is>
          <t>Tested Positive - Me</t>
        </is>
      </c>
    </row>
    <row r="4178">
      <c r="A4178" t="inlineStr">
        <is>
          <t>i58b5f</t>
        </is>
      </c>
      <c r="B4178" t="inlineStr">
        <is>
          <t>Timeline of my symptoms</t>
        </is>
      </c>
      <c r="C4178" t="inlineStr">
        <is>
          <t>I'm a RN who caught COVID during a shift where I wasn't provided with proper PPE. During my time with COVID, I found the posts which outlined people's symptoms to be very helpful as they gave me an idea of what to expect. I'm sharing my experience to hopefully help others who are faced with the same anxiety after receiving a positive test. 
&amp;amp;#x200B;
Symptoms began 4 days after exposure.
Day 1: Very first symptoms was sore throat. Extreme body aches, chills, fever, headache, dizziness, cold feet followed.
Day 2: Same as day 1 + eye pain, nausea
Day 3: Same as day 2, but slightly improved
Day 4: Begin experiencing post nasal drip, two loose stools. Still experience head ache, body aches, chills, nausea. Sore throat completely resolves
Day 5: Lose sense of smell. Slight headache and post nasal drip. Other symptoms resolve. 
Day 6: No sense of smell, post nasal drip, and headache only. 
Day 7: No sense of smell only. 
&amp;amp;#x200B;
Throughout the entire ordeal I never experienced a cough. I would try to make myself cough a couple times a day to see if there was anything in my lungs which needed to come up, but nothing ever happened. Days 1-3 were absolutely terrible, days 4-7 felt like a bad cold.</t>
        </is>
      </c>
      <c r="D4178" t="n">
        <v>1</v>
      </c>
      <c r="E4178" t="n">
        <v>58</v>
      </c>
      <c r="F4178">
        <f>HYPERLINK("https://www.reddit.com/r/COVID19positive/comments/i58b5f/timeline_of_my_symptoms/")</f>
        <v/>
      </c>
      <c r="G4178" t="inlineStr">
        <is>
          <t>2020-08-06 22:45:43</t>
        </is>
      </c>
      <c r="H4178" t="inlineStr">
        <is>
          <t>Tested Positive - Me</t>
        </is>
      </c>
    </row>
    <row r="4179">
      <c r="A4179" t="inlineStr">
        <is>
          <t>i59k7c</t>
        </is>
      </c>
      <c r="B4179" t="inlineStr">
        <is>
          <t>Chances of testing positive?</t>
        </is>
      </c>
      <c r="C4179" t="inlineStr">
        <is>
          <t>Hello everyone! I have not tested positive but I am in a sticky situation and hoping anyone could help with their experiences. Basically, me, my girlfriend and both my parents went over to my brother’s place for dinner this past Sunday (8/2). A little backstory, we didn’t know that my brother’s girlfriend was feeling slightly sick (regular cold symptoms) before arriving. She claimed that she gets it every year, saying that it was only a stuffy nose and some sneezing. Well we there already so we couldn’t do much about it. As the days went on she started getting some body aches and started having a slight fever yesterday (8/6). She decided to get a rapid test done since she’s a nurse and she ended up testing positive. 
As I’m typing this, it’s past midnight and now day 5 and not me, not my girlfriend, mother, father or even my brother (who lives with her) have not shown any symptoms yet nor do we feel off in anyway. I’m really not sure how that works, unless we magically just dodged every single droplet while we were in contact with her. But what boggles me is that my brother isn’t feeling anything. I’m pretty lost with this and pretty scared, not for myself but for my parents. Both are in their early 60’s but have no underlying conditions. So I ask anyone who may be able to give some insight, what are the chances that one of us caught the virus? Could she may have caught virus after that day we went over and that could be why none of us are experiencing symptoms? I am getting tested this Saturday morning so I will keep the post updated. 
Thank you in advance and I wish the very best to anyone who has been affected by this virus.</t>
        </is>
      </c>
      <c r="D4179" t="n">
        <v>1</v>
      </c>
      <c r="E4179" t="n">
        <v>8</v>
      </c>
      <c r="F4179">
        <f>HYPERLINK("https://www.reddit.com/r/COVID19positive/comments/i59k7c/chances_of_testing_positive/")</f>
        <v/>
      </c>
      <c r="G4179" t="inlineStr">
        <is>
          <t>2020-08-07 00:36:10</t>
        </is>
      </c>
      <c r="H4179" t="inlineStr">
        <is>
          <t>Tested Positive - Friends</t>
        </is>
      </c>
    </row>
    <row r="4180">
      <c r="A4180" t="inlineStr">
        <is>
          <t>i59r6z</t>
        </is>
      </c>
      <c r="B4180" t="inlineStr">
        <is>
          <t>Can’t Smell or Taste I need some advice please!!!</t>
        </is>
      </c>
      <c r="C4180" t="inlineStr">
        <is>
          <t>I lost mine on the 7th of July and still haven’t gotten it back yet, I just want to be normal again. I caught COVID on the 3rd of July and have been lost ever since. I can taste sweetness and salt but only to a certain extent, I can tell my family’s getting tired of me not being able to smell. Any advice on how to deal with it or any foods I should eat? What have any of you done to cope with it I’ve been seeing how some people don’t get it back and I’m scared. (I’m a 16yr female btw) Any advice would help!!</t>
        </is>
      </c>
      <c r="D4180" t="n">
        <v>1</v>
      </c>
      <c r="E4180" t="n">
        <v>10</v>
      </c>
      <c r="F4180">
        <f>HYPERLINK("https://www.reddit.com/r/COVID19positive/comments/i59r6z/cant_smell_or_taste_i_need_some_advice_please/")</f>
        <v/>
      </c>
      <c r="G4180" t="inlineStr">
        <is>
          <t>2020-08-07 00:54:02</t>
        </is>
      </c>
      <c r="H4180" t="inlineStr">
        <is>
          <t>Tested Positive - Me</t>
        </is>
      </c>
    </row>
    <row r="4181">
      <c r="A4181" t="inlineStr">
        <is>
          <t>i5bomy</t>
        </is>
      </c>
      <c r="B4181" t="inlineStr">
        <is>
          <t>Returning back to work</t>
        </is>
      </c>
      <c r="C4181" t="inlineStr">
        <is>
          <t>I tested positive about 2 weeks ago. Although most of my symptoms have gone now, I'm left with a constant pain in my chest and shortness of breath whenever I try to do basic tasks.
My issue is my manager has now been pressuring me to return to work. I work in retail and I've just been sent the rota for next week which I've been placed on there for 22 hours. I can't even make my bed without having to sit down for a few minutes.
I don't want to go back. At least not yet. I don't feel comfortable with my physical ability to be able to stand there for 22 hours. I also don't really want to expose myself to that kind of risk so soon
I'm a loss of what to do. We're understaffed at the moment because for whatever selfish reason 5 members of staff are still on furlough because my company wants to save money, which is the reason I've probably been exposed to the virus as it is because I was working about 20 hours over my contracted hours for about a month now. My managers have been quite hostile about the fact I've even needed 2 weeks off to begin with
I just don't know what to do. I have social anxiety so I don't want any conflict, but I also don't know if just quitting is in my best interest</t>
        </is>
      </c>
      <c r="D4181" t="n">
        <v>1</v>
      </c>
      <c r="E4181" t="n">
        <v>8</v>
      </c>
      <c r="F4181">
        <f>HYPERLINK("https://www.reddit.com/r/COVID19positive/comments/i5bomy/returning_back_to_work/")</f>
        <v/>
      </c>
      <c r="G4181" t="inlineStr">
        <is>
          <t>2020-08-07 03:52:40</t>
        </is>
      </c>
      <c r="H4181" t="inlineStr">
        <is>
          <t>Tested Positive - Me</t>
        </is>
      </c>
    </row>
    <row r="4182">
      <c r="A4182" t="inlineStr">
        <is>
          <t>i5dtbw</t>
        </is>
      </c>
      <c r="B4182" t="inlineStr">
        <is>
          <t>Developing spots on my hands and some on my legs almost resembling chicken pox without the blisters. I was cleared July 21st to come back to work and return to population. Should I be worried ?</t>
        </is>
      </c>
      <c r="C4182" t="inlineStr">
        <is>
          <t>I was reading that people have developed “COVID rashes” before, and these spots are newly developing. Even tho I am considered recovered, I didn’t know if this is something I should be concerned about or happened to anyone else? My symptoms developed on July 7th and I was cleared to go back to work July 21st. The little spots are on both hands (there’s only about 5 in total) and there were a few on one of my legs. They don’t itch and they’re not even raised like bumps. They’re just there.</t>
        </is>
      </c>
      <c r="D4182" t="n">
        <v>1</v>
      </c>
      <c r="E4182" t="n">
        <v>4</v>
      </c>
      <c r="F4182">
        <f>HYPERLINK("https://www.reddit.com/r/COVID19positive/comments/i5dtbw/developing_spots_on_my_hands_and_some_on_my_legs/")</f>
        <v/>
      </c>
      <c r="G4182" t="inlineStr">
        <is>
          <t>2020-08-07 06:29:38</t>
        </is>
      </c>
      <c r="H4182" t="inlineStr">
        <is>
          <t>Tested Positive - Me</t>
        </is>
      </c>
    </row>
    <row r="4183">
      <c r="A4183" t="inlineStr">
        <is>
          <t>i5e5m1</t>
        </is>
      </c>
      <c r="B4183" t="inlineStr">
        <is>
          <t>Testing question for you experts</t>
        </is>
      </c>
      <c r="C4183" t="inlineStr">
        <is>
          <t>My son moved 2 weeks ago. 1 week ago he had a friend over. His friend tested positive on Monday. My son is being tested today. If he’s positive, do I test? Could he be the carrier? Just curious on your opinion. If he is positive, I may just test anyway. Sorry if this doesn’t belong here. Hugs</t>
        </is>
      </c>
      <c r="D4183" t="n">
        <v>1</v>
      </c>
      <c r="E4183" t="n">
        <v>3</v>
      </c>
      <c r="F4183">
        <f>HYPERLINK("https://www.reddit.com/r/COVID19positive/comments/i5e5m1/testing_question_for_you_experts/")</f>
        <v/>
      </c>
      <c r="G4183" t="inlineStr">
        <is>
          <t>2020-08-07 06:50:45</t>
        </is>
      </c>
      <c r="H4183" t="inlineStr">
        <is>
          <t>Tested Positive - Friends</t>
        </is>
      </c>
    </row>
    <row r="4184">
      <c r="A4184" t="inlineStr">
        <is>
          <t>i5egl0</t>
        </is>
      </c>
      <c r="B4184" t="inlineStr">
        <is>
          <t>Question About Donating Convalescent Plasma</t>
        </is>
      </c>
      <c r="C4184" t="inlineStr">
        <is>
          <t>Hey there. I recovered from covid 2 months ago and donated my plasma a few weeks ago. The blood center confirmed I did indeed have the antibodies and that I can come back once a week to donate more plasma if I’d like to. So here’s my explain like I’m five question... if I continue to donate weekly, will the immunity I have built up from the virus be diminished after multiple donations? I feel like it’s kind of a silly question to ask but do I continue to make those antibodies against the virus even after recovery? I obviously want to help others but I also want to keep these antibodies in me for as long as possible too! Ha. Thanks guys.</t>
        </is>
      </c>
      <c r="D4184" t="n">
        <v>1</v>
      </c>
      <c r="E4184" t="n">
        <v>7</v>
      </c>
      <c r="F4184">
        <f>HYPERLINK("https://www.reddit.com/r/COVID19positive/comments/i5egl0/question_about_donating_convalescent_plasma/")</f>
        <v/>
      </c>
      <c r="G4184" t="inlineStr">
        <is>
          <t>2020-08-07 07:08:36</t>
        </is>
      </c>
      <c r="H4184" t="inlineStr">
        <is>
          <t>Tested Positive - Me</t>
        </is>
      </c>
    </row>
    <row r="4185">
      <c r="A4185" t="inlineStr">
        <is>
          <t>i5ejkm</t>
        </is>
      </c>
      <c r="B4185" t="inlineStr">
        <is>
          <t>Entire Family Tested Positive</t>
        </is>
      </c>
      <c r="C4185" t="inlineStr">
        <is>
          <t>I was hesitant to post here because it seems like everyone’s cases are really bad it’s terrifying to read. I (19f, asthma, obese), began showing symptoms 16 days ago and was told I had a URI. I had to beg for a COVID test and they held onto my results for almost a week, despite having them the morning after. My mother (51f, overweight, hbp) then began to show symptoms and the same with my father (53m, asthma, diabetes, hbp, obese, prone to migraines). Eventually I begged for my results and found out I was positive and my entire family was admitted to the hospital and both my parents have pneumonia. I have since recovered despite some slight tachycardia and fatigue. 
My mother is now in the hospital on oxygen, idk what percent, and they are giving her remdesivir, vitamin c, zinc, dexamethasone and have her sleeping on her stomach. My father was discharged yesterday and given azithromycin again. We were all given prednisone, z pack, and an inhaler once we all initially found out. 
My father is very weak and his body aches are taking their toll on him. He has had it for 11 days. My mother has had it for 13 days. She has only been hospitalized for 3 days but she tells me that her breathing is not getting better but the other symptoms are. I’m just here looking for people in a similar boat who can calm me down.
I have bad anxiety and can only think of worst case scenarios and it tearing me apart. I can’t live without my parents. I’m only 19 and I don’t know what I would do. The fear of losing them along with the guilt of giving it to them is tearing me apart. What can I ask the hospital to do for her? What can I do to help my dad? What options are there for them? What are their chances?</t>
        </is>
      </c>
      <c r="D4185" t="n">
        <v>1</v>
      </c>
      <c r="E4185" t="n">
        <v>60</v>
      </c>
      <c r="F4185">
        <f>HYPERLINK("https://www.reddit.com/r/COVID19positive/comments/i5ejkm/entire_family_tested_positive/")</f>
        <v/>
      </c>
      <c r="G4185" t="inlineStr">
        <is>
          <t>2020-08-07 07:13:32</t>
        </is>
      </c>
      <c r="H4185" t="inlineStr">
        <is>
          <t>Tested Positive - Family</t>
        </is>
      </c>
    </row>
    <row r="4186">
      <c r="A4186" t="inlineStr">
        <is>
          <t>i5fif9</t>
        </is>
      </c>
      <c r="B4186" t="inlineStr">
        <is>
          <t>Recently Recovered</t>
        </is>
      </c>
      <c r="C4186" t="inlineStr">
        <is>
          <t>Hi everyone, I just want to share some of my symptoms and the things that helped me stay comfortable while I was sick. 
I am in my late 20s, BMI is 32, not sure if blood type matters but I’ve seen people mention it so I’m O+.
My first 2 days of symptoms, I had a scratchy throat that was barely noticeable. Over the next few days I began to feel muscle spasms on my arms, legs and abdominal area, by day 5 of symptoms the spasms were happening frequently and I was starting to feel muscle aches as well. At this point my throat was in a lot of pain, I was tested for strep but came back negative. When I took a deep breath- almost felt like when you go for a jog on a winter day. 
By day 10 of symptoms, I had a fever and I couldn’t take complete deep breaths. I kept my Apple Watch to monitor my resting heart rate and it was in the mid 90s (my normal is mid 60s). The back of my tongue also felt swollen at this point, which also made inhaling a little challenging. Laying face down really helped and I could take slightly deeper breaths. 
On day 12 I started to feel crackles in my chest which made me really nervous. My sibling is a first responder and suggested I buy a little o2 monitor for two reasons: 1) remind myself that I was okay when I started to get very anxious 2) know when to call for help if things got worse. 
I got one on amazon for about $28 and honestly I think it was very helpful. 
Chest crackles and everything else slowly went away. Today is day 18 since symptoms began and I can take complete deep breaths by now. I still have a dry cough in the evenings. My resting heart rate is back to normal. My lungs don’t feel like they’re at 100% yet but I’ve been able to get two low intensity workouts in the last few days. 
Hang in there, everybody! We will get through this.</t>
        </is>
      </c>
      <c r="D4186" t="n">
        <v>1</v>
      </c>
      <c r="E4186" t="n">
        <v>5</v>
      </c>
      <c r="F4186">
        <f>HYPERLINK("https://www.reddit.com/r/COVID19positive/comments/i5fif9/recently_recovered/")</f>
        <v/>
      </c>
      <c r="G4186" t="inlineStr">
        <is>
          <t>2020-08-07 08:08:53</t>
        </is>
      </c>
      <c r="H4186" t="inlineStr">
        <is>
          <t>Tested Positive - Me</t>
        </is>
      </c>
    </row>
    <row r="4187">
      <c r="A4187" t="inlineStr">
        <is>
          <t>i5fjdx</t>
        </is>
      </c>
      <c r="B4187" t="inlineStr">
        <is>
          <t>My dad was intubated. He's not responding and they think he's gonna die</t>
        </is>
      </c>
      <c r="C4187" t="inlineStr">
        <is>
          <t>Please, pray for him. He's still got a lot to live. God, don't take him away from me. I need him.</t>
        </is>
      </c>
      <c r="D4187" t="n">
        <v>1</v>
      </c>
      <c r="E4187" t="n">
        <v>250</v>
      </c>
      <c r="F4187">
        <f>HYPERLINK("https://www.reddit.com/r/COVID19positive/comments/i5fjdx/my_dad_was_intubated_hes_not_responding_and_they/")</f>
        <v/>
      </c>
      <c r="G4187" t="inlineStr">
        <is>
          <t>2020-08-07 08:10:17</t>
        </is>
      </c>
      <c r="H4187" t="inlineStr">
        <is>
          <t>Tested Positive - Family</t>
        </is>
      </c>
    </row>
    <row r="4188">
      <c r="A4188" t="inlineStr">
        <is>
          <t>i5fpq6</t>
        </is>
      </c>
      <c r="B4188" t="inlineStr">
        <is>
          <t>Lost smell/taste 9 weeks, back, slowly recovering, but now things taste like pepper</t>
        </is>
      </c>
      <c r="C4188" t="inlineStr">
        <is>
          <t>Anyone else experience this specific thing with stuff tasting and smelling peppery and chemically?  
I have slowly gained back about 50-60% of my taste and smell over last 3 weeks after I fully lost it all 9 weeks ago.</t>
        </is>
      </c>
      <c r="D4188" t="n">
        <v>1</v>
      </c>
      <c r="E4188" t="n">
        <v>8</v>
      </c>
      <c r="F4188">
        <f>HYPERLINK("https://www.reddit.com/r/COVID19positive/comments/i5fpq6/lost_smelltaste_9_weeks_back_slowly_recovering/")</f>
        <v/>
      </c>
      <c r="G4188" t="inlineStr">
        <is>
          <t>2020-08-07 08:20:18</t>
        </is>
      </c>
      <c r="H4188" t="inlineStr">
        <is>
          <t>Tested Positive - Me</t>
        </is>
      </c>
    </row>
    <row r="4189">
      <c r="A4189" t="inlineStr">
        <is>
          <t>i5gbpe</t>
        </is>
      </c>
      <c r="B4189" t="inlineStr">
        <is>
          <t>Tested positive today Aug 7, think I'm on day 3</t>
        </is>
      </c>
      <c r="C4189" t="inlineStr">
        <is>
          <t>So I didn't want to have a need to post here but here I am. Started feeling kind of flushed, almost like I was sunburned on Wednesday. That night I woke up with a mild temp and feeling like I was freezing. Haven't had any more fever since.
Today just feel like I've got allergies, mild sinus drainage and a mild 
I work with people getting treatment for cancer. Even though I wore a mask and had daily temperature checks I feel horrible that I may have exposed them and my co-workers before I knew I had it
There are so many things I'm scared of, like dying. This sucks</t>
        </is>
      </c>
      <c r="D4189" t="n">
        <v>1</v>
      </c>
      <c r="E4189" t="n">
        <v>4</v>
      </c>
      <c r="F4189">
        <f>HYPERLINK("https://www.reddit.com/r/COVID19positive/comments/i5gbpe/tested_positive_today_aug_7_think_im_on_day_3/")</f>
        <v/>
      </c>
      <c r="G4189" t="inlineStr">
        <is>
          <t>2020-08-07 08:54:36</t>
        </is>
      </c>
      <c r="H4189" t="inlineStr">
        <is>
          <t>Tested Positive - Me</t>
        </is>
      </c>
    </row>
    <row r="4190">
      <c r="A4190" t="inlineStr">
        <is>
          <t>i5gmo5</t>
        </is>
      </c>
      <c r="B4190" t="inlineStr">
        <is>
          <t>Anyone having lip sores? I’m seeing “general” info about it but not enough to be safe</t>
        </is>
      </c>
      <c r="C4190" t="inlineStr">
        <is>
          <t>Anyone getting these? One I have hasn’t left ever since it started 5 weeks ago. It’s changing my lip color, and you can’t see it on pictures of myself. Will it ever heal?? It’s still persisting and doesn’t seem to be showing signs of improvement.
Will this just a scar or permanent? We are getting confirmations of such strange symptoms but not in detail about: how, what, or when they will subside. 
This is getting disheartening</t>
        </is>
      </c>
      <c r="D4190" t="n">
        <v>1</v>
      </c>
      <c r="E4190" t="n">
        <v>7</v>
      </c>
      <c r="F4190">
        <f>HYPERLINK("https://www.reddit.com/r/COVID19positive/comments/i5gmo5/anyone_having_lip_sores_im_seeing_general_info/")</f>
        <v/>
      </c>
      <c r="G4190" t="inlineStr">
        <is>
          <t>2020-08-07 09:10:54</t>
        </is>
      </c>
      <c r="H4190" t="inlineStr">
        <is>
          <t>Tested Positive</t>
        </is>
      </c>
    </row>
    <row r="4191">
      <c r="A4191" t="inlineStr">
        <is>
          <t>i5gtqn</t>
        </is>
      </c>
      <c r="B4191" t="inlineStr">
        <is>
          <t>Shares room with my sister. I first started showing symptoms then she followed. But test results came back - she's positive while I'm not. Now we're not sure if I'm a recovered patient or not.</t>
        </is>
      </c>
      <c r="C4191" t="inlineStr">
        <is>
          <t>I share a room with my sister and I started showing symptoms. 5 days later, she experienced the same symptoms. We both got tested for Covid19. Test results came back - she's positive while I'm not. Now we don't know if I'm a recovered patient or really negative from the start.
Here's the timeline of our symptoms:
Day 1: I started feeling extreme fatigue. Can't get work done and felt really tired. That night I started having fever and chills.
Day 2: My fever reached 39C but my body temp became normal by the end of the day. 
Day 3-4: Still felt a bit weak but overall I'm feeling better. We though it was just ordinary fever.
Day 5: I started losing sense of smell.
Day 6: I have slight diarrhea. My sister felt body pains and fatigue. She also have slight fever, around 37.5C. We decided to quarantine together (we don't have enough space at home to quarantine separately) 
Day 7: We both took IgG/IgM rapid tests. Both came back negative. My sister also started having diarrhea. 
Day 8-9: I'm still feeling fatigued from time to time and totally lost my sense of smell but otherwise felt better. My sister started losing her sense of smell. No more diarrhea for both of us. We continued our quarantine. 
Day 10-11: We're both feeling stronger but we both started having dry coughs (me first then her a day later). My sister totally her sense of smell and taste. 
Day 12: Dry cough was manageable for both of us. My sister felt slight chest pains. 
Day 13: I started recovering my sense of smell though still weak. Still no taste and smell for my sister. We're both feeling a lot better. 
Day 14: We both took nasopharyngeal and oropharyngeal swab tests. 
Day 16: Results came back. My sister is positive while I tested negative. She's showing no symptoms aside from itchy throat while I still have slight dry cough. Online consultation with the doctor said that I might have low levels of virus in me that's why it did not show as positive on the swab test results (if I was really positive) but he said we can't really confirm if I'm recovered or if I was really negative from the start. 
So now we're not sure if I'm recovered and safe or if I was negative and exposed to her (who was positive). Any thoughts? 
((Also brief background, I'm working from home and I don't go out (but regularly receives deliveries from work and for food orders) while my sister goes to her office. There are no positive cases yet on my sister's office.))</t>
        </is>
      </c>
      <c r="D4191" t="n">
        <v>1</v>
      </c>
      <c r="E4191" t="n">
        <v>7</v>
      </c>
      <c r="F4191">
        <f>HYPERLINK("https://www.reddit.com/r/COVID19positive/comments/i5gtqn/shares_room_with_my_sister_i_first_started/")</f>
        <v/>
      </c>
      <c r="G4191" t="inlineStr">
        <is>
          <t>2020-08-07 09:22:08</t>
        </is>
      </c>
      <c r="H4191" t="inlineStr">
        <is>
          <t>Tested Positive - Family</t>
        </is>
      </c>
    </row>
    <row r="4192">
      <c r="A4192" t="inlineStr">
        <is>
          <t>i5h3fi</t>
        </is>
      </c>
      <c r="B4192" t="inlineStr">
        <is>
          <t>Part of Family positive from camping trip</t>
        </is>
      </c>
      <c r="C4192" t="inlineStr">
        <is>
          <t>My family (SoCal) broke lock down for a 4th of July camping trip to Mammoth. No one was sick there aside from "allergies," but two families came back with the virus on the 7th. Symptoms were mild (mostly sinus symptoms) so we didn't bother to get tested or even mention to other families. Fast forward 10 days, brother-in-law (30m) tests for work on 17th. He informs me of taking test and I say "man if that comes back positive, we might've caught something in Mammoth. Kids and I had sinus like issues for a few days once we got back."  It's then he tells me he had bad allergies and had to take claritin for a few days, but didn't miss work or gym (Nevada). He doesn't get results back until the 26th, positive (from 17th test). This aligns with our trip, so my wife and I decide to get tested (won't test kids under 10), both negative. This would make sense if we were infected in Mammoth. We should be negative from virus, but should have antibodies. So, I get the antibody test since I was only one w/ symptoms, positive. 
So for my brother 30/m symptoms were congestion, stuffy. For me 38m - first day minor chest compression, next day scratchy throat, burning nose, day 4-8 sinus pressure, extreme headaches, lower back pain, confusion, very tired (could work my remote shift, but then passed out and only woke up to eat/drink water), hot sweats. Kids (5/9)- tired, on/off hot sweats, daughter had headaches, diarrhea. Kids went down later than me and recovered sooner (3 day total). Wife, nothing (pending antibody results). My sister and nephew, nothing.
Reading the results above you'd think "Those weren't just sinus infection symptoms you had," thing is I thought it was from being worn down from trip mixed w/ sinus infection. Only thing that seemed odd was sinus infection isn't contagious. I figured maybe kids and I ate something. I just never consider covid from what we watched on TV, and zero fever from anyone, and the MRS showing nothing.
All that said, this virus can travel silently among the healthy. This is why EVERYONE has to do their part to protect those who aren't healthy enough to fight this. If my brother in law never got tested, I would've never assumed that my family had COVID. Now, I can educate my family and friends, and donated plamsa to assist. Be safe out there.</t>
        </is>
      </c>
      <c r="D4192" t="n">
        <v>1</v>
      </c>
      <c r="E4192" t="n">
        <v>5</v>
      </c>
      <c r="F4192">
        <f>HYPERLINK("https://www.reddit.com/r/COVID19positive/comments/i5h3fi/part_of_family_positive_from_camping_trip/")</f>
        <v/>
      </c>
      <c r="G4192" t="inlineStr">
        <is>
          <t>2020-08-07 09:36:35</t>
        </is>
      </c>
      <c r="H4192" t="inlineStr">
        <is>
          <t>Tested Positive - Family</t>
        </is>
      </c>
    </row>
    <row r="4193">
      <c r="A4193" t="inlineStr">
        <is>
          <t>i5ha6o</t>
        </is>
      </c>
      <c r="B4193" t="inlineStr">
        <is>
          <t>When will the dizziness go away?</t>
        </is>
      </c>
      <c r="C4193" t="inlineStr">
        <is>
          <t>The worst of the symptoms are gone but I’ve been dizzy for over a month now, it’s subtle and I have no trouble with my coordination so I’m just wondering if anybody else has experienced the same?</t>
        </is>
      </c>
      <c r="D4193" t="n">
        <v>1</v>
      </c>
      <c r="E4193" t="n">
        <v>10</v>
      </c>
      <c r="F4193">
        <f>HYPERLINK("https://www.reddit.com/r/COVID19positive/comments/i5ha6o/when_will_the_dizziness_go_away/")</f>
        <v/>
      </c>
      <c r="G4193" t="inlineStr">
        <is>
          <t>2020-08-07 09:46:45</t>
        </is>
      </c>
      <c r="H4193" t="inlineStr">
        <is>
          <t>Tested Positive - Me</t>
        </is>
      </c>
    </row>
    <row r="4194">
      <c r="A4194" t="inlineStr">
        <is>
          <t>i5hc6i</t>
        </is>
      </c>
      <c r="B4194" t="inlineStr">
        <is>
          <t>Question about Antibody test effectiveness - Did I wait too long, and is there even any point.</t>
        </is>
      </c>
      <c r="C4194" t="inlineStr">
        <is>
          <t>I'll try to keep this short and concise: 
I was incredibly sick in early march. Every symptom of COVID, this was shortly after I had attended a massive work event, with over 10,000 people attending. 
However, I was unable to get a test, since at the time my state had no confirmed cases, and wasn't testing anybody. 
My state has *finally* rolled out Antibody testing on a fairly large scale, and I could likely get a test if I wanted to.  But I am having trouble finding any conclusive evidence on three things: 
1. How long is it assumed antibodies last in your system at a detectible level? Some sources say 3 months, some say 6+, some say less than 3. 
2. How effective is the test? I've heard there can be a lot of false results due to inconsistencies with the testing method, and also that it seems to vary from test to test. 
3. Does it even matter? There doesn't seem to be much conclusive evidence showing that previously having COVID-19 (and developing antibodies as a result) makes you any less likely to get sick a second time, or have less severe symptoms if you do get sick again. 
Thanks in advance. This subreddit is fantastic, and has given me many insights.</t>
        </is>
      </c>
      <c r="D4194" t="n">
        <v>1</v>
      </c>
      <c r="E4194" t="n">
        <v>5</v>
      </c>
      <c r="F4194">
        <f>HYPERLINK("https://www.reddit.com/r/COVID19positive/comments/i5hc6i/question_about_antibody_test_effectiveness_did_i/")</f>
        <v/>
      </c>
      <c r="G4194" t="inlineStr">
        <is>
          <t>2020-08-07 09:50:02</t>
        </is>
      </c>
      <c r="H4194" t="inlineStr">
        <is>
          <t>Presumed Positive - From Doctor</t>
        </is>
      </c>
    </row>
    <row r="4195">
      <c r="A4195" t="inlineStr">
        <is>
          <t>i5ibw7</t>
        </is>
      </c>
      <c r="B4195" t="inlineStr">
        <is>
          <t>COVID POSITIVE- Pretty mild symptoms but now potential relapse-- am I still contagious?</t>
        </is>
      </c>
      <c r="C4195" t="inlineStr">
        <is>
          <t>Hi all! Female. 25. Healthy and fit/in shape. i tested COVID positive on the 25th of july, with my symptoms starting on july 21st with a mild itchy throat. through out the week i had sinus pressure and slight headaches and a very low grade fever and loss of taste. ALl my symptoms alleviated 5 days ago and THEN I got an itchy throat yesterday. I got a test yesterday and am supposed to hear back in 2 days. I am scared bc my covid has gotten more and more milder and almost gone to have a NOW ithy throat -- it freaks me out strictly in regards to my work being in the field and my best friend is supposed to be visiting me on the 13th and what if i am still contagious? If i feel an itchy throat does this mean i have to hit the reset button and quarantine again?</t>
        </is>
      </c>
      <c r="D4195" t="n">
        <v>1</v>
      </c>
      <c r="E4195" t="n">
        <v>3</v>
      </c>
      <c r="F4195">
        <f>HYPERLINK("https://www.reddit.com/r/COVID19positive/comments/i5ibw7/covid_positive_pretty_mild_symptoms_but_now/")</f>
        <v/>
      </c>
      <c r="G4195" t="inlineStr">
        <is>
          <t>2020-08-07 10:43:15</t>
        </is>
      </c>
      <c r="H4195" t="inlineStr">
        <is>
          <t>Tested Positive - Me</t>
        </is>
      </c>
    </row>
    <row r="4196">
      <c r="A4196" t="inlineStr">
        <is>
          <t>i5ifw2</t>
        </is>
      </c>
      <c r="B4196" t="inlineStr">
        <is>
          <t>Recovered, tingling nose and lips</t>
        </is>
      </c>
      <c r="C4196" t="inlineStr">
        <is>
          <t>Hello!
I’m about 4 weeks past being positive and pretty sick with COVID. Took about 2.5 weeks until I started to feel human again. I am noticing the last few days that my nose and my upper lip are tingly and feel numb. Anyone dealing with that?</t>
        </is>
      </c>
      <c r="D4196" t="n">
        <v>1</v>
      </c>
      <c r="E4196" t="n">
        <v>6</v>
      </c>
      <c r="F4196">
        <f>HYPERLINK("https://www.reddit.com/r/COVID19positive/comments/i5ifw2/recovered_tingling_nose_and_lips/")</f>
        <v/>
      </c>
      <c r="G4196" t="inlineStr">
        <is>
          <t>2020-08-07 10:49:21</t>
        </is>
      </c>
      <c r="H4196" t="inlineStr">
        <is>
          <t>Tested Positive - Me</t>
        </is>
      </c>
    </row>
    <row r="4197">
      <c r="A4197" t="inlineStr">
        <is>
          <t>i5ij3o</t>
        </is>
      </c>
      <c r="B4197" t="inlineStr">
        <is>
          <t>How do I take care of my parents and not contract the virus?</t>
        </is>
      </c>
      <c r="C4197" t="inlineStr">
        <is>
          <t>My parents are in their 80's and tested positive. They are not doing well and I am in a different state. No children, nor spouse. I'm going home to care for them. How do I do that and not get sick myself? I've decided that I need to get a hotel room so I can sleep in some peace but how do I do this? Has anyone been able to do this? Please help.</t>
        </is>
      </c>
      <c r="D4197" t="n">
        <v>1</v>
      </c>
      <c r="E4197" t="n">
        <v>13</v>
      </c>
      <c r="F4197">
        <f>HYPERLINK("https://www.reddit.com/r/COVID19positive/comments/i5ij3o/how_do_i_take_care_of_my_parents_and_not_contract/")</f>
        <v/>
      </c>
      <c r="G4197" t="inlineStr">
        <is>
          <t>2020-08-07 10:54:21</t>
        </is>
      </c>
      <c r="H4197" t="inlineStr">
        <is>
          <t>Tested Positive - Family</t>
        </is>
      </c>
    </row>
    <row r="4198">
      <c r="A4198" t="inlineStr">
        <is>
          <t>i5kmu4</t>
        </is>
      </c>
      <c r="B4198" t="inlineStr">
        <is>
          <t>Long term symptoms- pain in fingers and toes</t>
        </is>
      </c>
      <c r="C4198" t="inlineStr">
        <is>
          <t>I “recovered” from Covid more than two months ago. It took many weeks to be able to get back to work and I’ve only just started jogging a little. One of the symptoms I still feel is pain in fingers and toes, a bit like restless legs but in fingers and toe joints. The kind I think would be similar to arthritis. Is it potentially arthritis? Is anyone else experiencing this?</t>
        </is>
      </c>
      <c r="D4198" t="n">
        <v>1</v>
      </c>
      <c r="E4198" t="n">
        <v>7</v>
      </c>
      <c r="F4198">
        <f>HYPERLINK("https://www.reddit.com/r/COVID19positive/comments/i5kmu4/long_term_symptoms_pain_in_fingers_and_toes/")</f>
        <v/>
      </c>
      <c r="G4198" t="inlineStr">
        <is>
          <t>2020-08-07 12:45:12</t>
        </is>
      </c>
      <c r="H4198" t="inlineStr">
        <is>
          <t>Tested Positive - Me</t>
        </is>
      </c>
    </row>
    <row r="4199">
      <c r="A4199" t="inlineStr">
        <is>
          <t>i5ln2p</t>
        </is>
      </c>
      <c r="B4199" t="inlineStr">
        <is>
          <t>How long does this last?</t>
        </is>
      </c>
      <c r="C4199" t="inlineStr">
        <is>
          <t>I feel like I’m at the tail end of a cold but I am also SO weak and exhausted. My symptoms were relatively mild, I’m on day 7. Not sure when I should expect to feel better. I’m also on my period (sorry for the boys on here, but it doesn’t help me at all). I just feel defeated. I feel sad.</t>
        </is>
      </c>
      <c r="D4199" t="n">
        <v>1</v>
      </c>
      <c r="E4199" t="n">
        <v>7</v>
      </c>
      <c r="F4199">
        <f>HYPERLINK("https://www.reddit.com/r/COVID19positive/comments/i5ln2p/how_long_does_this_last/")</f>
        <v/>
      </c>
      <c r="G4199" t="inlineStr">
        <is>
          <t>2020-08-07 13:39:15</t>
        </is>
      </c>
      <c r="H4199" t="inlineStr">
        <is>
          <t>Tested Positive - Me</t>
        </is>
      </c>
    </row>
    <row r="4200">
      <c r="A4200" t="inlineStr">
        <is>
          <t>i5mx3q</t>
        </is>
      </c>
      <c r="B4200" t="inlineStr">
        <is>
          <t>Question for people having diarrhea as a symptom</t>
        </is>
      </c>
      <c r="C4200" t="inlineStr">
        <is>
          <t>Did vomiting occur with it? I'm having the tiniest of symptoms and nobody is convinced I have it, but I just had diarrhea. Haven't gotten tested yet but plan to. I have emetophobia so I'm very concerned about it :/</t>
        </is>
      </c>
      <c r="D4200" t="n">
        <v>1</v>
      </c>
      <c r="E4200" t="n">
        <v>13</v>
      </c>
      <c r="F4200">
        <f>HYPERLINK("https://www.reddit.com/r/COVID19positive/comments/i5mx3q/question_for_people_having_diarrhea_as_a_symptom/")</f>
        <v/>
      </c>
      <c r="G4200" t="inlineStr">
        <is>
          <t>2020-08-07 14:50:24</t>
        </is>
      </c>
      <c r="H4200" t="inlineStr">
        <is>
          <t>Tested Positive - Friends</t>
        </is>
      </c>
    </row>
    <row r="4201">
      <c r="A4201" t="inlineStr">
        <is>
          <t>i5n3u4</t>
        </is>
      </c>
      <c r="B4201" t="inlineStr">
        <is>
          <t>My dad is dying, Kindly help me</t>
        </is>
      </c>
      <c r="C4201" t="inlineStr">
        <is>
          <t>Dear all, My father(57) had been suffering with horrible cough and occasional fevers in the past week and then we have gone for the Covid test and by looking at his lung xray doctor did not let him allow for the Covid test, by then he started throwing up and had diarrhea, we were happy that he did not get infected but the following night his cough was horrible and he couldn't even rest for a minute, the next morning a CT scan was done and it ha showed 50% of his lungs got infected with GGO and has been detected as pneumonia, His blood reports showed a very bad sign as almost every count isn't in normal range and then he got shifted to the hospital but since the admission his spo2 levels dropped, it used to be 95% when he was in home with horrible cough and then they have shifted him to ICU after looking at his blood reports again and in the ICU he was given 100% of 15lpm oxygen supply and he seemed good and then after two days they have said that he is being recovered and said they will be reducing his oxygen level to 49% but on the next day they have said he is stable at only 80% and couldn't stay at 49% as his spo2 levels are dropping, in the meanwhile they have given him steroids, Indian generic version of remdesivir and yesterday they said condition would be very serious if we donot arrange plasma, we have arranged it within two hours and waiting to see if any miracle happens.
I couldn't see my father going through this pain, I have never expected this would happen to him, I would have been atleast relieved if he had passed in his sleep with a cardiac arrest, as he is in icu I can't see him but I know he is suffering, what should I do, why isn't his body responding to the drugs</t>
        </is>
      </c>
      <c r="D4201" t="n">
        <v>1</v>
      </c>
      <c r="E4201" t="n">
        <v>24</v>
      </c>
      <c r="F4201">
        <f>HYPERLINK("https://www.reddit.com/r/COVID19positive/comments/i5n3u4/my_dad_is_dying_kindly_help_me/")</f>
        <v/>
      </c>
      <c r="G4201" t="inlineStr">
        <is>
          <t>2020-08-07 15:00:47</t>
        </is>
      </c>
      <c r="H4201" t="inlineStr">
        <is>
          <t>Tested Positive - Family</t>
        </is>
      </c>
    </row>
    <row r="4202">
      <c r="A4202" t="inlineStr">
        <is>
          <t>i5nesj</t>
        </is>
      </c>
      <c r="B4202" t="inlineStr">
        <is>
          <t>Got a call from work, tested positive. And I don't give fuck.</t>
        </is>
      </c>
      <c r="C4202" t="inlineStr">
        <is>
          <t>I had the test administered a week ago, and just got a call today from work saying I tested positive and cannot go back to work for 10 days. Wore n95 masks and face shields, all the proper ppe. Have zero symptoms, no fever etc. Just annoyed. This job was my way out of homelessness. Tried to contact 211, nothing. Maybe I should just join the riots in downtown. (Portland) 
Cough anytime you want to cough, sniff anytime you want to sniff, COmE On DoWn, I'll bring out the covid.</t>
        </is>
      </c>
      <c r="D4202" t="n">
        <v>1</v>
      </c>
      <c r="E4202" t="n">
        <v>13</v>
      </c>
      <c r="F4202">
        <f>HYPERLINK("https://www.reddit.com/r/COVID19positive/comments/i5nesj/got_a_call_from_work_tested_positive_and_i_dont/")</f>
        <v/>
      </c>
      <c r="G4202" t="inlineStr">
        <is>
          <t>2020-08-07 15:18:08</t>
        </is>
      </c>
      <c r="H4202" t="inlineStr">
        <is>
          <t>Tested Positive - Me</t>
        </is>
      </c>
    </row>
    <row r="4203">
      <c r="A4203" t="inlineStr">
        <is>
          <t>i5nfpf</t>
        </is>
      </c>
      <c r="B4203" t="inlineStr">
        <is>
          <t>6 yo daughter COVID Positive</t>
        </is>
      </c>
      <c r="C4203" t="inlineStr">
        <is>
          <t>She was exposed by her daycare teacher so we tested her out of an abundance of caution. We got the positive test results back yesterday. She’s completely asymptomatic as of now (6 days from last exposure to positive case).
We found out she was positive 5 days after her last exposure. My 2 year old was negative and my husband and I are waiting on our results.
My kids are super close. Pediatrician has said to separate them and one parent quarantine with each.
I’m really looking for someone who has had to do this, or didn’t do it and didn’t end up spreading it. 
Today was day 1 of quarantine and it was extremely difficult for us to all stay away from eachother. I don’t know if I can do it for 2+ weeks.</t>
        </is>
      </c>
      <c r="D4203" t="n">
        <v>1</v>
      </c>
      <c r="E4203" t="n">
        <v>4</v>
      </c>
      <c r="F4203">
        <f>HYPERLINK("https://www.reddit.com/r/COVID19positive/comments/i5nfpf/6_yo_daughter_covid_positive/")</f>
        <v/>
      </c>
      <c r="G4203" t="inlineStr">
        <is>
          <t>2020-08-07 15:19:38</t>
        </is>
      </c>
      <c r="H4203" t="inlineStr">
        <is>
          <t>Tested Positive - Family</t>
        </is>
      </c>
    </row>
    <row r="4204">
      <c r="A4204" t="inlineStr">
        <is>
          <t>i5nmv2</t>
        </is>
      </c>
      <c r="B4204" t="inlineStr">
        <is>
          <t>Just tested positive! Timeline and question about supplements!</t>
        </is>
      </c>
      <c r="C4204" t="inlineStr">
        <is>
          <t>QUESTION:
So I had my dad go get me supplements because I read that they helped. The first day I took supplements:
vitamin c 1000mg
vitamin d 3000mg
zinc 50mg
I felt really good waking up the next day. Now fast forward to the next day, I ate some food, then took:
vitamin c 1000mg
quercetin c+ (500mg quercetin, 1400mg vitamin c)
Egcg 750mg
Zinc 50mg about 20 min later.
Then I just threw up out of nowhere! Out of nowhere nausea and had to run quickly to the bathroom. I’m not really feeling many symptoms anymore, could this be from the supplements? Am i supposed to take either quercetin or egcg and not both? 
TIMELINE:
7/31: Funny feeling barely sore throat, thought it was from vaping like it usually is.
8/1: Woke up, took a shower, then laid in bed and fell asleep. Woke up and had to help a friend move, while moving things, became super fatigue and needed to sit down on the couch. Went to a bbq and literally fell asleep the whole time. Went home and passed out.
8/2: Woke up in a pool of my own sweat, body chills, body aches, felt very fatigued ate some food and took a nap. Started to have diarrhea. Had a fever of 100 today.
8/3: same thing as the day before, still contact diarrhea and suddenly lost sense of smell and taste while eating my second meal?! No fever today though.
8/4: still no sense of smell or taste, still have diarrhea, body aches aren’t as bad. Seem to be getting some pain in the rib cage area, not super painful but random. Still no fever.
8/5: Some sense of taste and smell come back, still have diarrhea, can breathe somewhat normally just feels cold when I breathe in deep.
8/6: feeling somewhat better today, decide to go with my girlfriend for her to get tested, and get tested myself again. Started feeling fatigue if I stand too long.  Still having diarrhea and slight body chills. Read somethings on here about taking supplements so my dad bought me some and I took them at night. Been having the weirdest fever type dreams
8/7: woke up feeling pretty good, talked to a few people on the phone, got a call saying I’m positive from my previous test. I took some supplements waited and took more supplements then out of nowhere I got a quick sense of nausea and ran to the bathroom and threw up?! I felt fine after and I am typing this right now.
Hoping to show negative on my next test!</t>
        </is>
      </c>
      <c r="D4204" t="n">
        <v>1</v>
      </c>
      <c r="E4204" t="n">
        <v>9</v>
      </c>
      <c r="F4204">
        <f>HYPERLINK("https://www.reddit.com/r/COVID19positive/comments/i5nmv2/just_tested_positive_timeline_and_question_about/")</f>
        <v/>
      </c>
      <c r="G4204" t="inlineStr">
        <is>
          <t>2020-08-07 15:30:44</t>
        </is>
      </c>
      <c r="H4204" t="inlineStr">
        <is>
          <t>Tested Positive - Me</t>
        </is>
      </c>
    </row>
    <row r="4205">
      <c r="A4205" t="inlineStr">
        <is>
          <t>i5nzfy</t>
        </is>
      </c>
      <c r="B4205" t="inlineStr">
        <is>
          <t>Question about what to help alleviate symptoms</t>
        </is>
      </c>
      <c r="C4205" t="inlineStr">
        <is>
          <t>I’ve been sick since around 7/25, tested positive 8/3. Feel generally better but have my dry cough seems like it’s getting worse. I also can’t shake the tingling sensation/congestion in my nose like I have pool water up it. Also really short of breath. I finished steroids prescribed by dr and take Pepcid, vitamin c, vitamin b’s, and zinc daily. Any suggestions to help with the above symptoms and/or any other suggestions to what I should add to my daily meds?</t>
        </is>
      </c>
      <c r="D4205" t="n">
        <v>1</v>
      </c>
      <c r="E4205" t="n">
        <v>16</v>
      </c>
      <c r="F4205">
        <f>HYPERLINK("https://www.reddit.com/r/COVID19positive/comments/i5nzfy/question_about_what_to_help_alleviate_symptoms/")</f>
        <v/>
      </c>
      <c r="G4205" t="inlineStr">
        <is>
          <t>2020-08-07 15:51:10</t>
        </is>
      </c>
      <c r="H4205" t="inlineStr">
        <is>
          <t>Tested Positive - Me</t>
        </is>
      </c>
    </row>
    <row r="4206">
      <c r="A4206" t="inlineStr">
        <is>
          <t>i5onvn</t>
        </is>
      </c>
      <c r="B4206" t="inlineStr">
        <is>
          <t>Families experience with COVID</t>
        </is>
      </c>
      <c r="C4206" t="inlineStr">
        <is>
          <t>I’m writing this because I can finally see my parents getting better. My father (56) tested positive July 16th with minor symptoms like a sore throat, no appetite and a wet cough. Soon after his symptoms worsened by a lot. I (23F) had to move home to take care of him so my mother (54) could stay at a different location so she would not get sick (she tested negative). He has had the GI version. For the first 4 days he had no fever but he could not keep anything down. He would throw up twice a day and go to the bathroom multiple times in the day. He would cough up these globs of clear phlegm that would cause him to choke and make his oxygen drop. For almost a week his oxygen level was at 91-92. We own a dental practice to I have access to an oxygen tank if he would of dropped under 90. He would tell me that he didn’t want to go to the hospital he couldn’t go through this alone so I tried everything. I got him on Z pack and his digestive issues stopped and he only had a wet cough and low o2 levels. I was so happy but after another 4 days, now on day 8 his symptoms returned with more body aches and throwing up. I had to inject him with an anti vomiting medicine and give him probiotics in his Gatorade to keep him from getting dehydrated. In the second week his cough worsened. I was giving him Vitamin C, D and Zinc and now I started him on albuterol. It’s amazing what it did for him. On his third week, he had no longer thrown up but his cough was still making him weak and almost choke on phlegm. I started doing hourly breathing exercises with him and making him sleep on his stomach. During this time my mother came back to live with us because she was now positive. She had a fever, dry cough and could not get out of bed. I had to give her showers and help her to the bathroom. They have both had crazy nights where I worry that I will have to take them to the hospital because they will both need the oxygen tank and I only have one or because of dehydration. I don’t think I have slept more than 3 hours a day in almost 3 weeks. Two nights ago they both slept through the night and I slept as well. Yesterday and today in the morning they were walking around (slowly) and they were making jokes and smiling. I never thought I’d see my parents like this. 
What I gave them that I think helped. I am not a doctor. I have a microbiology degree and I am going back to dental school once they get better. 
Vitamin C
Vitamin D
Zinc
Mucinex dm 
Zyrtec ( for me ) 
Albuterol every 6 hours 
I would also boil water with thyme, sage, crushed mint, cloves, ginger and vicks. I would place the pot In front of them and a towel over their heads and have them breathe in. 
The breathing exercise:
Breathe in and hold your breath for 5 seconds then breathe out. Do this 6 times and then let out a hard cough. Then do it 4 more times. I had them do this every two hours.</t>
        </is>
      </c>
      <c r="D4206" t="n">
        <v>1</v>
      </c>
      <c r="E4206" t="n">
        <v>8</v>
      </c>
      <c r="F4206">
        <f>HYPERLINK("https://www.reddit.com/r/COVID19positive/comments/i5onvn/families_experience_with_covid/")</f>
        <v/>
      </c>
      <c r="G4206" t="inlineStr">
        <is>
          <t>2020-08-07 16:32:23</t>
        </is>
      </c>
      <c r="H4206" t="inlineStr">
        <is>
          <t>Tested Positive - Family</t>
        </is>
      </c>
    </row>
    <row r="4207">
      <c r="A4207" t="inlineStr">
        <is>
          <t>i5q0qp</t>
        </is>
      </c>
      <c r="B4207" t="inlineStr">
        <is>
          <t>Timeline of my mild COVID case</t>
        </is>
      </c>
      <c r="C4207" t="inlineStr">
        <is>
          <t>I just wanted to share a timeline of my experience with COVID in hopes that it can help other people. I'm also going to put my mom in the timeline because she was in the hospital for 11 days with COVID. She's home now recovering. I just got my test back today but while I was waiting, I read a bunch of these threads and found them helpful. I'm 28 year old female.
7/16 took my first test because my mom was very sick and showing COVID symptoms. I work with the public so figured it would be best to make sure I didn't have anything.
7/20 mom is taken to hospital because of low o2 level and feeling awful
7/21 moms test comes back positive but doctors already planned on treating her for COVID. I start having chills, sinus pressure, mild cough, loss of appetite.
7/22 my test comes back negative. Still feeling achy, anxious, loss of appetite, loss of taste and smell, but no fever. 
7/23-8/1 little to no appetite, sinus pressure and congestion still there, still can't taste or smell, mild cough. 
8/1 take another test
8/2-8/4 same symptoms as above
8/5-8/6 taste and smell return, sinuses still bothering me, feeling pretty normal
8/7 test comes back positive for COVID, wake up with severe headache/sinus pressure, upset stomach.
Not sure if the sinus issues are separate from COVID at this point but I'm feeling pretty good. I'm taking a lot of vitamins and trying to get plenty of rest. I feel thankful that my case was mild unlike my moms. My dad also tested positive and his symptoms were similar to mine but without the sinus issues. Hopefully this information helps.</t>
        </is>
      </c>
      <c r="D4207" t="n">
        <v>1</v>
      </c>
      <c r="E4207" t="n">
        <v>11</v>
      </c>
      <c r="F4207">
        <f>HYPERLINK("https://www.reddit.com/r/COVID19positive/comments/i5q0qp/timeline_of_my_mild_covid_case/")</f>
        <v/>
      </c>
      <c r="G4207" t="inlineStr">
        <is>
          <t>2020-08-07 17:58:24</t>
        </is>
      </c>
      <c r="H4207" t="inlineStr">
        <is>
          <t>Tested Positive - Family</t>
        </is>
      </c>
    </row>
    <row r="4208">
      <c r="A4208" t="inlineStr">
        <is>
          <t>i5qb0j</t>
        </is>
      </c>
      <c r="B4208" t="inlineStr">
        <is>
          <t>Is covid getting weaker or....</t>
        </is>
      </c>
      <c r="C4208" t="inlineStr">
        <is>
          <t>So I’ve posted here few times before I got my results. I’ve basically just been having sore throat and minor chest pressure. Today is day 10 and only thing left is mucus stuck in throat making me want to clear my throat. However, no one in my family (besides my mom, she just has the throat feeling as I do) is sick. My bf got kinda sick on August 3, but he’s basically “recovered” now. His family has diabetes and they still haven’t seem to get sick. What is the issue with this virus? Did I yield a false positive or is the coronavirus just getting super weak?</t>
        </is>
      </c>
      <c r="D4208" t="n">
        <v>1</v>
      </c>
      <c r="E4208" t="n">
        <v>10</v>
      </c>
      <c r="F4208">
        <f>HYPERLINK("https://www.reddit.com/r/COVID19positive/comments/i5qb0j/is_covid_getting_weaker_or/")</f>
        <v/>
      </c>
      <c r="G4208" t="inlineStr">
        <is>
          <t>2020-08-07 18:17:29</t>
        </is>
      </c>
      <c r="H4208" t="inlineStr">
        <is>
          <t>Tested Positive - Me</t>
        </is>
      </c>
    </row>
    <row r="4209">
      <c r="A4209" t="inlineStr">
        <is>
          <t>i5qci5</t>
        </is>
      </c>
      <c r="B4209" t="inlineStr">
        <is>
          <t>Worsening symptoms after testing negative?</t>
        </is>
      </c>
      <c r="C4209" t="inlineStr">
        <is>
          <t>Tested positive July 15. Tested negative last Friday but today I seem to have more congestion and am concerned about having respiratory problems now. Is it possible or should I be in the clear since I tested negative?</t>
        </is>
      </c>
      <c r="D4209" t="n">
        <v>1</v>
      </c>
      <c r="E4209" t="n">
        <v>10</v>
      </c>
      <c r="F4209">
        <f>HYPERLINK("https://www.reddit.com/r/COVID19positive/comments/i5qci5/worsening_symptoms_after_testing_negative/")</f>
        <v/>
      </c>
      <c r="G4209" t="inlineStr">
        <is>
          <t>2020-08-07 18:20:17</t>
        </is>
      </c>
      <c r="H4209" t="inlineStr">
        <is>
          <t>Tested Positive - Me</t>
        </is>
      </c>
    </row>
    <row r="4210">
      <c r="A4210" t="inlineStr">
        <is>
          <t>i5r2a5</t>
        </is>
      </c>
      <c r="B4210" t="inlineStr">
        <is>
          <t>Kidney pain?</t>
        </is>
      </c>
      <c r="C4210" t="inlineStr">
        <is>
          <t>I’m an presumed positive by my doctor. I’m on day 7 of symptoms and others have mostly resided. All I have left is this dull ache in my lower back. My urine is clear so don’t know if it’s just I haven’t been moving for a week or what. Anyone else experience this?</t>
        </is>
      </c>
      <c r="D4210" t="n">
        <v>1</v>
      </c>
      <c r="E4210" t="n">
        <v>6</v>
      </c>
      <c r="F4210">
        <f>HYPERLINK("https://www.reddit.com/r/COVID19positive/comments/i5r2a5/kidney_pain/")</f>
        <v/>
      </c>
      <c r="G4210" t="inlineStr">
        <is>
          <t>2020-08-07 19:10:43</t>
        </is>
      </c>
      <c r="H4210" t="inlineStr">
        <is>
          <t>Presumed Positive - From Doctor</t>
        </is>
      </c>
    </row>
    <row r="4211">
      <c r="A4211" t="inlineStr">
        <is>
          <t>i5s348</t>
        </is>
      </c>
      <c r="B4211" t="inlineStr">
        <is>
          <t>How long am I going to be sick? Are there any indicators that long haulers had early on?</t>
        </is>
      </c>
      <c r="C4211" t="inlineStr">
        <is>
          <t>I’m on day 12 of symptoms.  It’s been pretty awful.  Landed in ER once, have had several televisits with my doctor.  
Symptoms:  shortness of breath, sore throat, cough, constant severe headache that won’t go away, body aches, extreme fatigue, swollen eyelids, chest pain and tightness, brain fog, no fever.  
SpO2 dipped in 80s one night which was when I had to go to the ER.  They had to treat me with oxygen, and I received a terbutaline injection, 6 puffs of albuterol, given one 7.5 norco for body aches and headache.
I’ve been on budesonide breathing treatments, albuterol inhaler, had full Z pack round, vitamin C, vitamin D, vitamin K, zinc, Elderberry, baby aspirin, tussionex dose every few days for when coughing fits get too bad to breathe.  
I have Hashimotos which is an autoimmune disorder, and am a smoker (I know, I know)
The not knowing if I’m going to get better or get worse is driving me crazy.
Are there any signs that could reveal if I’m likely to worsen or get better?  
The headache is beyond unbearable.  I wish I could just be sedated and sleep through this whole nightmare it’s so bad.  
I know many others have it worse than me, and my heart goes out to everyone with this virus.</t>
        </is>
      </c>
      <c r="D4211" t="n">
        <v>1</v>
      </c>
      <c r="E4211" t="n">
        <v>14</v>
      </c>
      <c r="F4211">
        <f>HYPERLINK("https://www.reddit.com/r/COVID19positive/comments/i5s348/how_long_am_i_going_to_be_sick_are_there_any/")</f>
        <v/>
      </c>
      <c r="G4211" t="inlineStr">
        <is>
          <t>2020-08-07 20:23:23</t>
        </is>
      </c>
      <c r="H4211" t="inlineStr">
        <is>
          <t>Tested Positive - Me</t>
        </is>
      </c>
    </row>
    <row r="4212">
      <c r="A4212" t="inlineStr">
        <is>
          <t>i5t2d5</t>
        </is>
      </c>
      <c r="B4212" t="inlineStr">
        <is>
          <t>Bumpy/itchy lips</t>
        </is>
      </c>
      <c r="C4212" t="inlineStr">
        <is>
          <t>Hi everyone! I tested positive for COVID-19 about 10 days ago. Since becoming positive, I have had tiny little bumps all over my lips that are super super itchy. I do not think it is an allergic reaction to anything because I eat the same things almost everyday &amp;amp; didn’t put anything weird on my face to cause this. I was wondering if this is a side effect of COVID-19? Has this happened to anyone else? Any information at all would be helpful! Thanks!</t>
        </is>
      </c>
      <c r="D4212" t="n">
        <v>1</v>
      </c>
      <c r="E4212" t="n">
        <v>4</v>
      </c>
      <c r="F4212">
        <f>HYPERLINK("https://www.reddit.com/r/COVID19positive/comments/i5t2d5/bumpyitchy_lips/")</f>
        <v/>
      </c>
      <c r="G4212" t="inlineStr">
        <is>
          <t>2020-08-07 21:36:01</t>
        </is>
      </c>
      <c r="H4212" t="inlineStr">
        <is>
          <t>Tested Positive - Me</t>
        </is>
      </c>
    </row>
    <row r="4213">
      <c r="A4213" t="inlineStr">
        <is>
          <t>i5tm46</t>
        </is>
      </c>
      <c r="B4213" t="inlineStr">
        <is>
          <t>3 positive results going on 6 weeks &amp;amp; 1 inconclusive result</t>
        </is>
      </c>
      <c r="C4213" t="inlineStr">
        <is>
          <t>It’s been 6 weeks. Have been retested every 2 weeks due to school and each result has been positive since the month of June. I need to get a negative result in order to resume classes (clinical) and graduate. The last test I took resulted in an inconclusive result. This was not explained to me. Can anyone help me out on what that would mean? And any chances I should be getting a negative result soon? My only symptom when I did have covid was a loss of taste and smell. Thank you to everyone that can help.</t>
        </is>
      </c>
      <c r="D4213" t="n">
        <v>1</v>
      </c>
      <c r="E4213" t="n">
        <v>5</v>
      </c>
      <c r="F4213">
        <f>HYPERLINK("https://www.reddit.com/r/COVID19positive/comments/i5tm46/3_positive_results_going_on_6_weeks_1/")</f>
        <v/>
      </c>
      <c r="G4213" t="inlineStr">
        <is>
          <t>2020-08-07 22:19:59</t>
        </is>
      </c>
      <c r="H4213" t="inlineStr">
        <is>
          <t>Tested Positive - Me</t>
        </is>
      </c>
    </row>
    <row r="4214">
      <c r="A4214" t="inlineStr">
        <is>
          <t>i5unsg</t>
        </is>
      </c>
      <c r="B4214" t="inlineStr">
        <is>
          <t>Presumably tested false negative</t>
        </is>
      </c>
      <c r="C4214" t="inlineStr">
        <is>
          <t>Without going into every symptom and my illness timeline I am 100% convinced as well as my doctor that I had covid-19. I even get 80 hours of sick pay without having to prove a positive result however my boss is acting like I'm faking it although I have sent her a video of me taking my temperature showing the screen of the thermometer going up up and up. It's frustrating because I'm the first person at work to have it and everyone's wondering how I caught it but they didn't. I'm in a very high risk Healthcare profession compared to my coworkers. In fact hygienists are #1  on most risk charts  – I'm a dental hygienist . Anyway I'm just frustrated with the exhaustion as I've had to call in sick three times now since my symptoms left and I went back to work The lab  took six days to send my sample in to the lab and I honestly wonder if it even got tested, as I'm in Nebraska and and Test Nebraska hired a sketchy firm to do their testing and is under scrutiny already.</t>
        </is>
      </c>
      <c r="D4214" t="n">
        <v>1</v>
      </c>
      <c r="E4214" t="n">
        <v>2</v>
      </c>
      <c r="F4214">
        <f>HYPERLINK("https://www.reddit.com/r/COVID19positive/comments/i5unsg/presumably_tested_false_negative/")</f>
        <v/>
      </c>
      <c r="G4214" t="inlineStr">
        <is>
          <t>2020-08-07 23:47:44</t>
        </is>
      </c>
      <c r="H4214" t="inlineStr">
        <is>
          <t>Presumed Positive - From Doctor</t>
        </is>
      </c>
    </row>
    <row r="4215">
      <c r="A4215" t="inlineStr">
        <is>
          <t>i5vwbp</t>
        </is>
      </c>
      <c r="B4215" t="inlineStr">
        <is>
          <t>Feeling Stuck. (RANT)</t>
        </is>
      </c>
      <c r="C4215" t="inlineStr">
        <is>
          <t>My friend (23m) had symptoms Monday. Tested Wed. Confirmed Friday. I've (23m) developed a fever on Wednesday. Another friend developed a fever on Thursday. 
My symptoms: Body aches. Congestion. Cough. Tested thru Kaiser on Thursday. Fevers in and out. 99.7, 98.7, 100.9, 99.0, 100.4, 98.6, 100.2. Body pains. Lost sense of taste and smell Thursday night. Didn't have access to thermometer but very confident in fever on Friday. Was told 2-3 business days for results. Heard might take a week. 
I have asthma and was a former smoker. Quit in January due to Covid concerns but here I am. Waiting on test results but by the looks of it I'm pretty sure I have as does my doctor per televisit. I'm pretty scared if I'm being honest. I've been having shortness of breath when walking flight of stairs. Feels like I just ran. Worst part is I'm not even worried about myself. I'm scared for my family. They haven't shown any symptoms but they're at risk. Sister and mother are obese and father is an alcoholic who just quit a month ago due to a health scare. Im the healthiest one and I'm being ran through the gutter. I fear its gonna wipe my family. They're all getting tested soon as they can. In addition, my moms the only source of income rn in the family. Its no joke. Sorry for those who aren't religious but I pray for all those affected. Its tough to see people not take it seriously. And they want kids to go to school? I can't help but think about a life post COVID. 
Advice to put my body in the best position to fight this?</t>
        </is>
      </c>
      <c r="D4215" t="n">
        <v>1</v>
      </c>
      <c r="E4215" t="n">
        <v>8</v>
      </c>
      <c r="F4215">
        <f>HYPERLINK("https://www.reddit.com/r/COVID19positive/comments/i5vwbp/feeling_stuck_rant/")</f>
        <v/>
      </c>
      <c r="G4215" t="inlineStr">
        <is>
          <t>2020-08-08 01:41:56</t>
        </is>
      </c>
      <c r="H4215" t="inlineStr">
        <is>
          <t>Tested Positive - Friends</t>
        </is>
      </c>
    </row>
    <row r="4216">
      <c r="A4216" t="inlineStr">
        <is>
          <t>i5xch0</t>
        </is>
      </c>
      <c r="B4216" t="inlineStr">
        <is>
          <t>COVID trigger mental problems for me</t>
        </is>
      </c>
      <c r="C4216" t="inlineStr">
        <is>
          <t>So I thought the virus only attack the respiratory system like the flu, at first covid did indeed feel like covid, but after my “recovery” symptoms stayed and it trigger severe anxiety and paranoia. I felt like I was going crazy. This was within a month of contacting the virus. Ringing in the ear, tingling sensations, pressure in the forehead. Did some research and apparently the virus also attacks some parts of the brain causing strokes, seizures, paranoia, OCD, PTSD and many other scary things. Had a panic attack that just felt too real for me left me paranoid. Still paranoid but not as much.</t>
        </is>
      </c>
      <c r="D4216" t="n">
        <v>1</v>
      </c>
      <c r="E4216" t="n">
        <v>95</v>
      </c>
      <c r="F4216">
        <f>HYPERLINK("https://www.reddit.com/r/COVID19positive/comments/i5xch0/covid_trigger_mental_problems_for_me/")</f>
        <v/>
      </c>
      <c r="G4216" t="inlineStr">
        <is>
          <t>2020-08-08 04:04:45</t>
        </is>
      </c>
      <c r="H4216" t="inlineStr">
        <is>
          <t>Tested Positive</t>
        </is>
      </c>
    </row>
    <row r="4217">
      <c r="A4217" t="inlineStr">
        <is>
          <t>i5ycq2</t>
        </is>
      </c>
      <c r="B4217" t="inlineStr">
        <is>
          <t>Post-covid Paranoia</t>
        </is>
      </c>
      <c r="C4217" t="inlineStr">
        <is>
          <t>Been almost two months now. It is mostly due to the horrible times i spent in hospital and my now-sensitiver lungs. Spending 11.5 days in that hellhole even if my status werent so bad. Being all alone in the white af room and the only furniture was my bed and a few stuff to lock my clothes in etc. I could barely see anyone's face. Only the stupidly inexperienced nurses' eyes through their astronautlike suits that come in like only 3 times a day giving me pills and injecting me blood thinner, sometimes doing tests and failing to find my vein while trying to extract my blood and ending up with 10 syringe stabs in my sore damn arms. Also no wifi and disgusting food. All i could do was listen to music for 11 days straight, couldnt even watch YT or anything to not consume my mobile data. I started to lose my damn sanity in that stupid room. Now i am scared out of my mind if i ever have to go back to that asylum and be sick again. Every time i feel sick-ish i go full "oh fuck".</t>
        </is>
      </c>
      <c r="D4217" t="n">
        <v>1</v>
      </c>
      <c r="E4217" t="n">
        <v>33</v>
      </c>
      <c r="F4217">
        <f>HYPERLINK("https://www.reddit.com/r/COVID19positive/comments/i5ycq2/postcovid_paranoia/")</f>
        <v/>
      </c>
      <c r="G4217" t="inlineStr">
        <is>
          <t>2020-08-08 05:32:27</t>
        </is>
      </c>
      <c r="H4217" t="inlineStr">
        <is>
          <t>Tested Positive</t>
        </is>
      </c>
    </row>
    <row r="4218">
      <c r="A4218" t="inlineStr">
        <is>
          <t>i5zr62</t>
        </is>
      </c>
      <c r="B4218" t="inlineStr">
        <is>
          <t>9 members, 7 positive, 2 negative</t>
        </is>
      </c>
      <c r="C4218" t="inlineStr">
        <is>
          <t>How is this possible? I’m staying with my boyfriend and his parents. They all went and spent the weekend with 5 other family members which I didn’t attend.
On Sunday him and his mom started felling symptoms, congestion, loss of smell and diarrhea. However we didn’t think too much (bad judgement on our behalf), so didn’t quarantine or anything for two days. Like I slept in the same bed as my boyfriend, kissed, shared food etc. Same with his parents.
They were all tested except me on Wednesday  and everyone except his dad came back negative. I believe he took another test just to be sure, still negative. Antibody test also negative. So his dad somehow just did not get it despite spending everyone he spent the weekend with being positive, and the person he sleeps next to every night being positive.
Me, since I only came in contact with them on Monday, waited till Friday to test. Was also negative. 
Maybe it was too soon? But I heard the PCR test can pickup pretty early before symptoms. His dad and I also show no symptoms, while my boyfriend and his mom do. 
I haven’t been antibody tested, but is it possible that some people just, don’t get it? I will obviously still quarantine and monitor for symptoms.</t>
        </is>
      </c>
      <c r="D4218" t="n">
        <v>1</v>
      </c>
      <c r="E4218" t="n">
        <v>4</v>
      </c>
      <c r="F4218">
        <f>HYPERLINK("https://www.reddit.com/r/COVID19positive/comments/i5zr62/9_members_7_positive_2_negative/")</f>
        <v/>
      </c>
      <c r="G4218" t="inlineStr">
        <is>
          <t>2020-08-08 07:10:53</t>
        </is>
      </c>
      <c r="H4218" t="inlineStr">
        <is>
          <t>Tested Positive - Family</t>
        </is>
      </c>
    </row>
    <row r="4219">
      <c r="A4219" t="inlineStr">
        <is>
          <t>i60qg4</t>
        </is>
      </c>
      <c r="B4219" t="inlineStr">
        <is>
          <t>Looking for similar experience</t>
        </is>
      </c>
      <c r="C4219" t="inlineStr">
        <is>
          <t>My fiancée started feeling symptoms last Saturday (7 days ago) and tested positive on Monday (5 days ago). We have not distanced from each other at all, but I tested negative on Thursday (2 days ago). 
Has anyone had this experience? Does this mean the tests just couldn’t detect it in my system yet, or maybe I haven’t been infected yet? I’m honestly confused how I’m negative even though we’ve been spent all of our time together for the entire week that she has shown symptoms.</t>
        </is>
      </c>
      <c r="D4219" t="n">
        <v>1</v>
      </c>
      <c r="E4219" t="n">
        <v>15</v>
      </c>
      <c r="F4219">
        <f>HYPERLINK("https://www.reddit.com/r/COVID19positive/comments/i60qg4/looking_for_similar_experience/")</f>
        <v/>
      </c>
      <c r="G4219" t="inlineStr">
        <is>
          <t>2020-08-08 08:14:24</t>
        </is>
      </c>
      <c r="H4219" t="inlineStr">
        <is>
          <t>Tested Positive - Family</t>
        </is>
      </c>
    </row>
    <row r="4220">
      <c r="A4220" t="inlineStr">
        <is>
          <t>i613i3</t>
        </is>
      </c>
      <c r="B4220" t="inlineStr">
        <is>
          <t>Question for people who are positive and have a significant other</t>
        </is>
      </c>
      <c r="C4220" t="inlineStr">
        <is>
          <t>If they never got sick from you, how did you do it? I'm showing the slightest of symptoms and getting tested Monday. I've been with family since showing these small symptoms and I come back home tomorrow (11 days after exposure) How do I keep my boyfriend safe from me? I'm unable to stay here unfortunately.</t>
        </is>
      </c>
      <c r="D4220" t="n">
        <v>1</v>
      </c>
      <c r="E4220" t="n">
        <v>4</v>
      </c>
      <c r="F4220">
        <f>HYPERLINK("https://www.reddit.com/r/COVID19positive/comments/i613i3/question_for_people_who_are_positive_and_have_a/")</f>
        <v/>
      </c>
      <c r="G4220" t="inlineStr">
        <is>
          <t>2020-08-08 08:36:37</t>
        </is>
      </c>
      <c r="H4220" t="inlineStr">
        <is>
          <t>Tested Positive - Friends</t>
        </is>
      </c>
    </row>
    <row r="4221">
      <c r="A4221" t="inlineStr">
        <is>
          <t>i61e97</t>
        </is>
      </c>
      <c r="B4221" t="inlineStr">
        <is>
          <t>Okay 👌 🆗️</t>
        </is>
      </c>
      <c r="C4221" t="inlineStr">
        <is>
          <t>I was wondering on a couple of things. I had been isolated for a couple of days and I was thinking of telling my mom about it, as well the person that I was with. This person that I was with, I may despise because I had to be quarantined because of him/her. I was doing a favor by going outside and it happened. I feel upset that it happened. I was just a bystander in all this. What should I do?</t>
        </is>
      </c>
      <c r="D4221" t="n">
        <v>1</v>
      </c>
      <c r="E4221" t="n">
        <v>3</v>
      </c>
      <c r="F4221">
        <f>HYPERLINK("https://www.reddit.com/r/COVID19positive/comments/i61e97/okay/")</f>
        <v/>
      </c>
      <c r="G4221" t="inlineStr">
        <is>
          <t>2020-08-08 08:54:50</t>
        </is>
      </c>
      <c r="H4221" t="inlineStr">
        <is>
          <t>Tested Positive - Me</t>
        </is>
      </c>
    </row>
    <row r="4222">
      <c r="A4222" t="inlineStr">
        <is>
          <t>i628xz</t>
        </is>
      </c>
      <c r="B4222" t="inlineStr">
        <is>
          <t>My mom tested positive and it's starting to get to me.</t>
        </is>
      </c>
      <c r="C4222" t="inlineStr">
        <is>
          <t>My mom is a healthy 53 year old and an ICU nurse. We're from a COVID hot zone and as such she was constantly surrounded by infected patients. Despite taking all precautions she possibly could have (face mask, N95, full PPE etc) she caught the virus.
The worst of her symptoms came around day 3 or 4 when her fever reached 103.5 and her SpO2 dropped to 92%. She refused to go to the hospital because she felt like she knew what would be waiting for her there. Since then, her SpO2 has been hovering at 95% and her temperature has been holding at 99.1-100. 
I keep tabs on her every day like a worried soccer mom. She thinks she's on day 8 of the virus at this point, and today she sounded absolutely horrible on the phone. She said that yesterday she was able to get a full night of sleep and felt almost recovered, but the symptoms back with a vengeance in the middle of the night. Full body pain, weird bodily sensations, cough, shortness of breath. As of right now, her body temp is at 99.9 and her SpO2 is at 95%. 
Despite being in normal SpO2 range, she sounds like she's catching her breath on the phone and I can hear her cough.  I'm starting to get really worried, and I want her to go talk to a doctor but she doesn't want to.</t>
        </is>
      </c>
      <c r="D4222" t="n">
        <v>1</v>
      </c>
      <c r="E4222" t="n">
        <v>24</v>
      </c>
      <c r="F4222">
        <f>HYPERLINK("https://www.reddit.com/r/COVID19positive/comments/i628xz/my_mom_tested_positive_and_its_starting_to_get_to/")</f>
        <v/>
      </c>
      <c r="G4222" t="inlineStr">
        <is>
          <t>2020-08-08 09:44:26</t>
        </is>
      </c>
      <c r="H4222" t="inlineStr">
        <is>
          <t>Tested Positive - Family</t>
        </is>
      </c>
    </row>
    <row r="4223">
      <c r="A4223" t="inlineStr">
        <is>
          <t>i6366e</t>
        </is>
      </c>
      <c r="B4223" t="inlineStr">
        <is>
          <t>Babies with COVID</t>
        </is>
      </c>
      <c r="C4223" t="inlineStr">
        <is>
          <t>recently my sisters and I tested positive for COVID19. My sister has an 11 month year old baby and is worried for the baby. 
Does anyone have experience with babies with COVID?</t>
        </is>
      </c>
      <c r="D4223" t="n">
        <v>1</v>
      </c>
      <c r="E4223" t="n">
        <v>5</v>
      </c>
      <c r="F4223">
        <f>HYPERLINK("https://www.reddit.com/r/COVID19positive/comments/i6366e/babies_with_covid/")</f>
        <v/>
      </c>
      <c r="G4223" t="inlineStr">
        <is>
          <t>2020-08-08 10:36:48</t>
        </is>
      </c>
      <c r="H4223" t="inlineStr">
        <is>
          <t>Tested Positive - Family</t>
        </is>
      </c>
    </row>
    <row r="4224">
      <c r="A4224" t="inlineStr">
        <is>
          <t>i63ap3</t>
        </is>
      </c>
      <c r="B4224" t="inlineStr">
        <is>
          <t>I’m so scared I want to cry my eyes out</t>
        </is>
      </c>
      <c r="C4224" t="inlineStr">
        <is>
          <t>I am a relatively healthy 24 year old female with no other conditions besides being overweight. I have had a sinus infection or so I thought but tested positive for COVID today. I am so fucking scared I don’t want to die, I don’t want to be put on a vent, I’ve been crying for hours. I only have congestion with sore throat right now literally that’s IT have not had any cough or fever or anything. I’m scared to die in my sleep or for it to escalate to me being unable to breathe.
Has anyone had a mild case without chest/breathing issues? What do I do...</t>
        </is>
      </c>
      <c r="D4224" t="n">
        <v>1</v>
      </c>
      <c r="E4224" t="n">
        <v>187</v>
      </c>
      <c r="F4224">
        <f>HYPERLINK("https://www.reddit.com/r/COVID19positive/comments/i63ap3/im_so_scared_i_want_to_cry_my_eyes_out/")</f>
        <v/>
      </c>
      <c r="G4224" t="inlineStr">
        <is>
          <t>2020-08-08 10:43:41</t>
        </is>
      </c>
      <c r="H4224" t="inlineStr">
        <is>
          <t>Tested Positive - Me</t>
        </is>
      </c>
    </row>
    <row r="4225">
      <c r="A4225" t="inlineStr">
        <is>
          <t>i63usm</t>
        </is>
      </c>
      <c r="B4225" t="inlineStr">
        <is>
          <t>Chronic sinusitis from covid</t>
        </is>
      </c>
      <c r="C4225" t="inlineStr">
        <is>
          <t>So I tested positive for covid 43 days ago. The initial symptoms kinda went away. I have my taste amd smell back with weird olfactory nerve symptoms still. I still get some lung issues but i think is mostly asthma from post nasal drip. For most part my issue is still a sinus infection from covid. I tested postivr again on day 30ish and long hauling is pretty common in milder cases. My doc still gave me a course of antibiotics but no success. Who else been dealing sinusitis induced by covid? Before i get people saying sinusitis is different, sinusitis translates to sinus inflammation and viral and bacteria and even allergies can cause it. So yes, im using the term sinusitis induced by covid.</t>
        </is>
      </c>
      <c r="D4225" t="n">
        <v>1</v>
      </c>
      <c r="E4225" t="n">
        <v>35</v>
      </c>
      <c r="F4225">
        <f>HYPERLINK("https://www.reddit.com/r/COVID19positive/comments/i63usm/chronic_sinusitis_from_covid/")</f>
        <v/>
      </c>
      <c r="G4225" t="inlineStr">
        <is>
          <t>2020-08-08 11:14:51</t>
        </is>
      </c>
      <c r="H4225" t="inlineStr">
        <is>
          <t>Tested Positive</t>
        </is>
      </c>
    </row>
    <row r="4226">
      <c r="A4226" t="inlineStr">
        <is>
          <t>i645va</t>
        </is>
      </c>
      <c r="B4226" t="inlineStr">
        <is>
          <t>Tested Positive yesterday</t>
        </is>
      </c>
      <c r="C4226" t="inlineStr">
        <is>
          <t>Found out Thursday I needed a clean COVID test to work a Basketball camp. Got tested Friday. Found out positive today (Saturday). Previously, my wife got tested a month+ ago and was negative (for contact tracking). Daughter got tested for strep 2 weeks ago, was negative, tested her for COVID same time, also negative. How often are there false positives? What can I expect? Should I have symptoms by now? My test was an "RNA PCR" test. I have no symptoms (yet).</t>
        </is>
      </c>
      <c r="D4226" t="n">
        <v>1</v>
      </c>
      <c r="E4226" t="n">
        <v>5</v>
      </c>
      <c r="F4226">
        <f>HYPERLINK("https://www.reddit.com/r/COVID19positive/comments/i645va/tested_positive_yesterday/")</f>
        <v/>
      </c>
      <c r="G4226" t="inlineStr">
        <is>
          <t>2020-08-08 11:32:08</t>
        </is>
      </c>
      <c r="H4226" t="inlineStr">
        <is>
          <t>Tested Positive - Me</t>
        </is>
      </c>
    </row>
    <row r="4227">
      <c r="A4227" t="inlineStr">
        <is>
          <t>i654qd</t>
        </is>
      </c>
      <c r="B4227" t="inlineStr">
        <is>
          <t>Finally, they dignify the struggle - 4.5 months later</t>
        </is>
      </c>
      <c r="C4227" t="inlineStr">
        <is>
          <t>Finally, after three ER visits, two urgent care visits, GP, ENT, neurologist, infectious disease, eight cardiologist appointments, rheumatologist, immunologist, Holter monitor, brain MRI, echocardiogram, EKGs, bloodwork like a motherfucker, and a 24 hour urine test, SOMEONE FUCKING PUTS IT IN MY CHART.  
A doctor has finally dignified my long-haul experience post-covid by entering diagnosis codes in my chart.  More than they listen to patients, doctors listen to other doctors. They have to acknowledge what is there.  Because I advocated for myself nonstop, because I went in knowing my shit (she mistook me for a healthcare professional), and because I got lucky with who I saw, it is finally on the record:
Neuropathy
Dysautonomia orthostatic hypotension syndrome
Tachycardia
Post-viral disorder
Obviously I have known all this for a long time, so it seems insignificant on the surface, but it's unspeakably validating after my condition has been brushed off, implied to be anxiety, verbally acknowledged but shrugged at, and generally unseen.
In recovering from Covid, progress is built on tiny victories.  This is a tiny victory.
Keep your chin up, long-haulers.  Keep advocating for yourselves, with big dick energy.  Don't let shitty doctors break your spirit.  If they won't dignify you, don't dignify them.  Don't get sidetracked by their uselessness.  Focus on your next move.  Onward and upward ❤️</t>
        </is>
      </c>
      <c r="D4227" t="n">
        <v>1</v>
      </c>
      <c r="E4227" t="n">
        <v>117</v>
      </c>
      <c r="F4227">
        <f>HYPERLINK("https://www.reddit.com/r/COVID19positive/comments/i654qd/finally_they_dignify_the_struggle_45_months_later/")</f>
        <v/>
      </c>
      <c r="G4227" t="inlineStr">
        <is>
          <t>2020-08-08 12:26:37</t>
        </is>
      </c>
      <c r="H4227" t="inlineStr">
        <is>
          <t>Presumed Positive - From Doctor</t>
        </is>
      </c>
    </row>
    <row r="4228">
      <c r="A4228" t="inlineStr">
        <is>
          <t>i659o8</t>
        </is>
      </c>
      <c r="B4228" t="inlineStr">
        <is>
          <t>Loss of taste/smell is getting annoying...</t>
        </is>
      </c>
      <c r="C4228" t="inlineStr">
        <is>
          <t>Usually when i’m sick or feeling down i’ll have some pastries or ice cream as comfort food but now not being able to taste them is getting to me. Anyone else have this problem? How did you get over it, if you did?</t>
        </is>
      </c>
      <c r="D4228" t="n">
        <v>1</v>
      </c>
      <c r="E4228" t="n">
        <v>4</v>
      </c>
      <c r="F4228">
        <f>HYPERLINK("https://www.reddit.com/r/COVID19positive/comments/i659o8/loss_of_tastesmell_is_getting_annoying/")</f>
        <v/>
      </c>
      <c r="G4228" t="inlineStr">
        <is>
          <t>2020-08-08 12:34:41</t>
        </is>
      </c>
      <c r="H4228" t="inlineStr">
        <is>
          <t>Tested Positive</t>
        </is>
      </c>
    </row>
    <row r="4229">
      <c r="A4229" t="inlineStr">
        <is>
          <t>i66mnm</t>
        </is>
      </c>
      <c r="B4229" t="inlineStr">
        <is>
          <t>COVID positive after a wedding</t>
        </is>
      </c>
      <c r="C4229" t="inlineStr">
        <is>
          <t>Just need a place to rant.
My husband and I attending a wedding of 100 people outdoors after the government allowed gatherings outdoors. We have been super cautious since the start of this because my dad has metastatic cancer. Always wear masks, only meet people outdoor, and stick to our bubble. The wedding didn’t follow the rules. No bubbles. Lots of dancing etc etc. Families mixing. It really was not a COVID wedding. It was a regular wedding. 
We went to go get tested five after the wedding. No symptoms showing but wanted to be careful so we could see my dad. Waited five days since the median incubation period is 5-6 days. I came back negative but my husband came back positive. They can’t pin it to the wedding but seems obvious to me. Now we are self isolating for 14 days. Still no symptoms so can’t complain too much but it does suck to be trapped indoors in a 1 bedroom condo and mental anxiety of getting sick. Also he is wearing masks 24 hours of the day to not spread it to me.
I’m really pretty angry at my cousins that hosted the wedding. One sent a text saying: “Don’t blame yourself. It could happen to anyone”. Just found that so rude. Of course he doesn’t blame himself! They make it sound like it’s on him.  There is no sense of responsibility from the family - they chose to host this event and not follow guidelines! No sympathy and only a panic that he spread it to others.</t>
        </is>
      </c>
      <c r="D4229" t="n">
        <v>1</v>
      </c>
      <c r="E4229" t="n">
        <v>6</v>
      </c>
      <c r="F4229">
        <f>HYPERLINK("https://www.reddit.com/r/COVID19positive/comments/i66mnm/covid_positive_after_a_wedding/")</f>
        <v/>
      </c>
      <c r="G4229" t="inlineStr">
        <is>
          <t>2020-08-08 13:54:54</t>
        </is>
      </c>
      <c r="H4229" t="inlineStr">
        <is>
          <t>Tested Positive - Family</t>
        </is>
      </c>
    </row>
    <row r="4230">
      <c r="A4230" t="inlineStr">
        <is>
          <t>i66nnt</t>
        </is>
      </c>
      <c r="B4230" t="inlineStr">
        <is>
          <t>Sore back and chest? Positive and past symptoms but have this soreness</t>
        </is>
      </c>
      <c r="C4230" t="inlineStr">
        <is>
          <t>I (38F) was tested positive on July 19th. Had symptoms for about 1.5 weeks and have been symptom free for a full week. 
The only thing ive been feeling is sore. Just touching my back feels really sore and my chest when i move hurts (particularly on my right side) anyone had this?
Here were my symptoms: 
Sunday- headache
Monday 7/20- sneezing, winded at times.
Tues 7/21- body aches, sneezing, sore throat (like nasal drainage), cold but no fever, winded at times.
Wed 7/22 light headed, chills, temperature of 99.5, winded, sore thoat, stuffy nose. Juggling between feeling fine and feeling sick. Headache, body aches. 
Thur 7/23
Morning woke up with body aches, sore throat, hot red face, stuffy. Can't smell much. Got scence of smell back. 
Afternoon Felt better thoughout the night. A bit of insomnia.
Friday 7/24
Morning woke up feeling better than previous mornings. Really tired, back ache in the afternoon, loss scence of smell around 6pm. 
Sat 7/25
Positive for Covid. Woke up with phlegm. Back pain (right side) that goes down to butt cheek. Tylenol and heating pads help take the pain away.
Felt better overall. Completely lost sense of smell or taste.
Sun 7/26
Slept well. Woke up with pain right side. Tylenol heating pad help. Noon headache and side pain again. A little nauseous. 
Fever around 1pm from 99.9-101.3
Mon 7/27
Fever all throughout the night. Chills them sweats. No appetite. Body aches all over. Elevated heart rate due to fever. Fever went up to 102. Fever broke 8pm. 
Tues 7/28
Woke up at 3am with 102 temperature. Fever went down to 99 by 4am and started sweating. Woke up at 10am nauseous. Threw up felt like i couldn't stop throwing up. Threw up biles.
Loss of appetite. Fever on and off up to 101.5. Upset stomach, nausea.
9pm temperature was finally 98.5
Started to have taste and smell return just a tiny bit.
Wed 7/29
Woke up congested. Feels like it is stuck in my thoat. Low grade fever 100.1
Dx with possible pneumonia. (Started albuterol and agmentin) 
Fever gone. Sense of smell back about 75%, taste back about 85%, appetite returned, a little more energy than before. 
Thur 7/30
Woke up 4:30am. Dry throat, no fever, productive clear cough. No cough as of afternoon. Burning sensation from throat down to pit of my stomach. Energy back to almost normal.
Friday 7/31
Felt great but a little out of breathe in the morning. 
Saturday 8/1
Felt 99% normal! Full of energy. Was able to blean the whole house.</t>
        </is>
      </c>
      <c r="D4230" t="n">
        <v>1</v>
      </c>
      <c r="E4230" t="n">
        <v>4</v>
      </c>
      <c r="F4230">
        <f>HYPERLINK("https://www.reddit.com/r/COVID19positive/comments/i66nnt/sore_back_and_chest_positive_and_past_symptoms/")</f>
        <v/>
      </c>
      <c r="G4230" t="inlineStr">
        <is>
          <t>2020-08-08 13:56:37</t>
        </is>
      </c>
      <c r="H4230" t="inlineStr">
        <is>
          <t>Tested Positive - Me</t>
        </is>
      </c>
    </row>
    <row r="4231">
      <c r="A4231" t="inlineStr">
        <is>
          <t>i679nu</t>
        </is>
      </c>
      <c r="B4231" t="inlineStr">
        <is>
          <t>Just tested positive, help me answering a couple questions please!</t>
        </is>
      </c>
      <c r="C4231" t="inlineStr">
        <is>
          <t>I just received my test results and it came back positive. I live with my dad and he also got tested on the same day as me but his came back negative. 
1. In between the day I got tested and today (2 days) i’ve been walking around the house with no mask, my dad and I eat together, watch TV shows, ect. What are the chances of my dad having covid? 
2. I currently have a very mild sore throat but it is extremely mild, no other symptoms. If I do get other symptoms, what will come next? 
3. How long did it take for you to test negative? 
Thanks for the help.</t>
        </is>
      </c>
      <c r="D4231" t="n">
        <v>1</v>
      </c>
      <c r="E4231" t="n">
        <v>8</v>
      </c>
      <c r="F4231">
        <f>HYPERLINK("https://www.reddit.com/r/COVID19positive/comments/i679nu/just_tested_positive_help_me_answering_a_couple/")</f>
        <v/>
      </c>
      <c r="G4231" t="inlineStr">
        <is>
          <t>2020-08-08 14:32:19</t>
        </is>
      </c>
      <c r="H4231" t="inlineStr">
        <is>
          <t>Tested Positive</t>
        </is>
      </c>
    </row>
    <row r="4232">
      <c r="A4232" t="inlineStr">
        <is>
          <t>i67hrn</t>
        </is>
      </c>
      <c r="B4232" t="inlineStr">
        <is>
          <t>Did it hit you hard off the bat or build up?</t>
        </is>
      </c>
      <c r="C4232" t="inlineStr">
        <is>
          <t>Hey guys I am Covid Positive as is my fiance. We seem to have had different experiences she started with an intense fever that dwindled and shes now feeling much better. I on the other hand never took my temperature but am pretty sure I had a very slight fever and now that has gone away for a couple days. One thing I am noticing though is it seems like my cough which was previously nonexistent is maybe getting worse? As of right now we have both had extremely mild cases, Im just hoping my respiratory issues arent gradually growing. What have peoples experiences been like? Did it all hit you and then get better or did it gradually build up? Did anybody have a cough that intensified and if so for how long? Curious to hear some other stories as fever seems to be the hardest part for most people Ive talked to and fever was never really a big issue for me.</t>
        </is>
      </c>
      <c r="D4232" t="n">
        <v>1</v>
      </c>
      <c r="E4232" t="n">
        <v>21</v>
      </c>
      <c r="F4232">
        <f>HYPERLINK("https://www.reddit.com/r/COVID19positive/comments/i67hrn/did_it_hit_you_hard_off_the_bat_or_build_up/")</f>
        <v/>
      </c>
      <c r="G4232" t="inlineStr">
        <is>
          <t>2020-08-08 14:45:40</t>
        </is>
      </c>
      <c r="H4232" t="inlineStr">
        <is>
          <t>Tested Positive</t>
        </is>
      </c>
    </row>
    <row r="4233">
      <c r="A4233" t="inlineStr">
        <is>
          <t>i680j2</t>
        </is>
      </c>
      <c r="B4233" t="inlineStr">
        <is>
          <t>My 61 year old dad has been ventilated for over 3 weeks now</t>
        </is>
      </c>
      <c r="C4233" t="inlineStr">
        <is>
          <t xml:space="preserve">
He’s still on 100 percent on the ventilator and his oxygen is at 92%. There’s a PEEP number and the PEEP helps keep his lungs open. He was at 8 for awhile and his doctor has been trying to get it above that so now he’s at 10 which is good. The higher the better in his case. The highest the peep goes is 14, they want him at least 12. His blood pressure is fine. His labs were a little off his potassium was high and when it’s too high it can interfere with the heart. They’re working on getting that down. His carbon dioxide is also really high which isn’t good and they’re working on trying to get that down too with the ventilator settings. Every other organ is doing ok.  They keep telling us he’s getting worse. I know with covid there are a lot of ups Nd downs. He also has ARDS. The infection caused a lot of scar tissue in his lungs which is preventing him from healing according to the doctors. My mom Nd 5 siblings are feeling hopeless. Do any of you have any similar stories where someone you know made a turn a round?</t>
        </is>
      </c>
      <c r="D4233" t="n">
        <v>1</v>
      </c>
      <c r="E4233" t="n">
        <v>20</v>
      </c>
      <c r="F4233">
        <f>HYPERLINK("https://www.reddit.com/r/COVID19positive/comments/i680j2/my_61_year_old_dad_has_been_ventilated_for_over_3/")</f>
        <v/>
      </c>
      <c r="G4233" t="inlineStr">
        <is>
          <t>2020-08-08 15:17:13</t>
        </is>
      </c>
      <c r="H4233" t="inlineStr">
        <is>
          <t>Tested Positive - Family</t>
        </is>
      </c>
    </row>
    <row r="4234">
      <c r="A4234" t="inlineStr">
        <is>
          <t>i68kcc</t>
        </is>
      </c>
      <c r="B4234" t="inlineStr">
        <is>
          <t>Tested Positive today - 21 y/o</t>
        </is>
      </c>
      <c r="C4234" t="inlineStr">
        <is>
          <t>Hey everyone so I’m a 21 y/o male from Florida and really I first started noticing symptoms on the 6th and it progressively became more apparent that I was coming down with something . It basically followed through like this. 
8/6 - So I woke up and it felt like when you wake up after a night of sleeping in a really bad position. My back, shoulders, and neck were sore and aching. This is all I really noticed on this day and just wrote it off as a bad nights sleep.
8/7 - This is when a bunch of symptoms started to hit me through the day and I knew I should go get tested. Once again I woke up but this time the pain was even worse. It had spread to my head and I had a mild headache now. My eyes were very sore too. Whenever I look around it hurts and feels sore. Throughout the day it kind of felt like I had a really bad hangover but I wasn’t drinking the night before. I would get dizzy whenever I would walk around and it also made my headache feel even worse. Later in the evening I started to get shortness of breath and had a very weird sensation whenever I’d breathe in through my nose. It almost felt like my nose was very dry, it felt like the same pain you’d get when you get water in your nose and try to breathe in after. By night time my temp was at 100.8 and these aching pains in my body started to turn into random sharp shooting pains throughout my back, thighs, and biceps. I took 600 mg of Advil before I went to bed.
8/8 - I woke up and the aching pains and my headache weren’t as bad but still there. I’m guessing the Advil was still working. I went and got tested and the results came back within an hour that I was positive. The testing was sooooo uncomfortable omg.. it two was like 6 inch Q-Tips that went all the way up and into the back of my nose. Today I also started getting chills, cold sweats, and the shakes. I’ll go from really cold to really hot and back around within minutes. I also start sweating whenever I move around too much even if my body is freezing. There’s a weird pressure in the front of my head down to my nose. My eyes feel even more sore than before and I still feel that weird sensation whenever I breathe in through my nose. I’ve been pretty fatigued since the 7th too. Today I noticed my taste isn’t as good. I can still taste things but it’s kind of bland. And yeah that’s about it for now.
I’m self quarantined for a couple of weeks. These past few weeks though I’ve been to Walmart twice, Inside chipotle twice, and went to a few other Drive thru’s too. I think I might’ve gotten it at Walmart but I’m not sure. I try to stay pretty healthy through my diet/physical activity and have never had any conditions or illnesses before. The last time I had a cold was over 3 years ago and I’ve never had the flu either. This virus really can infect ANYONE no matter what you do, who you are, or what kind of life style you live. This is such an eye opener for me and I feel terrible for the people who are critically suffering and for those who have died, may god bless them all. 
Also I would to get some possible feed back on if anyone has any knowledge on it. I regularly smoke marijuana and have been smoking the past few days and today. I’m not sure if I should stop or not because idk if it poses serious threats so if anyone knows anything on if cannabis is dangerous for covid patients that would be more than appreciated. I can breathe fine and the shortness of breath has gotten better but I’m not sure if things will get worse before they get better.</t>
        </is>
      </c>
      <c r="D4234" t="n">
        <v>1</v>
      </c>
      <c r="E4234" t="n">
        <v>5</v>
      </c>
      <c r="F4234">
        <f>HYPERLINK("https://www.reddit.com/r/COVID19positive/comments/i68kcc/tested_positive_today_21_yo/")</f>
        <v/>
      </c>
      <c r="G4234" t="inlineStr">
        <is>
          <t>2020-08-08 15:51:40</t>
        </is>
      </c>
      <c r="H4234" t="inlineStr">
        <is>
          <t>Tested Positive - Me</t>
        </is>
      </c>
    </row>
    <row r="4235">
      <c r="A4235" t="inlineStr">
        <is>
          <t>i68zo1</t>
        </is>
      </c>
      <c r="B4235" t="inlineStr">
        <is>
          <t>Will these long term symptoms ever go away?</t>
        </is>
      </c>
      <c r="C4235" t="inlineStr">
        <is>
          <t>I’m a 24 yo male with asthma, in January I was doing a lot of jiu jitsu and a lot of people at my gym got very sick (lasting 4 weeks +) some of them tested positive for Covid 19, I was presumed positive from my doctor based on my symptoms. I got over the body aches and fever in a week but ever since being sick in January I have been dealing with other complications. I need to take Singulair every day to avoid wheezing, I have high to take beta blockers for high blood pressure, I’ve been getting heart palpitations where all of a sudden out of nowhere my heart will start beating very quickly to the point I get dizzy, my oxygen levels are in the low 90s, I can’t drink alcohol or take antihistamines or my heart rate and blood pressure skyrockets (140/100), it feels like I constantly have something stuck in my throat but am unable to cough it up, as well as heart burn and chest pains I never used to have. 6 months later, a lot of the symptoms have gotten better (specifically the heart palpitations and wheezing) but I still have a hard time dealing with all the remaining symptoms. I couldn’t drink coffee for months, I can’t workout like I used to, and I just all around feel not like myself. Is there any hope of me getting back to 100% or am I going to have to deal with these side effects forever?</t>
        </is>
      </c>
      <c r="D4235" t="n">
        <v>1</v>
      </c>
      <c r="E4235" t="n">
        <v>12</v>
      </c>
      <c r="F4235">
        <f>HYPERLINK("https://www.reddit.com/r/COVID19positive/comments/i68zo1/will_these_long_term_symptoms_ever_go_away/")</f>
        <v/>
      </c>
      <c r="G4235" t="inlineStr">
        <is>
          <t>2020-08-08 16:18:44</t>
        </is>
      </c>
      <c r="H4235" t="inlineStr">
        <is>
          <t>Presumed Positive - From Doctor</t>
        </is>
      </c>
    </row>
    <row r="4236">
      <c r="A4236" t="inlineStr">
        <is>
          <t>i692f0</t>
        </is>
      </c>
      <c r="B4236" t="inlineStr">
        <is>
          <t>My husband is in ICU since Thursday 6. The doctor said he could die.</t>
        </is>
      </c>
      <c r="C4236" t="inlineStr">
        <is>
          <t>I need your opinions or your experience about Covid.
I need your help. He was intubed yesterday.
Lots of people are praying for him.
He can't breath well.
There is not enough Oxygen in his blood.</t>
        </is>
      </c>
      <c r="D4236" t="n">
        <v>1</v>
      </c>
      <c r="E4236" t="n">
        <v>62</v>
      </c>
      <c r="F4236">
        <f>HYPERLINK("https://www.reddit.com/r/COVID19positive/comments/i692f0/my_husband_is_in_icu_since_thursday_6_the_doctor/")</f>
        <v/>
      </c>
      <c r="G4236" t="inlineStr">
        <is>
          <t>2020-08-08 16:23:28</t>
        </is>
      </c>
      <c r="H4236" t="inlineStr">
        <is>
          <t>Tested Positive - Family</t>
        </is>
      </c>
    </row>
    <row r="4237">
      <c r="A4237" t="inlineStr">
        <is>
          <t>i69y9o</t>
        </is>
      </c>
      <c r="B4237" t="inlineStr">
        <is>
          <t>Question about being asymptotic</t>
        </is>
      </c>
      <c r="C4237" t="inlineStr">
        <is>
          <t>Hello all,
I tested 4 days ago only because I wanted to be safe when visiting my dad, not bc I had any symptoms. The results came back positive today! I’m super surprised by this bc I have been very careful! However, I’m wondering, for this who were asymptotic when you got your results, did you end up developing symptoms? If so, how long after getting the results?
Also, should I assume I got infected BEFORE the day of the test, right? Any idea how long I may have been infected before getting a positive result? I should add, I had another test, showed up negative, 10 days prior to this one that came up positive.</t>
        </is>
      </c>
      <c r="D4237" t="n">
        <v>1</v>
      </c>
      <c r="E4237" t="n">
        <v>13</v>
      </c>
      <c r="F4237">
        <f>HYPERLINK("https://www.reddit.com/r/COVID19positive/comments/i69y9o/question_about_being_asymptotic/")</f>
        <v/>
      </c>
      <c r="G4237" t="inlineStr">
        <is>
          <t>2020-08-08 17:20:56</t>
        </is>
      </c>
      <c r="H4237" t="inlineStr">
        <is>
          <t>Tested Positive - Me</t>
        </is>
      </c>
    </row>
    <row r="4238">
      <c r="A4238" t="inlineStr">
        <is>
          <t>i6a2qd</t>
        </is>
      </c>
      <c r="B4238" t="inlineStr">
        <is>
          <t>Exercising after recovery?</t>
        </is>
      </c>
      <c r="C4238" t="inlineStr">
        <is>
          <t>I’m a very active, healthy, 25yo F. I trained 5-6 days a week prior to COVID. I recovered from COVID-19 2 weeks ago, I had my final negative test last Wednesday. 
I do MMA, so I train heavily in cardio work. I had been doing some cardio after I began to recover from COVID in my house and mild-strength training. I had mild symptoms, it felt like the flu but with crazy body aches. 
I went back to the gym 4 times since testing negative, but yesterday afternoon’s session left me feeling weird. I had a hard time recovering, cooling down, and catching my breath. Today, my chest feels tingly and I’m fatigued. I didn’t sleep great but also read of the passing of former college basketball player Michael Ojo, dying of a heart attack a few months post covid. I also heard about the Red Sox pitcher with myocarditis, which is proving common post-COVID. 
This freaked me out and made me question feeling so off in my chest (shortness of breath, unable to yawn, tingling). I now feel like I have something in my chest I can’t get up. Has anyone else had this?</t>
        </is>
      </c>
      <c r="D4238" t="n">
        <v>1</v>
      </c>
      <c r="E4238" t="n">
        <v>8</v>
      </c>
      <c r="F4238">
        <f>HYPERLINK("https://www.reddit.com/r/COVID19positive/comments/i6a2qd/exercising_after_recovery/")</f>
        <v/>
      </c>
      <c r="G4238" t="inlineStr">
        <is>
          <t>2020-08-08 17:29:05</t>
        </is>
      </c>
      <c r="H4238" t="inlineStr">
        <is>
          <t>Tested Positive - Me</t>
        </is>
      </c>
    </row>
    <row r="4239">
      <c r="A4239" t="inlineStr">
        <is>
          <t>i6a5uv</t>
        </is>
      </c>
      <c r="B4239" t="inlineStr">
        <is>
          <t>Help and guidance needed</t>
        </is>
      </c>
      <c r="C4239" t="inlineStr">
        <is>
          <t>Hi all,
I am a COVID infected patient. got postive on 29th last month and admitted in hospital next day. my initial symptoms were majorly throat irritation. doctors treated me. my sugar rose up. from steroids that i was given, but i was recovering. they kept it under control with insulin. initially post x ray they said d dimer was positive but after CT it came put just minor and over time that also went away. they gave blood thinner for this
on the day i was discharged i started getting tired. its been two days since then. my fever keeps going up once in a while. when fever is there i feel very uneasy. But my oxygen and pulse are normal. 97 mostly with oxygen with minimum at 96 once or twice even when I feel uneasy. doctors say this fever is expected. unless u have oxygen below 94 u don't need hospitql.
now the thing is I feel fine after I pop a paracetamol like the doctor suggested. but whenever the fever rises they said put this and I do, i feel good. sugar is also under control with below 150. doctors said only once insulin in morning before breakfast.
is it ok to have fever coming on and off like this. is it ok to put paracetamol to feel fine and relieved.</t>
        </is>
      </c>
      <c r="D4239" t="n">
        <v>1</v>
      </c>
      <c r="E4239" t="n">
        <v>6</v>
      </c>
      <c r="F4239">
        <f>HYPERLINK("https://www.reddit.com/r/COVID19positive/comments/i6a5uv/help_and_guidance_needed/")</f>
        <v/>
      </c>
      <c r="G4239" t="inlineStr">
        <is>
          <t>2020-08-08 17:34:40</t>
        </is>
      </c>
      <c r="H4239" t="inlineStr">
        <is>
          <t>Tested Positive - Me</t>
        </is>
      </c>
    </row>
    <row r="4240">
      <c r="A4240" t="inlineStr">
        <is>
          <t>i6ab30</t>
        </is>
      </c>
      <c r="B4240" t="inlineStr">
        <is>
          <t>Covid 19 deep breaths</t>
        </is>
      </c>
      <c r="C4240" t="inlineStr">
        <is>
          <t>So I was diagnosed almost two week ago now. And generally feeling back to normal. I have an occasional cough but no fever or pain or anything.
It's just occasionally throughout the day I have these urges to take deep breaths to get that filled lung feeling, which I do get most of the time. This only started after I was feeling better. 
I mowed the lawn and took a walk and am not gasping for air or feeling winded from that.
This also isn't affecting my sleep either. So I'm wondering if it's starting to just be because I'm thinking about it too much. 
Any advice?</t>
        </is>
      </c>
      <c r="D4240" t="n">
        <v>1</v>
      </c>
      <c r="E4240" t="n">
        <v>16</v>
      </c>
      <c r="F4240">
        <f>HYPERLINK("https://www.reddit.com/r/COVID19positive/comments/i6ab30/covid_19_deep_breaths/")</f>
        <v/>
      </c>
      <c r="G4240" t="inlineStr">
        <is>
          <t>2020-08-08 17:44:30</t>
        </is>
      </c>
      <c r="H4240" t="inlineStr">
        <is>
          <t>Tested Positive - Me</t>
        </is>
      </c>
    </row>
    <row r="4241">
      <c r="A4241" t="inlineStr">
        <is>
          <t>i6azgc</t>
        </is>
      </c>
      <c r="B4241" t="inlineStr">
        <is>
          <t>Kidney pain?</t>
        </is>
      </c>
      <c r="C4241" t="inlineStr">
        <is>
          <t>I tested positive 3 weeks ago and am still experiencing symptoms. About a week in, I was also diagnosed with COVID pneumonia after I started coughing up blood. A few days ago, I started noticing occasional pain in my kidneys. Has anyone else had this? I haven’t heard of it, so I’m wondering if it’s something I should be concerned about.</t>
        </is>
      </c>
      <c r="D4241" t="n">
        <v>1</v>
      </c>
      <c r="E4241" t="n">
        <v>7</v>
      </c>
      <c r="F4241">
        <f>HYPERLINK("https://www.reddit.com/r/COVID19positive/comments/i6azgc/kidney_pain/")</f>
        <v/>
      </c>
      <c r="G4241" t="inlineStr">
        <is>
          <t>2020-08-08 18:31:30</t>
        </is>
      </c>
      <c r="H4241" t="inlineStr">
        <is>
          <t>Tested Positive - Me</t>
        </is>
      </c>
    </row>
    <row r="4242">
      <c r="A4242" t="inlineStr">
        <is>
          <t>i6b7mw</t>
        </is>
      </c>
      <c r="B4242" t="inlineStr">
        <is>
          <t>Day 21 after being tested positive. Senses + fatigue</t>
        </is>
      </c>
      <c r="C4242" t="inlineStr">
        <is>
          <t>Background: 21year old very active collegiate wrestler
My senses(taste + smell) came back on day 12 to MAYBE 30% and just plateaued from then. Is there anyways to help recover the rest or just keep waiting? Also have really bad fatigue and sinus pressure still. Had mild case so don’t know how I still have all these problems. Any help or insight is appreciated. Really feeling down lately</t>
        </is>
      </c>
      <c r="D4242" t="n">
        <v>1</v>
      </c>
      <c r="E4242" t="n">
        <v>11</v>
      </c>
      <c r="F4242">
        <f>HYPERLINK("https://www.reddit.com/r/COVID19positive/comments/i6b7mw/day_21_after_being_tested_positive_senses_fatigue/")</f>
        <v/>
      </c>
      <c r="G4242" t="inlineStr">
        <is>
          <t>2020-08-08 18:47:57</t>
        </is>
      </c>
      <c r="H4242" t="inlineStr">
        <is>
          <t>Tested Positive - Me</t>
        </is>
      </c>
    </row>
    <row r="4243">
      <c r="A4243" t="inlineStr">
        <is>
          <t>i6c07h</t>
        </is>
      </c>
      <c r="B4243" t="inlineStr">
        <is>
          <t>Symptoms for moths, exposed at work. Feels like previous illness years ago. 40y/o M</t>
        </is>
      </c>
      <c r="C4243" t="inlineStr">
        <is>
          <t>Here is something weird. We had a really odd illness going around my old job site back in 2012.  People had severe runs, fever off and on for days. Heart PVC's /racing and runny nose for months.   
Someone had came back from a trip and spread whatever this was. I ended up losing 41 pounds in a month. Every test I did with every doctor turned up negative, every single one for whatever they tried to find, NOTHING.   
I originally thought I would be diagnosed with something serious and die.   
I did recover, those things went away, but I have had very odd fatigue off and on for years, trouble sleeping.  Problems with my stomach that have never went away.   
Onto current COVID situation.   
Fast forward to this year, in late Feb.  Started having something very similar to what I experienced in 2012, just more mild.  Turns out, we had been exposed to someone with covid 19  \*person tested negative for everything BUT covid, Doc told them covid based on symptoms as, at that time, test were not really all that wide spread as of yet.   
Said person from work almost ended up in hospital from breathing/temp/other issues.   
Work place sent me and other family member home due to worries about law/protocol?. Overall, people getting sick with very, what I would call, weird symptoms.   One persons nose would run, fever.  Another person would just be sick to their stomach ect.   
Me and my family member that worked there, only had weird back pain, slight fever, but horrid stomach with heart PVC/racing/not doing right.   No shortness of breath at that time.  Sometimes you get a fever ect.  
Fast forward again, from Late Feb to just 2 weeks ago. The other family member was being kept up at night feeling extremely anxious, slight SLIGHT off and on fever, body aches  \*Chest/throat/runny nose/upset stomach/PVC/racing ect\*  And then it vanishes and returns in odd, more mild ways.  
We have both been going in and out of physical/very odd exhaustion and somedays will sleep twice.  Meaning, 8 hours.. up for 4-5 hrs, back in bed.  When it hits, you can't fight it, you either go to sleep where you sit, or find somewhere more comfortable and literally drag yourself to the bed.   
Mild fever spikes usually accompany all this weirdness.   
For either of us, after this ''exposure'' eating will create an extremely tiring effect, puts you out. No matter the type of meal, or what we drink. Water/ pepsi.. name it.   
We believe our older father had it. Severe wheezing off and on, no temp.. maybe slight ?  Bad time runny nose. He goes to doctor to get blood tested after a bypass years ago, this is where we think he was exposed. He was pretty bad, stumbling but didn't end up in hospital, PCD treated him over video calls and in between blood tests, would keep up with him.  He complained of body aches and kind of a joint stiffness thing off and on.  For the record, even with his age he can still lift heavy weight and in general, they said his body/otherwise, is built like a 25 year old tank in good health.  His age for reference is 79.   
I am posting this because I think there are a lot of things out there people are experiencing in different ways, and some day people will look through reddit as an ultimate resource as to what has went down.   
My biggest takeaway from the experience is that I believe throughout this we have had different parts of this virus, at different times. Personal opinion, I am not a doctor, I don't claim my information is valid.   
Many times I have argued about posting what we all went through, and how much it felt like what I experienced in 2012. I mean.. Identical. The only strange thing about it, is watching family members /co-workers/friends.. experience it with me.    
Cause at that time, few people had those exact symptoms in the same ways that I did. Mostly 1 or the other, type of deal.  They never told us WHAT it was, but back in 2012 the person that exposed the worksite almost passed with it.   
Even had one friend/Ex-work mates ask me ''isn't this like what you said you felt back a few years ago?'' So I'm not the only one thinking it.   
Also, know people that believe they had this in December, a friend live streamed going to the hospital and sounded like a paper bag when he would breathe.. fever, body aches.  No real medical history?  
This is a very very weird illness. Not saying it's going to kill us all, and statistically it's not, thank God.</t>
        </is>
      </c>
      <c r="D4243" t="n">
        <v>1</v>
      </c>
      <c r="E4243" t="n">
        <v>4</v>
      </c>
      <c r="F4243">
        <f>HYPERLINK("https://www.reddit.com/r/COVID19positive/comments/i6c07h/symptoms_for_moths_exposed_at_work_feels_like/")</f>
        <v/>
      </c>
      <c r="G4243" t="inlineStr">
        <is>
          <t>2020-08-08 19:45:08</t>
        </is>
      </c>
      <c r="H4243" t="inlineStr">
        <is>
          <t>Presumed Positive - From Doctor</t>
        </is>
      </c>
    </row>
    <row r="4244">
      <c r="A4244" t="inlineStr">
        <is>
          <t>i6ctj6</t>
        </is>
      </c>
      <c r="B4244" t="inlineStr">
        <is>
          <t>Feeling drunk?</t>
        </is>
      </c>
      <c r="C4244" t="inlineStr">
        <is>
          <t>Anyone else have a drunken feeling from covid? It only started today, symptoms appeared a few days ago, but I can't describe it any other way than that mental delay and vertigo you get any time you move while drunk. My focus, speech, and breathing are still manageable while still so I'm not too worried; just curious if anyone else had similar symptoms?</t>
        </is>
      </c>
      <c r="D4244" t="n">
        <v>1</v>
      </c>
      <c r="E4244" t="n">
        <v>10</v>
      </c>
      <c r="F4244">
        <f>HYPERLINK("https://www.reddit.com/r/COVID19positive/comments/i6ctj6/feeling_drunk/")</f>
        <v/>
      </c>
      <c r="G4244" t="inlineStr">
        <is>
          <t>2020-08-08 20:46:07</t>
        </is>
      </c>
      <c r="H4244" t="inlineStr">
        <is>
          <t>Presumed Positive - From Doctor</t>
        </is>
      </c>
    </row>
    <row r="4245">
      <c r="A4245" t="inlineStr">
        <is>
          <t>i6dcx3</t>
        </is>
      </c>
      <c r="B4245" t="inlineStr">
        <is>
          <t>Day 26 in the ICU</t>
        </is>
      </c>
      <c r="C4245" t="inlineStr">
        <is>
          <t>I made a post a few weeks ago about my dad. Since then he’s had a pneumothorax and we were told he wouldn’t survive it if he had one and he did thankfully. He’s still in the icu and it’s been day 26 since he’s been on a ventilator with a paralytic. Yesterday they took him off the paralytic to see if he would continue to breathe with the ventilator and unfortunately he started breathing against and had to be put back on the it. We were told that he took a step back when trying to wean him off the paralytic because they had to move his ventilator settings back up to 100% when before he was at around 80%. His doctors have said that this is the longest time one of their patients has been on paralytic due to covid. They took a CT scan and the brain scan came back normal, his oxygen saturation is 92, blood pressure is okay, and all of his other organs are fine it’s just his lungs that are severely effected. My family doesn’t want to give up hope. The doctors have ran out options, my father has been given remdesivir, dexamethasone, 3 plasma transfusions and it’s awful because now we just have to wait to see if his lungs will heal by themselves. Has anyone had to deal with someone being on a vent for this long while being on a paralytic? We don’t want to give up on my dad.</t>
        </is>
      </c>
      <c r="D4245" t="n">
        <v>1</v>
      </c>
      <c r="E4245" t="n">
        <v>7</v>
      </c>
      <c r="F4245">
        <f>HYPERLINK("https://www.reddit.com/r/COVID19positive/comments/i6dcx3/day_26_in_the_icu/")</f>
        <v/>
      </c>
      <c r="G4245" t="inlineStr">
        <is>
          <t>2020-08-08 21:27:36</t>
        </is>
      </c>
      <c r="H4245" t="inlineStr">
        <is>
          <t>Tested Positive - Family</t>
        </is>
      </c>
    </row>
    <row r="4246">
      <c r="A4246" t="inlineStr">
        <is>
          <t>i6dsdm</t>
        </is>
      </c>
      <c r="B4246" t="inlineStr">
        <is>
          <t>Where to isolate?</t>
        </is>
      </c>
      <c r="C4246" t="inlineStr">
        <is>
          <t>Test positive. Went on a tangent earlier and got awesome advice. Wanted to know how people are quaranting. Can't go back to my apa because I don't want to further risk my family from contracting it. Wanted to know if any one has ideas to isolate. One friend got an airbnb but I know that can burn through cash quick and I have little to none. 
Any suggestions?</t>
        </is>
      </c>
      <c r="D4246" t="n">
        <v>1</v>
      </c>
      <c r="E4246" t="n">
        <v>6</v>
      </c>
      <c r="F4246">
        <f>HYPERLINK("https://www.reddit.com/r/COVID19positive/comments/i6dsdm/where_to_isolate/")</f>
        <v/>
      </c>
      <c r="G4246" t="inlineStr">
        <is>
          <t>2020-08-08 22:02:26</t>
        </is>
      </c>
      <c r="H4246" t="inlineStr">
        <is>
          <t>Tested Positive - Me</t>
        </is>
      </c>
    </row>
    <row r="4247">
      <c r="A4247" t="inlineStr">
        <is>
          <t>i6fx5q</t>
        </is>
      </c>
      <c r="B4247" t="inlineStr">
        <is>
          <t>Quite positive that I got sick from my dental appointment.</t>
        </is>
      </c>
      <c r="C4247" t="inlineStr">
        <is>
          <t>Hey everyone! 
I’ve been lurking for a few days and really just need to get this off my mind. 
To preface, I have been very strict about staying in and away from crowds. Two weeks ago I went to the dentist for a cracked filling that was infected and causing me pain. I have been putting off all non-essential appointments, but really needed to get this dental issue taken care of. I was assured by many friends and family via text, whom had visited their dentists during this time, that strict precautions were being taken. My dental office stated on their website that they were following the American Dental Association and CDC guidelines. When I got there and was seated in the room, the hygienist came in to prep. I noticed that she was only wearing a surgical mask, and that surgical mask was below her nose. She must have realized I was staring at her nose because she pulled it up after talking to me for approximately 5-8 minutes. The dentist also just had a surgical mask on, which surprised me. The same hygienists mask kept falling below her nose the entire procedure, which bothered me.   
DAY 1: Fast forward about a week later and I wake up in the middle of the night with a dry shallow cough. My SO just got back that day (a few hours prior to going to bed) from an EM medical rotation that was in Florida (the irony lol), so I know it wasn’t him. I fell back asleep and a few hours later I woke up with an unusual sensation in my chest. It felt cold and tingly. I was unable to take a full breath, which is what really started to trigger some worry. 
DAY 2-3: The next day, the cough and chest stayed the same. However, I had began developing terrible muscle aches throughout the day, which began dissipating after 48 hours. My SO listened to my lungs and heard wheezing, but this disappeared 48 hours post symptom onset. I also began experiencing some pretty bad tachycardia at this point. 
DAY4+:Since then, I am still unable to take a full breath as it triggers that dry shallow cough and an uncomfortable feeling in my . When in a general resting position, I feel that similar cold/tickle-like feeling in my throat/chest, almost like a bronchitis. I am still experiencing bouts of lethargy and just an overall “blah” feeling. Additionally, I am still tachy. 
I have not been febrile, at all. I experienced a loss of appetite the first 2 days, but now feel it is basically back to normal. 
I am awaiting a test result, as I was tested 5 days ago through CVS. I am hoping to get that result on Monday. 
 I know these symptoms are mild compared to what some others are experiencing. I was just curious as to if anyone else has been experiencing anything similar and/or heard of any issues from dental encounters. 
Thanks for taking the time to read this. I really appreciate it. Wishing you all peace and health.</t>
        </is>
      </c>
      <c r="D4247" t="n">
        <v>1</v>
      </c>
      <c r="E4247" t="n">
        <v>9</v>
      </c>
      <c r="F4247">
        <f>HYPERLINK("https://www.reddit.com/r/COVID19positive/comments/i6fx5q/quite_positive_that_i_got_sick_from_my_dental/")</f>
        <v/>
      </c>
      <c r="G4247" t="inlineStr">
        <is>
          <t>2020-08-09 01:20:27</t>
        </is>
      </c>
      <c r="H4247" t="inlineStr">
        <is>
          <t>Presumed Positive - From Test</t>
        </is>
      </c>
    </row>
    <row r="4248">
      <c r="A4248" t="inlineStr">
        <is>
          <t>i6iltv</t>
        </is>
      </c>
      <c r="B4248" t="inlineStr">
        <is>
          <t>My 96 year old grandmother tested positive.</t>
        </is>
      </c>
      <c r="C4248" t="inlineStr">
        <is>
          <t>I got a message from my mom this morning that my grandma, who is in a long term care facility, has tested positive for COVID. The facility had been careful. We haven’t been able to see her since March because they have disallowed visitors to reduce the chance of spread. 
A staff member brought it in. I had a friend tell me that she’s seen long term healthcare workers in my grandmas small community not wearing masks/social distancing in public. Honestly, I’m fucking pissed. I’m scared. I’m angry at people who think this is all a hoax or that it’s their right to not wear a mask and infect other people. 
Currently, my grandma is asymptomatic and my hope is it stays that way. 
I don’t need anything in particular. I just needed to get it off my chest.</t>
        </is>
      </c>
      <c r="D4248" t="n">
        <v>1</v>
      </c>
      <c r="E4248" t="n">
        <v>69</v>
      </c>
      <c r="F4248">
        <f>HYPERLINK("https://www.reddit.com/r/COVID19positive/comments/i6iltv/my_96_year_old_grandmother_tested_positive/")</f>
        <v/>
      </c>
      <c r="G4248" t="inlineStr">
        <is>
          <t>2020-08-09 05:34:54</t>
        </is>
      </c>
      <c r="H4248" t="inlineStr">
        <is>
          <t>Tested Positive - Family</t>
        </is>
      </c>
    </row>
    <row r="4249">
      <c r="A4249" t="inlineStr">
        <is>
          <t>i6iwsq</t>
        </is>
      </c>
      <c r="B4249" t="inlineStr">
        <is>
          <t>Wife presumed positive; test results should come Monday</t>
        </is>
      </c>
      <c r="C4249" t="inlineStr">
        <is>
          <t>Wife developed a dry cough Wed night and no appetite.  By Thu early morning she felt like she had been hit by a bus.  Exhaustion, chills, and difficulty breathing.  She describes it as “hitting a wall” as she tries to inhale deeply.  Gastro stuff too which is pretty common.  
Took her to UC and she was tested.  They did a throat swab (surprised me because I’ve always heard that nasal was the most common way).  Said we’d get results on Monday, but doctor strongly suspects CV.  Prescribed a course of antibiotics and cough medication, and also gave her an injected steroid. 
The last three days has been difficult for her, she can’t keep any food down, vomiting is really an issue.  Hasn’t wanted a meal since Wed lunch.  Can’t even keep down white bread. 
O2 levels are OK via pulse oxi; 97 with lows at 95.  It has only been 3.5 days since severe symptoms appeared.  Hasn’t gotten worse but not any better.  Hoping for the best and expecting positive test results tomorrow.</t>
        </is>
      </c>
      <c r="D4249" t="n">
        <v>1</v>
      </c>
      <c r="E4249" t="n">
        <v>5</v>
      </c>
      <c r="F4249">
        <f>HYPERLINK("https://www.reddit.com/r/COVID19positive/comments/i6iwsq/wife_presumed_positive_test_results_should_come/")</f>
        <v/>
      </c>
      <c r="G4249" t="inlineStr">
        <is>
          <t>2020-08-09 05:58:44</t>
        </is>
      </c>
      <c r="H4249" t="inlineStr">
        <is>
          <t>Presumed Positive - From Doctor</t>
        </is>
      </c>
    </row>
    <row r="4250">
      <c r="A4250" t="inlineStr">
        <is>
          <t>i6ixc0</t>
        </is>
      </c>
      <c r="B4250" t="inlineStr">
        <is>
          <t>Morning headaches? + my experience</t>
        </is>
      </c>
      <c r="C4250" t="inlineStr">
        <is>
          <t>A little about me first... 26M, in good physical health, exercise almost daily prior to this experience. Only known heath problem is Hashimoto’s thyroiditis which I like to think I have under control lol.  
Date of exposure 7/30
8/1 - start feeling a fatigued like feeling. Assumed I didn’t sleep well. 
8/2 - about the same as the day before. More tired than usual but can still do things. 
8/3 - I woke up very nauseous. Bad diarrhea. Like constant streams of yellow/clear liquid. Had this all throughout the day. 
8/4 - more of the same explosive volcanic diarrhea. like all day long. led to some dehydration &amp;amp; pounding headaches which led to some vomiting. Woo. 
8/5 - bring on the diarrhea. it was happening too frequently to where I decided to go to the ER &amp;amp; get covid tested &amp;amp; some fluids back in me. Doctor presumed I was positive based off my experience I described to her &amp;amp; when she saw me shitting every 5 minutes :’) she wanted to do chest xray &amp;amp; ekg Bc I explained some chest tightness but that could have very well been due to anxiety. Xray was clear, ekg was fine, and my oxygen was about a 100 the whole time.
Prescribed me zolfran for the nausea &amp;amp; recommended Imodium for the diarrhea.
IMODIUM WORKED WONDERS.  IDK HOW but it absolutely ceased my diarrhea that I thought would literally never end. 
8-6  - woke up with a pounding/hangover like headache. General fatigue feeling throughout the day. 
8-7 - another pounding headache/nauseous in the morning. Poop was kinda normal again. Lol sorry 
8-8 - worst of the morning headaches yet. Felt like my head was being smashed in from both sides. Lasted from like 8am to 5pm. Would not go away even after taking medicine for it. Fatigue feeling most of the day &amp;amp; some deep muscle soreness in my upper back, near shoulders &amp;amp; trap muscles.
8-9 - another morning headache. Not as bad as yesterday but definitely bothering me. Feel fatigued 
I also should mention I’ve been sleeping terribly. Even when I feel exhausted it seems I cannot get to sleep. I’ve tried NyQuil &amp;amp; Melatonin both haven’t helped unfortunately. Nose has been stuffed up the entire time yet I can still smell/taste. 
Is anybody else experiencing these headaches specifically in the morning? If so what are you taking for them &amp;amp; have you found a way to avoid them? I’ll feel fine at night &amp;amp; then wake up feeling like someone stacked a pile of bricks on my head. 
Anyways this is my “presumed” experience so far. &amp;amp; I think I can deem it a mild one thus far assuming Mr. Rona doesn’t decide to kick my ass in the following weeks. Thanks for reading &amp;amp; to all those struggling with annoying symptoms I truly hope you feel better &amp;amp; beat it!</t>
        </is>
      </c>
      <c r="D4250" t="n">
        <v>1</v>
      </c>
      <c r="E4250" t="n">
        <v>18</v>
      </c>
      <c r="F4250">
        <f>HYPERLINK("https://www.reddit.com/r/COVID19positive/comments/i6ixc0/morning_headaches_my_experience/")</f>
        <v/>
      </c>
      <c r="G4250" t="inlineStr">
        <is>
          <t>2020-08-09 05:59:48</t>
        </is>
      </c>
      <c r="H4250" t="inlineStr">
        <is>
          <t>Presumed Positive - From Doctor</t>
        </is>
      </c>
    </row>
    <row r="4251">
      <c r="A4251" t="inlineStr">
        <is>
          <t>i6ks4m</t>
        </is>
      </c>
      <c r="B4251" t="inlineStr">
        <is>
          <t>Nose burning sensation</t>
        </is>
      </c>
      <c r="C4251" t="inlineStr">
        <is>
          <t>I’m awaiting test results. It feels like someone stuck a jalapeño up my nose. When will that feeling go away?
Here are some other symptoms:
-chills/hot flashes
-nausea 
-sinus pressure
-runny nose/congestion
-fatigue 
-killer headache (worst in my life)
-99.6 highest temp (but my thermometer broke and haven’t been able to take my temp the last few days) 
My symptoms started with a runny nose on August 3rd.</t>
        </is>
      </c>
      <c r="D4251" t="n">
        <v>1</v>
      </c>
      <c r="E4251" t="n">
        <v>9</v>
      </c>
      <c r="F4251">
        <f>HYPERLINK("https://www.reddit.com/r/COVID19positive/comments/i6ks4m/nose_burning_sensation/")</f>
        <v/>
      </c>
      <c r="G4251" t="inlineStr">
        <is>
          <t>2020-08-09 08:03:31</t>
        </is>
      </c>
      <c r="H4251" t="inlineStr">
        <is>
          <t>Presumed Positive - From Doctor</t>
        </is>
      </c>
    </row>
    <row r="4252">
      <c r="A4252" t="inlineStr">
        <is>
          <t>i6kwix</t>
        </is>
      </c>
      <c r="B4252" t="inlineStr">
        <is>
          <t>Husband tested positive</t>
        </is>
      </c>
      <c r="C4252" t="inlineStr">
        <is>
          <t>Hi! My 35m husband tested positive for Covid 6 days ago, although it took four days for us to be notified. We think he probably started being contagious about 11-12 days ago, and started showing symptoms 9 days ago. He had four days of “bad allergies” (sneezing and runny nose), and then has been completely asymptomatic for the last five days. He started isolating in our house 3 days ago.
Thank G-d, no one else has any symptoms. Until 7 days ago, we were with my parents (mid60s) and my brother (23), and they all seem fine. I tested negative on his fifth day of symptoms, and we’re waiting to hear back on our kids’ tests tomorrow.
I was really starting to feel calmer since it’s been so long since our initial exposure to him, but I just double checked the guidelines and it says that the kids and I are in quarantine from our LAST exposure to him (3 days ago), rather than his first day of symptoms.
I don’t mind the quarantine to keep others safe, but this has made my panic and anxiety tear up again. Is it likely that we could have caught it from him so late in his illness after being around him constantly for all the time before?? I have an anxiety disorder and counting up to 9 days from his first symptom has in itself been super anxiety provoking. Now my count has been knocked down to day 3 and our lack of symptoms and my negative test seem like they don’t matter.
Could anyone share their experiences with prolonged family exposure? If you caught it, was it at the very end of their sickness?? Did anyone have a family member who tested positive, but didn’t infect the rest of the family?
Thanks so much!!!</t>
        </is>
      </c>
      <c r="D4252" t="n">
        <v>1</v>
      </c>
      <c r="E4252" t="n">
        <v>13</v>
      </c>
      <c r="F4252">
        <f>HYPERLINK("https://www.reddit.com/r/COVID19positive/comments/i6kwix/husband_tested_positive/")</f>
        <v/>
      </c>
      <c r="G4252" t="inlineStr">
        <is>
          <t>2020-08-09 08:10:51</t>
        </is>
      </c>
      <c r="H4252" t="inlineStr">
        <is>
          <t>Tested Positive - Family</t>
        </is>
      </c>
    </row>
    <row r="4253">
      <c r="A4253" t="inlineStr">
        <is>
          <t>i6lltm</t>
        </is>
      </c>
      <c r="B4253" t="inlineStr">
        <is>
          <t>A log of daily symptoms to help others</t>
        </is>
      </c>
      <c r="C4253" t="inlineStr">
        <is>
          <t>In mid July we went on a family camping trip, we kept to ourselves and social distanced from others. We wore a mask everywhere. At the end of the trip my sisters family joined us from a trip to the Wisconsin Dells. My brother in law was getting a headache, but he gets migraines so we didn’t think much of it. That weekend my son rode home with them and had a sleep over with my sister. That next week, my BIL got sick, he called it a head cold. He recovered and never got tested. Then my 13 year started to show symptoms. I called the doctor and asked if he should get tested, and the dr said probably not, so he wasn’t tested.
The next week (July 28) my 15 year got sick. Sore throat, head cold symptoms, aches and chills. I took him to the doctor and he was diagnosed with double ear infections and sinus infection. We went home with antibiotics and steroids. This wasn’t out of the ordinary since my son gets these infections about every 6 months.
On July 31, I had a sore throat. That night I woke up with an awful headache like I had a migraine (I don’t get migraines). I also had the chills and cycled through them what felt like every 5 minutes. I finally took enough Tylenol and Advil to pass out for a few hours.  I felt sick all last weekend and the sore throat kept getting worse. I went to the doctor on August 3. I also had a sinus infection and ear infection (not unheard of for me). But the dr decided to test me because she said we never cared about what virus makes us sick until now. So I had the nose swab. I felt miserable all week. The sore throat subsided, but the headache was constant. I only had a fever the first night, but it came back on night 8. I started to get the chills and checked my temp. It was only 99.6ish. So I went to bed. I was tired every day and I couldn’t understand why I wasn’t getting better. Then on Friday, August 7, the dr called me to tell me I tested positive. I was already a week in, so she told me to just stay home rest and drink fluids. I also have to quarantine for 10 days after my test date. My husband woke up with a fever that same day, so he is a presumed positive. He isn’t having a lot of symptoms, just a pain in his side. 
I’m now on day 10. Yesterday I felt awful, tired, foggy, but the coughing was less. Today was the first day I didn’t wake up with a headache. But my chest hurts and I am a little out of breath if I move around.
I don’t think I lost my smell and taste, but I haven’t had an appetite for a week. Food does taste different, I can’t tell if that’s from the antibiotics that I am taking for my ear infection. 
Feel free to ask me anything. This is a scary illness and I have scoured the internet for more information. Just hearing other stories has helped me and I hope that I can help others.</t>
        </is>
      </c>
      <c r="D4253" t="n">
        <v>1</v>
      </c>
      <c r="E4253" t="n">
        <v>13</v>
      </c>
      <c r="F4253">
        <f>HYPERLINK("https://www.reddit.com/r/COVID19positive/comments/i6lltm/a_log_of_daily_symptoms_to_help_others/")</f>
        <v/>
      </c>
      <c r="G4253" t="inlineStr">
        <is>
          <t>2020-08-09 08:53:57</t>
        </is>
      </c>
      <c r="H4253" t="inlineStr">
        <is>
          <t>Tested Positive - Me</t>
        </is>
      </c>
    </row>
    <row r="4254">
      <c r="A4254" t="inlineStr">
        <is>
          <t>i6lmj8</t>
        </is>
      </c>
      <c r="B4254" t="inlineStr">
        <is>
          <t>Negative partner - why do we have to quarantine from each other?</t>
        </is>
      </c>
      <c r="C4254" t="inlineStr">
        <is>
          <t>So I’m honestly not trying to be argumentative and we have followed directions but this doesn’t make any logical sense to me and I would like really to understand. I started feeling sick last Tuesday, got tested Thursday, tested positive last Friday and same day I got hospitalized. My partner and I live together In a one bedroom apartment. While I’m in the hospital, he tests. I come back from the hospital, and we are quarantined away from each other. Which makes sense. He hears back he’s negative and As of Friday I am told I am no longer needing to quarantine. It’s been 10 days since I started feeling sick. I asked if I needed to retest and they said no. 
Now they said he has to continue quarantining from others until next Friday, which would have been 14 days from the last time we were together, in each other last faces. Makes sense. What doesn’t make sense is why he has to isolate from me from me for another week. Maybe I’m missing something? Appreciate any responses.</t>
        </is>
      </c>
      <c r="D4254" t="n">
        <v>1</v>
      </c>
      <c r="E4254" t="n">
        <v>4</v>
      </c>
      <c r="F4254">
        <f>HYPERLINK("https://www.reddit.com/r/COVID19positive/comments/i6lmj8/negative_partner_why_do_we_have_to_quarantine/")</f>
        <v/>
      </c>
      <c r="G4254" t="inlineStr">
        <is>
          <t>2020-08-09 08:55:03</t>
        </is>
      </c>
      <c r="H4254" t="inlineStr">
        <is>
          <t>Tested Positive - Me</t>
        </is>
      </c>
    </row>
    <row r="4255">
      <c r="A4255" t="inlineStr">
        <is>
          <t>i6m3bf</t>
        </is>
      </c>
      <c r="B4255" t="inlineStr">
        <is>
          <t>Asymptomatic and mild symptom people, how long did it take to test negative?</t>
        </is>
      </c>
      <c r="C4255" t="inlineStr">
        <is>
          <t>My girlfriend, a 23 year old healthy female, tested positive from a test July 20. She just took a test August 3 and it is still positive. She had about three days of nasal congestion, loss of smell, and a tickle in her throat last week. She is reporting no other symptoms for about 5 days now. She took another test August 7. 
How long did it take for those who are now negative to test negative? How did you care for yourself</t>
        </is>
      </c>
      <c r="D4255" t="n">
        <v>1</v>
      </c>
      <c r="E4255" t="n">
        <v>6</v>
      </c>
      <c r="F4255">
        <f>HYPERLINK("https://www.reddit.com/r/COVID19positive/comments/i6m3bf/asymptomatic_and_mild_symptom_people_how_long_did/")</f>
        <v/>
      </c>
      <c r="G4255" t="inlineStr">
        <is>
          <t>2020-08-09 09:22:46</t>
        </is>
      </c>
      <c r="H4255" t="inlineStr">
        <is>
          <t>Tested Positive - Friends</t>
        </is>
      </c>
    </row>
    <row r="4256">
      <c r="A4256" t="inlineStr">
        <is>
          <t>i6nvot</t>
        </is>
      </c>
      <c r="B4256" t="inlineStr">
        <is>
          <t>Lung capacity seemingly decimated</t>
        </is>
      </c>
      <c r="C4256" t="inlineStr">
        <is>
          <t>Hey everyone,
I'm working off of the assumption I has covid in late March (UK), which was an illness that went hard for a few days (fever, muscle and joint pain, cough, sweating) and then lingered as a (presumed) covid cough for a few weeks after.
I first noticed breathlessness when going to the shops in a mask and assumed it was not the mask per se but the stress of shopping, a sort of subconscious holding of the breath in the shop.
But the longer this has gone on the more I feel breathless in general life. Never feel like I've got a full breath in me, because of that every now and then (but quite regularly) feel like I need a deep deep breath.
And none of this is mentioning the fatigue (which I assume is linked to oxygen levels?)
Yesterday and today I've felt atrocious, really like I've been holding my breath even. Not gasping but needing to regularly stop for deep breaths. I had a bath and you'd think I'd run a marathon.
You hear little stories on the news now and then about slow recoveries but I feel like this should be absolutely huge. This is as much the story as the deaths. Nobody I know who has had it or thinks they've had it feels 100% recovered yet. If you told me my lung capacity had lost a quarter or a third that would sound about right to me.
Are we just going to have a generation of people with limited health? It makes you wonder if there's gonna be spikes in diabetes from kidney damage or in heart attacks from heart damage. They're not being honest about the extent of this at all to try and salvage economies.
I'd love to be wrong about this, but it really doesn't feel like it.
For those in a similar situation, have you started trying anything to increase/repair lung capacity? I remember reading the harmonica is good for increasing lung capacity of COPD patients.
What are others thinking about this?</t>
        </is>
      </c>
      <c r="D4256" t="n">
        <v>1</v>
      </c>
      <c r="E4256" t="n">
        <v>10</v>
      </c>
      <c r="F4256">
        <f>HYPERLINK("https://www.reddit.com/r/COVID19positive/comments/i6nvot/lung_capacity_seemingly_decimated/")</f>
        <v/>
      </c>
      <c r="G4256" t="inlineStr">
        <is>
          <t>2020-08-09 11:04:32</t>
        </is>
      </c>
      <c r="H4256" t="inlineStr">
        <is>
          <t>Presumed Positive - From Doctor</t>
        </is>
      </c>
    </row>
    <row r="4257">
      <c r="A4257" t="inlineStr">
        <is>
          <t>i6o3fr</t>
        </is>
      </c>
      <c r="B4257" t="inlineStr">
        <is>
          <t>Anyone gone back to playing sport? I’m getting bad chest pains?</t>
        </is>
      </c>
      <c r="C4257" t="inlineStr">
        <is>
          <t>Hi,
I had corona virus a couple of months ago, mainly felt it in my lungs, I’ve recently gone back to sport and I’m getting some pretty bad chest pains. I’m slightly scared and considering calling a doc. After reading all the stuff about heart and lung damage.
Anyone had similar experience? 
Thanks</t>
        </is>
      </c>
      <c r="D4257" t="n">
        <v>1</v>
      </c>
      <c r="E4257" t="n">
        <v>24</v>
      </c>
      <c r="F4257">
        <f>HYPERLINK("https://www.reddit.com/r/COVID19positive/comments/i6o3fr/anyone_gone_back_to_playing_sport_im_getting_bad/")</f>
        <v/>
      </c>
      <c r="G4257" t="inlineStr">
        <is>
          <t>2020-08-09 11:16:14</t>
        </is>
      </c>
      <c r="H4257" t="inlineStr">
        <is>
          <t>Presumed Positive - From Doctor</t>
        </is>
      </c>
    </row>
    <row r="4258">
      <c r="A4258" t="inlineStr">
        <is>
          <t>i6o3oo</t>
        </is>
      </c>
      <c r="B4258" t="inlineStr">
        <is>
          <t>Tested Positive Today - Kind of in Shock</t>
        </is>
      </c>
      <c r="C4258" t="inlineStr">
        <is>
          <t>32 male, have 1 preexisting condition that is controlled with a medication. I was tested on Friday and was told results would take 4-7.  I knew when I got the call today that it couldn't be good.  I was informed I tested positive. I'm in shock because I was taking it seriously and taking precautions and do not know anyone else who has had it.  I can't for sure tell but I'm assuming I got it at work.  A lot of my coworkers do not take mask wearing or social distancing seriously and just last week someone made fun of me for wearing my mask at my desk.  
My symptoms I guess started Friday (same day I was tested), but I had a weird episode last Wednesday night where out of nowhere I felt like I was drunk.  Extreme dizziness and vomiting and just felt completely out of it. I woke up Thursday feeling normal and even did a cardio workout Thursday afternoon. 
I woke up Friday with a sore throat, congestion, fatigue, and felt warm but I wasn't running a fever.  I suffer from chronic allergic rhinitis but something felt different so I got tested Friday afternoon.   I started feeling better Friday early evening but as the night when on I progressively got worse.  My temperature was slightly elevated (99.4), from my usual 98.6 body temperature. I slept horrible Friday night and had restless sleep.  Yesterday morning I felt better, but still felt sick so I thought maybe it was just a cold.  As the day went on I got worse and worse and extreme fatigue and body chills started early evening.  I was in bed by 8, but woke up at 3 drenched in sweat.  My temperature was reading 102.4 my and my pulse ox was 96 (usually is 98-99). My heart rate was very troubling as it was 140.  
This morning my temperature decreased to 101 and my heart rate has been anywhere from 101-125 - this is all resting, which is very concerning to me. My pulse ox levels are back to normal at 98-99.  My symptoms are much worse than they were Friday and Saturday as my sore throat is more painful and my fatigue and dizziness have increased.
I thought I would just post my covid history up to this point.  I'm guessing this is day 3 of symptoms. Overall it feels like the flu.  I've not had any respiratory issues and i'm praying I do not.  Has anyone else experienced an elevated heart rate? If there are tips or advice you want to share that helped you recover I would be very grateful.</t>
        </is>
      </c>
      <c r="D4258" t="n">
        <v>1</v>
      </c>
      <c r="E4258" t="n">
        <v>8</v>
      </c>
      <c r="F4258">
        <f>HYPERLINK("https://www.reddit.com/r/COVID19positive/comments/i6o3oo/tested_positive_today_kind_of_in_shock/")</f>
        <v/>
      </c>
      <c r="G4258" t="inlineStr">
        <is>
          <t>2020-08-09 11:16:38</t>
        </is>
      </c>
      <c r="H4258" t="inlineStr">
        <is>
          <t>Tested Positive - Me</t>
        </is>
      </c>
    </row>
    <row r="4259">
      <c r="A4259" t="inlineStr">
        <is>
          <t>i6onq5</t>
        </is>
      </c>
      <c r="B4259" t="inlineStr">
        <is>
          <t>Anyone else with nuss bars in chest, or with preexisting lung problems test positive?</t>
        </is>
      </c>
      <c r="C4259" t="inlineStr">
        <is>
          <t>Anyone else with nuss bars catch Covid?
It hasn’t been confirmed yet and I’ll be getting my results by the end of tomorrow, but it started about a month ago.  All of a sudden I couldn’t get out of bed.  Not because I felt sick, but physically could not get up.  It was like something was wrong with my bars.  I thought they were coming loose.  I went to the ER, they did X-rays, and the doctor said he didn’t have anything to compare the test results to (because I had the surgery in another state), and so he couldn’t help me.  I went home and a few days later I was back to normal.  Fast forward to 11 days ago, it happened again but so much worse.  I knew for sure my bars were loose and that they were going to flip.  I was having muscle spasms where the braces are with pain that is indescribable. I couldn’t move. I would have to wrap myself in a blanket (which took forever) and focus on my breathing until the spasms stopped.  It lasted almost two hours the first time.  I went to a different emergency room a few hours later in a heart hospital, and they ran the ekg and X-ray which turned out fine, but the CTscan showed my lungs filling up with fluid. They said I had pneumonia and sent me home with a zpack.  I had to sleep sitting up for a 5 days because I still physically could not sit up from bed but then I FELT BETTER.. until the night before last.  It happened again. I ended up in the er again yesterday and said that all signs point to Covid, quarantine. I woke up an hour ago in the worst pain I’ve been in since I had the surgeries.  The muscle spasms happening on my braces are, again, indescribable.  I could hardly stand from my chair, walk, or even get to the bathroom.  Finally after wrapping myself with a blanket I was able to sit down, breathe, and type this. If anyone else with Nuss bars is going through this I want you to know Iiterally feel your pain.   
^ I typed this up this morning in another subreddit, but I was curious if anyone who tested positive had these symptoms?  I can hardly move today.  My whole right sight is completely tense and will spasm if I move the wrong way leaving me immobilized.   
Nuss bars are titanium bars used in a corrective surgery for people with Pectus Excavatum, AKA an inverted sternum.</t>
        </is>
      </c>
      <c r="D4259" t="n">
        <v>1</v>
      </c>
      <c r="E4259" t="n">
        <v>2</v>
      </c>
      <c r="F4259">
        <f>HYPERLINK("https://www.reddit.com/r/COVID19positive/comments/i6onq5/anyone_else_with_nuss_bars_in_chest_or_with/")</f>
        <v/>
      </c>
      <c r="G4259" t="inlineStr">
        <is>
          <t>2020-08-09 11:47:14</t>
        </is>
      </c>
      <c r="H4259" t="inlineStr">
        <is>
          <t>Presumed Positive - From Doctor</t>
        </is>
      </c>
    </row>
    <row r="4260">
      <c r="A4260" t="inlineStr">
        <is>
          <t>i6ps9l</t>
        </is>
      </c>
      <c r="B4260" t="inlineStr">
        <is>
          <t>I had COVID &amp;amp; recovered. After doing some light cardio, my cough came back with a vengeance. Anyone else experience this?</t>
        </is>
      </c>
      <c r="C4260" t="inlineStr">
        <is>
          <t>I tested positive on 7/6. Quarantined for 10 days and was symptom free. A few days ago I got on the treadmill and started coughing mildly as I worked out. That’s just gotten worse and worse and now I have a terrible cough.
This same exact thing happened in November after I had pneumonia. I recovered seemingly fully, then worked out and my cough returned (though not for so long as this time).
I’m just wondering if anyone else had experienced this. I’m wondering if I should get some imaging of my lungs done in case there’s some damage. Thanks in advance!</t>
        </is>
      </c>
      <c r="D4260" t="n">
        <v>1</v>
      </c>
      <c r="E4260" t="n">
        <v>8</v>
      </c>
      <c r="F4260">
        <f>HYPERLINK("https://www.reddit.com/r/COVID19positive/comments/i6ps9l/i_had_covid_recovered_after_doing_some_light/")</f>
        <v/>
      </c>
      <c r="G4260" t="inlineStr">
        <is>
          <t>2020-08-09 12:48:10</t>
        </is>
      </c>
      <c r="H4260" t="inlineStr">
        <is>
          <t>Tested Positive - Me</t>
        </is>
      </c>
    </row>
    <row r="4261">
      <c r="A4261" t="inlineStr">
        <is>
          <t>i6q1p0</t>
        </is>
      </c>
      <c r="B4261" t="inlineStr">
        <is>
          <t>Headaches weeks after recovery</t>
        </is>
      </c>
      <c r="C4261" t="inlineStr">
        <is>
          <t>my mom and i both recovered from covid 2 weeks ago but i continue to have headaches and fatigue almost daily. 
my mom is 47 and she continues to still get chills, shortness of breath, headaches, and barely gets any sleep. 
anyone around my mom’s age know how they dealt with their headaches? she has been off of work for a month now and she wants to go back but the covid after effects are just too much for her.
hope everyone here is doing well, wishing you all a speedy recovery.</t>
        </is>
      </c>
      <c r="D4261" t="n">
        <v>1</v>
      </c>
      <c r="E4261" t="n">
        <v>4</v>
      </c>
      <c r="F4261">
        <f>HYPERLINK("https://www.reddit.com/r/COVID19positive/comments/i6q1p0/headaches_weeks_after_recovery/")</f>
        <v/>
      </c>
      <c r="G4261" t="inlineStr">
        <is>
          <t>2020-08-09 13:02:03</t>
        </is>
      </c>
      <c r="H4261" t="inlineStr">
        <is>
          <t>Tested Positive - Me</t>
        </is>
      </c>
    </row>
    <row r="4262">
      <c r="A4262" t="inlineStr">
        <is>
          <t>i6sbqj</t>
        </is>
      </c>
      <c r="B4262" t="inlineStr">
        <is>
          <t>Post Covid feelings and symptoms.</t>
        </is>
      </c>
      <c r="C4262" t="inlineStr">
        <is>
          <t>Hello all, I tested positive on April 12th and idk if I’m a long hauler but after the first two weeks I felt fine just had SOB since I isolated myself to a room so little to no excersice. Anywho when I got a month postcovid I felt alright just dealing with anxiety from it scared of getting it again. Now almost 4 months post covid I’ve dealt with real bad headaches/migraines, really bad phlegm after I eat, random confusion, dizziness and burning in throat. I got tested again and came back negative. I’m just wondering if anyone has dealt with this post covid? Also my anxiety is offf the roof! Idk what to do.</t>
        </is>
      </c>
      <c r="D4262" t="n">
        <v>1</v>
      </c>
      <c r="E4262" t="n">
        <v>12</v>
      </c>
      <c r="F4262">
        <f>HYPERLINK("https://www.reddit.com/r/COVID19positive/comments/i6sbqj/post_covid_feelings_and_symptoms/")</f>
        <v/>
      </c>
      <c r="G4262" t="inlineStr">
        <is>
          <t>2020-08-09 15:11:21</t>
        </is>
      </c>
      <c r="H4262" t="inlineStr">
        <is>
          <t>Tested Positive - Me</t>
        </is>
      </c>
    </row>
    <row r="4263">
      <c r="A4263" t="inlineStr">
        <is>
          <t>i6sd37</t>
        </is>
      </c>
      <c r="B4263" t="inlineStr">
        <is>
          <t>Any advice</t>
        </is>
      </c>
      <c r="C4263" t="inlineStr">
        <is>
          <t>A couple days ago I tested positive for the corona virus.  Does anyone know if for the two week span I will be allowed to apply for and receive unemployment.  I work 40 plus hours a week, as a agency employee.  But yeah I can't leave my house.</t>
        </is>
      </c>
      <c r="D4263" t="n">
        <v>1</v>
      </c>
      <c r="E4263" t="n">
        <v>5</v>
      </c>
      <c r="F4263">
        <f>HYPERLINK("https://www.reddit.com/r/COVID19positive/comments/i6sd37/any_advice/")</f>
        <v/>
      </c>
      <c r="G4263" t="inlineStr">
        <is>
          <t>2020-08-09 15:13:31</t>
        </is>
      </c>
      <c r="H4263" t="inlineStr">
        <is>
          <t>Tested Positive - Me</t>
        </is>
      </c>
    </row>
    <row r="4264">
      <c r="A4264" t="inlineStr">
        <is>
          <t>i6sq3y</t>
        </is>
      </c>
      <c r="B4264" t="inlineStr">
        <is>
          <t>Positive</t>
        </is>
      </c>
      <c r="C4264" t="inlineStr">
        <is>
          <t>I am a CNA before were permitted to enter the facility,  the nurse takes our temp. No temp means were covid-19 free. Well thats bull. I took the test not because I was feeling sick, but because its the law. I have yet to have a fever. Today my temperature was 96.4 .  There needs to be a better way to protect our elderly at facilities, from us infected healthcare workers.  I don't want to spread this.  I have underline problems myself.  This can kill me. 
I don't know when to expect the harsher symptoms.  I'll update my will tonight.  What else can I do.</t>
        </is>
      </c>
      <c r="D4264" t="n">
        <v>1</v>
      </c>
      <c r="E4264" t="n">
        <v>8</v>
      </c>
      <c r="F4264">
        <f>HYPERLINK("https://www.reddit.com/r/COVID19positive/comments/i6sq3y/positive/")</f>
        <v/>
      </c>
      <c r="G4264" t="inlineStr">
        <is>
          <t>2020-08-09 15:35:01</t>
        </is>
      </c>
      <c r="H4264" t="inlineStr">
        <is>
          <t>Tested Positive - Me</t>
        </is>
      </c>
    </row>
    <row r="4265">
      <c r="A4265" t="inlineStr">
        <is>
          <t>i6uau6</t>
        </is>
      </c>
      <c r="B4265" t="inlineStr">
        <is>
          <t>Question about spreading back and forth?</t>
        </is>
      </c>
      <c r="C4265" t="inlineStr">
        <is>
          <t>One of my roommates and I tested positive about two weeks ago. Our other roommate tested negative, and we have yet an other roommate who is supposed to arrive in a week. I have a question about spread, does anyone know if it’s possible for us to spread it back and forth? Meaning I have it, recover, but another roommate gets it, spreads it back to me or someone else, they recover, but gets it again from another roommate? So can we just be spreading it back and forth for months?</t>
        </is>
      </c>
      <c r="D4265" t="n">
        <v>1</v>
      </c>
      <c r="E4265" t="n">
        <v>21</v>
      </c>
      <c r="F4265">
        <f>HYPERLINK("https://www.reddit.com/r/COVID19positive/comments/i6uau6/question_about_spreading_back_and_forth/")</f>
        <v/>
      </c>
      <c r="G4265" t="inlineStr">
        <is>
          <t>2020-08-09 17:10:29</t>
        </is>
      </c>
      <c r="H4265" t="inlineStr">
        <is>
          <t>Tested Positive</t>
        </is>
      </c>
    </row>
    <row r="4266">
      <c r="A4266" t="inlineStr">
        <is>
          <t>i6v1ct</t>
        </is>
      </c>
      <c r="B4266" t="inlineStr">
        <is>
          <t>Iron/metallic taste in my mouth, shortness of breath, lots of mucus in my throat</t>
        </is>
      </c>
      <c r="C4266" t="inlineStr">
        <is>
          <t>Everyone else in my family (5 out of 6) tested positive but my results came in negative 4 days ago. I got a feeling this wasn't a very accurate test, are these symptoms? We are all staying in the same house.</t>
        </is>
      </c>
      <c r="D4266" t="n">
        <v>1</v>
      </c>
      <c r="E4266" t="n">
        <v>5</v>
      </c>
      <c r="F4266">
        <f>HYPERLINK("https://www.reddit.com/r/COVID19positive/comments/i6v1ct/ironmetallic_taste_in_my_mouth_shortness_of/")</f>
        <v/>
      </c>
      <c r="G4266" t="inlineStr">
        <is>
          <t>2020-08-09 17:57:12</t>
        </is>
      </c>
      <c r="H4266" t="inlineStr">
        <is>
          <t>Tested Positive - Family</t>
        </is>
      </c>
    </row>
    <row r="4267">
      <c r="A4267" t="inlineStr">
        <is>
          <t>i6v8o9</t>
        </is>
      </c>
      <c r="B4267" t="inlineStr">
        <is>
          <t>Holy crap I can taste in HD!!</t>
        </is>
      </c>
      <c r="C4267" t="inlineStr">
        <is>
          <t>After months of confusion and slightly more dulling and tasteless foods all of a sudden I can taste in HD!! I can taste like I used to! Every slight little nuance and undertone is back on my tongue! Funny thing is I didn't even know it was gone until I got it back! Although I always secretly told myself food didn't taste quiet as good as it used to even months after corona, anybody here have something similar??</t>
        </is>
      </c>
      <c r="D4267" t="n">
        <v>1</v>
      </c>
      <c r="E4267" t="n">
        <v>66</v>
      </c>
      <c r="F4267">
        <f>HYPERLINK("https://www.reddit.com/r/COVID19positive/comments/i6v8o9/holy_crap_i_can_taste_in_hd/")</f>
        <v/>
      </c>
      <c r="G4267" t="inlineStr">
        <is>
          <t>2020-08-09 18:09:58</t>
        </is>
      </c>
      <c r="H4267" t="inlineStr">
        <is>
          <t>Tested Positive - Me</t>
        </is>
      </c>
    </row>
    <row r="4268">
      <c r="A4268" t="inlineStr">
        <is>
          <t>i6w0fr</t>
        </is>
      </c>
      <c r="B4268" t="inlineStr">
        <is>
          <t>Extreme head pressure when upright</t>
        </is>
      </c>
      <c r="C4268" t="inlineStr">
        <is>
          <t>Hi.  I got what I think is coronavirus back in January.  Ever since then I’ve been having odd symptoms
January (post flu)
-fatigue
-slight vertigo
Then things got crazy:
February
-vertigo (room was spinning for 2 weeks!)
-dizziness
-nausea
After vertigo I developed:
-head pressure (feels like my brain is being squeezed)
-stomach issues (tested positive for H Pylor!!) 
-post nasal drip (I can literally feel something at the back of my throat and nose
-thick white mucus from nose
-heart palpitations 
From February to April I couldn’t get out of bed without feeling like I was going to pass out.  My head felt heavy and I felt drunk (like I was walking on a boat)
Now what’s crazy is some days were better than others.  There were times were I even forgot of my symptoms.  I was able to go back to running and slight weight lifting.
But then, just this pass week I developed the extreme head pressure again! But like 10x worse
And it only happens why I am upright.  Feels like a squeezing sensation across my temples and head/nose (almost feels like a tension headache).
Idk why this is happening when just last week I could run a mile.
Has anyone had similar symptoms? I originally thought I had an ear infection or some type of sinusitis.
But that doesn’t explain the head pressure...this has led me down a dark road where I feel like I have 1. Dysautonomia 2. Pots 3. CSF leak 4. CFS/ME 5. Anxiety
I feel like I’m in the ballpark but still struggling for answers.
What’s my next step? I have a brain MRI tomorrow and I hope I have more answers on why I’m having this extreme head pressure when walking around.
The only concrete evidence I have is the thick white mucus.
Any thoughts? 
5’8 
Male
180 lbs</t>
        </is>
      </c>
      <c r="D4268" t="n">
        <v>1</v>
      </c>
      <c r="E4268" t="n">
        <v>43</v>
      </c>
      <c r="F4268">
        <f>HYPERLINK("https://www.reddit.com/r/COVID19positive/comments/i6w0fr/extreme_head_pressure_when_upright/")</f>
        <v/>
      </c>
      <c r="G4268" t="inlineStr">
        <is>
          <t>2020-08-09 18:59:44</t>
        </is>
      </c>
      <c r="H4268" t="inlineStr">
        <is>
          <t>Presumed Positive - From Doctor</t>
        </is>
      </c>
    </row>
    <row r="4269">
      <c r="A4269" t="inlineStr">
        <is>
          <t>i6xqq0</t>
        </is>
      </c>
      <c r="B4269" t="inlineStr">
        <is>
          <t>Laughing and talking are killing me!</t>
        </is>
      </c>
      <c r="C4269" t="inlineStr">
        <is>
          <t>I'm a long hauler, tested positive in April, and I've had mild to moderate, but persistent symptoms ever since. I'm definitely *nearly* all better, but I've hovering at 98% for a few weeks now, unable to get over the last hump.
Something that really seems to trigger my chest pain again is  laughing! We watched a funny movie the other night and I was laughing my ass off, with no problems during the movie, but the next morning my whole upper resp system was swollen and painful like it hasn't been in weeks. It's like there's a clamp on my bronchial tract from my trachia to my larynx. If I find myself talking a lot throughout a day I have a similar problem.
I mean I know the answer - rest and wait and stfu as much as possible. But has anybody else been having this? I searched for laughing and talking issues but didn't come across it being discussed.</t>
        </is>
      </c>
      <c r="D4269" t="n">
        <v>1</v>
      </c>
      <c r="E4269" t="n">
        <v>6</v>
      </c>
      <c r="F4269">
        <f>HYPERLINK("https://www.reddit.com/r/COVID19positive/comments/i6xqq0/laughing_and_talking_are_killing_me/")</f>
        <v/>
      </c>
      <c r="G4269" t="inlineStr">
        <is>
          <t>2020-08-09 20:56:00</t>
        </is>
      </c>
      <c r="H4269" t="inlineStr">
        <is>
          <t>Tested Positive - Me</t>
        </is>
      </c>
    </row>
    <row r="4270">
      <c r="A4270" t="inlineStr">
        <is>
          <t>i6y3hl</t>
        </is>
      </c>
      <c r="B4270" t="inlineStr">
        <is>
          <t>How do you all deal with the anxiety and loneliness?</t>
        </is>
      </c>
      <c r="C4270" t="inlineStr">
        <is>
          <t>I (21F) just tested positive and I’m very anxious and scared. I have 2 preexisting conditions but otherwise I’m fairly healthy. I got tested as a precaution and have only had mild symptoms today. I felt a little fatigued, some gastrointestinal discomfort and a little difficulty breathing. 
I’m not sure if the breathing issues are from anxiety  or COVID, but thinking about it scares me more. I live alone and will be quarantining alone, which makes my anxiety terrible. I’m scared if i get seriously ill, no one will be here to help me or get me help. It’s also just lonely. How are you all dealing with this?</t>
        </is>
      </c>
      <c r="D4270" t="n">
        <v>1</v>
      </c>
      <c r="E4270" t="n">
        <v>13</v>
      </c>
      <c r="F4270">
        <f>HYPERLINK("https://www.reddit.com/r/COVID19positive/comments/i6y3hl/how_do_you_all_deal_with_the_anxiety_and/")</f>
        <v/>
      </c>
      <c r="G4270" t="inlineStr">
        <is>
          <t>2020-08-09 21:21:25</t>
        </is>
      </c>
      <c r="H4270" t="inlineStr">
        <is>
          <t>Tested Positive</t>
        </is>
      </c>
    </row>
    <row r="4271">
      <c r="A4271" t="inlineStr">
        <is>
          <t>i6y89c</t>
        </is>
      </c>
      <c r="B4271" t="inlineStr">
        <is>
          <t>Anyone aware of having gotten a false positive test?</t>
        </is>
      </c>
      <c r="C4271" t="inlineStr">
        <is>
          <t>I live in New York City and I got my antibody test back today - positive! I'm shocked -- I've been carefully quarantined with a few mild exceptions since early/mid-March, though I have roommates. Weirdly, my live-in partner tested negative.
I'm wondering if my result might be a false positive, and I'm thinking of getting another test this week. I'm still waiting for the results of the nasal swab test for active covid, have to wait for that first.</t>
        </is>
      </c>
      <c r="D4271" t="n">
        <v>1</v>
      </c>
      <c r="E4271" t="n">
        <v>10</v>
      </c>
      <c r="F4271">
        <f>HYPERLINK("https://www.reddit.com/r/COVID19positive/comments/i6y89c/anyone_aware_of_having_gotten_a_false_positive/")</f>
        <v/>
      </c>
      <c r="G4271" t="inlineStr">
        <is>
          <t>2020-08-09 21:31:06</t>
        </is>
      </c>
      <c r="H4271" t="inlineStr">
        <is>
          <t>Tested Positive - Me</t>
        </is>
      </c>
    </row>
    <row r="4272">
      <c r="A4272" t="inlineStr">
        <is>
          <t>i717uv</t>
        </is>
      </c>
      <c r="B4272" t="inlineStr">
        <is>
          <t>I made a sub for people who have psychological problems etc after covid. r/postcovidpsychology</t>
        </is>
      </c>
      <c r="C4272" t="inlineStr">
        <is>
          <t>Plz no ban im tryinna help people vent their problems in a shared place &amp;gt;.&amp;gt;
Flair is tested positive cause.. i was positive before..? No usable flairs</t>
        </is>
      </c>
      <c r="D4272" t="n">
        <v>1</v>
      </c>
      <c r="E4272" t="n">
        <v>2</v>
      </c>
      <c r="F4272">
        <f>HYPERLINK("https://www.reddit.com/r/COVID19positive/comments/i717uv/i_made_a_sub_for_people_who_have_psychological/")</f>
        <v/>
      </c>
      <c r="G4272" t="inlineStr">
        <is>
          <t>2020-08-10 01:46:57</t>
        </is>
      </c>
      <c r="H4272" t="inlineStr">
        <is>
          <t>Tested Positive</t>
        </is>
      </c>
    </row>
    <row r="4273">
      <c r="A4273" t="inlineStr">
        <is>
          <t>i71ur8</t>
        </is>
      </c>
      <c r="B4273" t="inlineStr">
        <is>
          <t>For long-haulers with dysautonomia/POTS : do you exercise even on days when resting HR is high?</t>
        </is>
      </c>
      <c r="C4273" t="inlineStr">
        <is>
          <t>My girlfriend is on her 5th month of COVID-19 recovery and it looks like she's got some form of dysautonomia, POTS more precisely. Exercises are recommended for this, but we're wondering whether she should be exercising even when her *resting* heart rate is high. She's pretty much bedridden, so the only exercises she's able to do are just some restorative yoga and mild strength exercises.</t>
        </is>
      </c>
      <c r="D4273" t="n">
        <v>1</v>
      </c>
      <c r="E4273" t="n">
        <v>13</v>
      </c>
      <c r="F4273">
        <f>HYPERLINK("https://www.reddit.com/r/COVID19positive/comments/i71ur8/for_longhaulers_with_dysautonomiapots_do_you/")</f>
        <v/>
      </c>
      <c r="G4273" t="inlineStr">
        <is>
          <t>2020-08-10 02:45:11</t>
        </is>
      </c>
      <c r="H4273" t="inlineStr">
        <is>
          <t>Tested Positive</t>
        </is>
      </c>
    </row>
    <row r="4274">
      <c r="A4274" t="inlineStr">
        <is>
          <t>i726rw</t>
        </is>
      </c>
      <c r="B4274" t="inlineStr">
        <is>
          <t>I feel suicidal, not cause i hate life, i hate being in pain, i cant take it anymore</t>
        </is>
      </c>
      <c r="C4274" t="inlineStr">
        <is>
          <t>Im 13 and half weeks in, ive had so many symptoms that would take to long to list, multiple er visits, i thought i was seeing slight improvement but now ive gone drastically down hill again, symtoms are as bad as when i first caught this again now, i cant go on, its brutal, and i live alone being left to fend for myself, im also type  1 diabetic, how can i look after myself when this ill with no help, i bedridden again</t>
        </is>
      </c>
      <c r="D4274" t="n">
        <v>1</v>
      </c>
      <c r="E4274" t="n">
        <v>85</v>
      </c>
      <c r="F4274">
        <f>HYPERLINK("https://www.reddit.com/r/COVID19positive/comments/i726rw/i_feel_suicidal_not_cause_i_hate_life_i_hate/")</f>
        <v/>
      </c>
      <c r="G4274" t="inlineStr">
        <is>
          <t>2020-08-10 03:14:20</t>
        </is>
      </c>
      <c r="H4274" t="inlineStr">
        <is>
          <t>Tested Positive</t>
        </is>
      </c>
    </row>
    <row r="4275">
      <c r="A4275" t="inlineStr">
        <is>
          <t>i73l2v</t>
        </is>
      </c>
      <c r="B4275" t="inlineStr">
        <is>
          <t>I went to the dentist, feel overly paranoid that I caught the virus, and want to get this off my chest</t>
        </is>
      </c>
      <c r="C4275" t="inlineStr">
        <is>
          <t>I went 4 days ago to the dentist (emergency) in Canada.  I felt so naked for 1.5 hours being maskless and having my mouth literally open.  They have a fancy machine to suck patient's air out of the room, they all had n95 masks on, and the dentist had a face shield.  Even with all this I'm just overly paranoid and I swear my brain is developing psychosomatic covid symptoms.  I keep swallowing just to test if I have a sore throat.  If I sense any discomfort doing this, I freak out.  I keep getting a weird sense of happiness if I can smell or taste things.  I keep holding my breathe for 10 seconds to test if my lungs are impacted.  This virus has just made me insane.  I guess I get to be paranoid for 10 more days.</t>
        </is>
      </c>
      <c r="D4275" t="n">
        <v>1</v>
      </c>
      <c r="E4275" t="n">
        <v>26</v>
      </c>
      <c r="F4275">
        <f>HYPERLINK("https://www.reddit.com/r/COVID19positive/comments/i73l2v/i_went_to_the_dentist_feel_overly_paranoid_that_i/")</f>
        <v/>
      </c>
      <c r="G4275" t="inlineStr">
        <is>
          <t>2020-08-10 05:06:05</t>
        </is>
      </c>
      <c r="H4275" t="inlineStr">
        <is>
          <t>Presumed Positive - From Test</t>
        </is>
      </c>
    </row>
    <row r="4276">
      <c r="A4276" t="inlineStr">
        <is>
          <t>i73ogg</t>
        </is>
      </c>
      <c r="B4276" t="inlineStr">
        <is>
          <t>Inconsistent Symptoms</t>
        </is>
      </c>
      <c r="C4276" t="inlineStr">
        <is>
          <t>I just wanted to share my experience so others who are going through the same thing can understand they are not crazy or alone. 
I tested positive, test was done as a precautionary due to potential exposure. My symptoms have not been consistent in the sense that all accounts I’ve heard of or read about consisted of feeling bad for however many days, all the time. My symptoms wax and wane. I will feel several symptoms for most of the day and then they go away, leading me to believe things are getting better. Then the cycle repeats. I mentioned this to a relative that reassured me that they had friends that tested positive with that same experience. 
This is for anyone that’s going through the same thing thinking they are losing their minds.</t>
        </is>
      </c>
      <c r="D4276" t="n">
        <v>1</v>
      </c>
      <c r="E4276" t="n">
        <v>16</v>
      </c>
      <c r="F4276">
        <f>HYPERLINK("https://www.reddit.com/r/COVID19positive/comments/i73ogg/inconsistent_symptoms/")</f>
        <v/>
      </c>
      <c r="G4276" t="inlineStr">
        <is>
          <t>2020-08-10 05:12:29</t>
        </is>
      </c>
      <c r="H4276" t="inlineStr">
        <is>
          <t>Tested Positive - Me</t>
        </is>
      </c>
    </row>
    <row r="4277">
      <c r="A4277" t="inlineStr">
        <is>
          <t>i75cix</t>
        </is>
      </c>
      <c r="B4277" t="inlineStr">
        <is>
          <t>Headache</t>
        </is>
      </c>
      <c r="C4277" t="inlineStr">
        <is>
          <t>How do you guys deal with the headache? I tested positive last Thursday and have need at home since. The big problem I have are the wicked headaches. I also have sore throat. Any thoughts on how to get over this? I have beer takes Tylenol that helps a bit. Thanks for the advice.</t>
        </is>
      </c>
      <c r="D4277" t="n">
        <v>1</v>
      </c>
      <c r="E4277" t="n">
        <v>10</v>
      </c>
      <c r="F4277">
        <f>HYPERLINK("https://www.reddit.com/r/COVID19positive/comments/i75cix/headache/")</f>
        <v/>
      </c>
      <c r="G4277" t="inlineStr">
        <is>
          <t>2020-08-10 07:01:07</t>
        </is>
      </c>
      <c r="H4277" t="inlineStr">
        <is>
          <t>Tested Positive - Me</t>
        </is>
      </c>
    </row>
    <row r="4278">
      <c r="A4278" t="inlineStr">
        <is>
          <t>i77em4</t>
        </is>
      </c>
      <c r="B4278" t="inlineStr">
        <is>
          <t>Positive test</t>
        </is>
      </c>
      <c r="C4278" t="inlineStr">
        <is>
          <t>Hello, I have a question does anyone know what does “out of range” and “abnormal” mean on a positive Covid test?</t>
        </is>
      </c>
      <c r="D4278" t="n">
        <v>1</v>
      </c>
      <c r="E4278" t="n">
        <v>4</v>
      </c>
      <c r="F4278">
        <f>HYPERLINK("https://www.reddit.com/r/COVID19positive/comments/i77em4/positive_test/")</f>
        <v/>
      </c>
      <c r="G4278" t="inlineStr">
        <is>
          <t>2020-08-10 08:53:02</t>
        </is>
      </c>
      <c r="H4278" t="inlineStr">
        <is>
          <t>Tested Positive</t>
        </is>
      </c>
    </row>
    <row r="4279">
      <c r="A4279" t="inlineStr">
        <is>
          <t>i79n2y</t>
        </is>
      </c>
      <c r="B4279" t="inlineStr">
        <is>
          <t>Covid-19: a very slippery slope</t>
        </is>
      </c>
      <c r="C4279" t="inlineStr">
        <is>
          <t>I've posted about my experience with Covid before, but I think I should be upfront about what it's actually done to me in the space of just 3 months:
May: initial infection, lasted for 2 weeks. Considered to be a mild case, but there was a very bad period of about 6 days where I had to go to hospital.
June: had a bad bout of post viral fatigue. Symptoms of the initial infection came and went on a day to day basis.
July: One symptom in particular kept returning - bladder pain and urine frequency. Suspected bladder infection so recommended antibiotics. Held off as long as I could as I don't like antibiotics but in the end I thought I had no choice as it wasn't getting better so I gave in and then the next disaster happened.
August: began the month free of the bladder infection but developed severe diarrhea and collapsed after few days. Admitted to hospital and after a battery of tests discovered I had contracted C diff from the antibiotic. Now I'm on an even stronger antibiotic to try to kill it off. Returned home after a week in the hospital but now I feel weak, isolated and very scared because it seems the C diff has damaged my colon and I may need surgery if it doesn't heal.
I'm wondering what's next. No one seems to understand the long-term implications of this disease but in my case it's only gotten worse. There needs to be more research done into the effects it has on mild cases and plans of action on how to prevent further complications.</t>
        </is>
      </c>
      <c r="D4279" t="n">
        <v>1</v>
      </c>
      <c r="E4279" t="n">
        <v>4</v>
      </c>
      <c r="F4279">
        <f>HYPERLINK("https://www.reddit.com/r/COVID19positive/comments/i79n2y/covid19_a_very_slippery_slope/")</f>
        <v/>
      </c>
      <c r="G4279" t="inlineStr">
        <is>
          <t>2020-08-10 10:47:11</t>
        </is>
      </c>
      <c r="H4279" t="inlineStr">
        <is>
          <t>Tested Positive - Me</t>
        </is>
      </c>
    </row>
    <row r="4280">
      <c r="A4280" t="inlineStr">
        <is>
          <t>i79qph</t>
        </is>
      </c>
      <c r="B4280" t="inlineStr">
        <is>
          <t>My experience - finally beat covid</t>
        </is>
      </c>
      <c r="C4280" t="inlineStr">
        <is>
          <t>I got my test results back after my 3rd attempt at a negative test and it looks like it’s finally over, no Covid in my system. My experience (28 F) below:
I came in contact with infected person June 14th. Started showing symptoms June 15th and tested positive June 17th. It started with mildly sore muscles and a runny nose, and for a couple of weeks it just felt like a head cold.
After a while my nostrils started burning and I lost my sense of smell for about a month and a half. Next I lost my sense of taste for about a day, though not completely. Breathlessness followed for less than a day and some sneezing started happening too.
2 weeks in and I’m feeling much better. I started becoming more active again and thought it was over. I tested at this point and came back as positive still. Then the coughing started and I felt very weak again. Slight burn in my chest and what felt like a big bubble in my chest. Dry cough came after that and it hasn’t completely gone away since. I started taking zinc and bought an oxymeter but oxygen levels were normal.
2 more weeks and I’m starting to get better again, test again but still positive. Continue to take it easy and rest a lot. Cough is still constant but no other symptoms. Test again after a while and come back as “inconclusive”
Fast forward to now, no symptoms except the cough. Sense of smell is almost completely back. I test again and Covid cannot be detected in my body, and i am cleared to go back into the office (yay?). 
What I think helped me get through was LOTS OF SLEEP AND WATER. I always felt better after sleeping and constantly drinking water made me feel better over all. Vitamins might have helped, but the only improvements I notice were from rest and water.
I drank several gallons of water a day and slept most of the day through for 3 weeks. I have been working from home all this time so I have found ways to make it seems like I worked while I was actually asleep(sorry...). I also stayed away from caffeine and avoided heavy exercise so that could’ve helped too.
I never got anyone infected, not even my fiancé with whom I live with. As soon as I found out I had it, I wore a mask around the house and used a separate bathroom and he never got it (he tested negative). Out of all the people I know that have it, I had it the worse, mainly because it lasted so long. 
I believe that as long as you take care of yourself and take this virus seriously, you can recover. Don’t be frightened by the news and try to keep a positive mind set. Also, give yourself as much time as possible to fight the virus, everyone reacts differently to it so don’t over exert yourself.
Thanks everyone for all your help through this. I’ll be happy to answer any questions for the community.</t>
        </is>
      </c>
      <c r="D4280" t="n">
        <v>1</v>
      </c>
      <c r="E4280" t="n">
        <v>46</v>
      </c>
      <c r="F4280">
        <f>HYPERLINK("https://www.reddit.com/r/COVID19positive/comments/i79qph/my_experience_finally_beat_covid/")</f>
        <v/>
      </c>
      <c r="G4280" t="inlineStr">
        <is>
          <t>2020-08-10 10:52:18</t>
        </is>
      </c>
      <c r="H4280" t="inlineStr">
        <is>
          <t>Tested Positive - Me</t>
        </is>
      </c>
    </row>
    <row r="4281">
      <c r="A4281" t="inlineStr">
        <is>
          <t>i7a7lb</t>
        </is>
      </c>
      <c r="B4281" t="inlineStr">
        <is>
          <t>Tested positive 20 days ago</t>
        </is>
      </c>
      <c r="C4281" t="inlineStr">
        <is>
          <t>I tested positive 20 days ago. I had had symptoms 6 days before that. I think my case has been mostly mild no hospital visits or anything. The cdc cleared me to rejoin the rest of the public after my 10 day quarantine. I’m in the military and they followed suit. I was told that as long as I completed my 10 days and went 3 days with no fever I was good to go. I asked about my fatigue, chest tightness and brain fog and they said I was good. I had gotten tested after my 10 days and it came back positive. I’m conflicted on how I feel about being back at work. I still feel really crappy but none of the typical symptoms they are interested in. When am I going to feel better? I haven’t had a fever in quite some time but today had an elevated temp, they said it was fine. My fever never got over 99.9 anyway. I just want to be normal again and Im worried they don’t actually know if I’m contagious.</t>
        </is>
      </c>
      <c r="D4281" t="n">
        <v>1</v>
      </c>
      <c r="E4281" t="n">
        <v>5</v>
      </c>
      <c r="F4281">
        <f>HYPERLINK("https://www.reddit.com/r/COVID19positive/comments/i7a7lb/tested_positive_20_days_ago/")</f>
        <v/>
      </c>
      <c r="G4281" t="inlineStr">
        <is>
          <t>2020-08-10 11:15:09</t>
        </is>
      </c>
      <c r="H4281" t="inlineStr">
        <is>
          <t>Tested Positive - Me</t>
        </is>
      </c>
    </row>
    <row r="4282">
      <c r="A4282" t="inlineStr">
        <is>
          <t>i7ar90</t>
        </is>
      </c>
      <c r="B4282" t="inlineStr">
        <is>
          <t>Antibodies negative WTF</t>
        </is>
      </c>
      <c r="C4282" t="inlineStr">
        <is>
          <t>I’m trying not to become unglued but I was just sick for like four months. The doctor said there’s a lot of false negatives and false positives and you know that the test isn’t worth a whole lot but. I know what I went through if I didn’t have it what the heck did I have? It seems so impossible that I didn’t have it. I live with a man who works in a in a hospital who I have to nag to wash his hands and thinks it’s a hoax. I had SOB. Tachycardia for no reason. Fatigue. Muscle aches. The reflux everyone talks about. Neurological symptoms. I couldn’t walk more than a block for a month. Brain fog. The drceven said I looked bad. I had low O2 (93-94, mine is always 99 or 100).
Why can’t I just have a positive antibody test? Now what? Do I take it again? This is frustrating.</t>
        </is>
      </c>
      <c r="D4282" t="n">
        <v>1</v>
      </c>
      <c r="E4282" t="n">
        <v>20</v>
      </c>
      <c r="F4282">
        <f>HYPERLINK("https://www.reddit.com/r/COVID19positive/comments/i7ar90/antibodies_negative_wtf/")</f>
        <v/>
      </c>
      <c r="G4282" t="inlineStr">
        <is>
          <t>2020-08-10 11:42:24</t>
        </is>
      </c>
      <c r="H4282" t="inlineStr">
        <is>
          <t>Presumed Positive - From Doctor</t>
        </is>
      </c>
    </row>
    <row r="4283">
      <c r="A4283" t="inlineStr">
        <is>
          <t>i7ba6y</t>
        </is>
      </c>
      <c r="B4283" t="inlineStr">
        <is>
          <t>Neurological symptoms Day 116</t>
        </is>
      </c>
      <c r="C4283" t="inlineStr">
        <is>
          <t>Currently on day 116 from developing symptoms. Most of my symptoms were pretty mild to say the least. This past week however, Ive started dealing with neurological symptoms. I’ve been having severe anxiety, panic attacks and brain fog. My question is can this be caused by brain inflammation? Why am I just barely getting these symptoms after this whole time</t>
        </is>
      </c>
      <c r="D4283" t="n">
        <v>1</v>
      </c>
      <c r="E4283" t="n">
        <v>4</v>
      </c>
      <c r="F4283">
        <f>HYPERLINK("https://www.reddit.com/r/COVID19positive/comments/i7ba6y/neurological_symptoms_day_116/")</f>
        <v/>
      </c>
      <c r="G4283" t="inlineStr">
        <is>
          <t>2020-08-10 12:08:43</t>
        </is>
      </c>
      <c r="H4283" t="inlineStr">
        <is>
          <t>Tested Positive</t>
        </is>
      </c>
    </row>
    <row r="4284">
      <c r="A4284" t="inlineStr">
        <is>
          <t>i7ca17</t>
        </is>
      </c>
      <c r="B4284" t="inlineStr">
        <is>
          <t>Tested positive July 30th, tested negative August 6th - My personal experience to recovery</t>
        </is>
      </c>
      <c r="C4284" t="inlineStr">
        <is>
          <t>Hi all, posting my \[30F\] experience for reference and to give a little hope to those on the road to recovery. I was lucky enough to have only experienced mild symptoms. The worst was probably the first 2 days, which I wrote off as fatigue from spending a weekend camping, swimming, and hiking in Yosemite (the most active I've been all year). I took zinc, vitamin c, and vitamin d and drank a shit ton of ginger lemon tea. Days 1-5 I stayed in bed out of paranoia, though I was fine overall. I avoided any strenuous exercise and showed no true signs of fever or flu, my symptoms only lasted 11 days.
Here were my symptoms by day:
Day 1 **-** Fatigue (wrote this off as a migraine, eyes were sore and I only felt good when I showered), headache, sore muscles
Day 2 - the same
Day 3 - Slightly runny nose
Day 4 - Same as before, loss of taste
Day 5 - Same
Day 6 - morning nausea, feverish (woke up kinda sweaty) earlier in the day, slight burning sensation in chest from time to time
Day 7 - lower back pain, feels like back bones are on fire. Sharp pain in back. Bed doesn’t feel comfy anymore. Stomach pains every now and then. Slight tickle in throat. Headache around 7pm. Loss of appetite.   
Day 8 - woke up slightly sweaty, afternoon headache, tickling sensation in chest
Day 9 - Slight loss of taste
Day 10 - Afternoon headache, tastebuds still off
Day 11 - tightness in chest
I still have a slight loss in taste, but overall I feel great. I avoided coffee and vaping during my quarantine and am glad to say that I have no desire to go back to vaping. Wishing everyone a safe and speedy recovery!</t>
        </is>
      </c>
      <c r="D4284" t="n">
        <v>1</v>
      </c>
      <c r="E4284" t="n">
        <v>14</v>
      </c>
      <c r="F4284">
        <f>HYPERLINK("https://www.reddit.com/r/COVID19positive/comments/i7ca17/tested_positive_july_30th_tested_negative_august/")</f>
        <v/>
      </c>
      <c r="G4284" t="inlineStr">
        <is>
          <t>2020-08-10 12:58:09</t>
        </is>
      </c>
      <c r="H4284" t="inlineStr">
        <is>
          <t>Tested Positive - Me</t>
        </is>
      </c>
    </row>
    <row r="4285">
      <c r="A4285" t="inlineStr">
        <is>
          <t>i7cz1q</t>
        </is>
      </c>
      <c r="B4285" t="inlineStr">
        <is>
          <t>Tested positive this morning</t>
        </is>
      </c>
      <c r="C4285" t="inlineStr">
        <is>
          <t>So I just tested positive this morning. I was in contact with someone who also test positive along with 4 others, but I’m the only one who caught it. 
Yesterday my legs were really really achey. I play football and I’m used to running lots but this felt like I’d run an actual marathon. I started feeling lethargic later in the evening. 
Then in the night time I woke up feeling really hot several times but I put that down to the weather. 
I woke up this morning and knew I had it before I got the test results. My chest is really tight and painful and I just feel exhausted. 
The test results confirmed it. I’ve been working from home anyway but told work and took the rest of the afternoon off to rest. 
I live on my own, which is obviously good because I have less chance of passing it on to people, but also kinda scary. 
Does anyone else who’s tested positive have any advice or tips on how to cope with symptoms or get over it quicker?</t>
        </is>
      </c>
      <c r="D4285" t="n">
        <v>1</v>
      </c>
      <c r="E4285" t="n">
        <v>7</v>
      </c>
      <c r="F4285">
        <f>HYPERLINK("https://www.reddit.com/r/COVID19positive/comments/i7cz1q/tested_positive_this_morning/")</f>
        <v/>
      </c>
      <c r="G4285" t="inlineStr">
        <is>
          <t>2020-08-10 13:33:07</t>
        </is>
      </c>
      <c r="H4285" t="inlineStr">
        <is>
          <t>Tested Positive - Me</t>
        </is>
      </c>
    </row>
    <row r="4286">
      <c r="A4286" t="inlineStr">
        <is>
          <t>i7dj4r</t>
        </is>
      </c>
      <c r="B4286" t="inlineStr">
        <is>
          <t>Should I Put "COVID-19 Recovered" On My Resume?</t>
        </is>
      </c>
      <c r="C4286" t="inlineStr">
        <is>
          <t>I am currently on FMLA leave from my current job. before I fell ill with COVID I was actively interviewing with other companies. All of that hit a wall when I tested positive and then took a month to recover. I feel well enough to begin interviewing again, but a little too weak to work. (I am a restaurant manager)
Do you think it would be beneficial for me to put "COVID Recovered" on my resume? I know that immunity after recovery has not been proven yet, but I am hoping that more/better jobs will consider me since I am now recovered.
Thanks for the input!</t>
        </is>
      </c>
      <c r="D4286" t="n">
        <v>1</v>
      </c>
      <c r="E4286" t="n">
        <v>8</v>
      </c>
      <c r="F4286">
        <f>HYPERLINK("https://www.reddit.com/r/COVID19positive/comments/i7dj4r/should_i_put_covid19_recovered_on_my_resume/")</f>
        <v/>
      </c>
      <c r="G4286" t="inlineStr">
        <is>
          <t>2020-08-10 14:01:04</t>
        </is>
      </c>
      <c r="H4286" t="inlineStr">
        <is>
          <t>Tested Positive - Me</t>
        </is>
      </c>
    </row>
    <row r="4287">
      <c r="A4287" t="inlineStr">
        <is>
          <t>i7djs1</t>
        </is>
      </c>
      <c r="B4287" t="inlineStr">
        <is>
          <t>Thought I was hungover..turned out to be COVID</t>
        </is>
      </c>
      <c r="C4287" t="inlineStr">
        <is>
          <t>I tested positive about three weeks ago.  I felt hungover throughout the day--dizzy, headache and overall murky feeling.  Later that night, I had chills, night sweats, and my chest hurt.  I was dizzy and weak. I was dizzy and lost my sense of taste for that first week.  My chest hurt, but that could have been from vaping, as well.  After a week, I felt perfectly fine.  My boyfriend also had the same experience with the exact same symptoms.  We both tested positive and have both resumed our normal lives.</t>
        </is>
      </c>
      <c r="D4287" t="n">
        <v>1</v>
      </c>
      <c r="E4287" t="n">
        <v>91</v>
      </c>
      <c r="F4287">
        <f>HYPERLINK("https://www.reddit.com/r/COVID19positive/comments/i7djs1/thought_i_was_hungoverturned_out_to_be_covid/")</f>
        <v/>
      </c>
      <c r="G4287" t="inlineStr">
        <is>
          <t>2020-08-10 14:01:56</t>
        </is>
      </c>
      <c r="H4287" t="inlineStr">
        <is>
          <t>Tested Positive - Me</t>
        </is>
      </c>
    </row>
    <row r="4288">
      <c r="A4288" t="inlineStr">
        <is>
          <t>i7dzul</t>
        </is>
      </c>
      <c r="B4288" t="inlineStr">
        <is>
          <t>Long Haulers — please share the feeling of recovery</t>
        </is>
      </c>
      <c r="C4288" t="inlineStr">
        <is>
          <t>For all you long haulers out there.  I’ve been down since March 23rd.  Massive chest and lung pain with crushing fatigue.  I’ve been stuck at 10% for 4 1/2 months.  Essentially bed ridden or sitting, any activity crushes me.  Curious if anyone just woke up one day and was like - wow, I’m actually better.  I’m sure at some point I’ll kick this thing, but until then, I’d love to hear about the moment you long haulers realized, hey I can jog or lift or swim without ending up back in bed.  
Peace ❤️</t>
        </is>
      </c>
      <c r="D4288" t="n">
        <v>1</v>
      </c>
      <c r="E4288" t="n">
        <v>2</v>
      </c>
      <c r="F4288">
        <f>HYPERLINK("https://www.reddit.com/r/COVID19positive/comments/i7dzul/long_haulers_please_share_the_feeling_of_recovery/")</f>
        <v/>
      </c>
      <c r="G4288" t="inlineStr">
        <is>
          <t>2020-08-10 14:24:27</t>
        </is>
      </c>
      <c r="H4288" t="inlineStr">
        <is>
          <t>Tested Positive</t>
        </is>
      </c>
    </row>
    <row r="4289">
      <c r="A4289" t="inlineStr">
        <is>
          <t>i7f9ga</t>
        </is>
      </c>
      <c r="B4289" t="inlineStr">
        <is>
          <t>Worried about facial numbness</t>
        </is>
      </c>
      <c r="C4289" t="inlineStr">
        <is>
          <t>Hey all,
I tested positive on July 22nd after feeling muscle aches, nausea, brain fog, and low grade fever. For the following week I experienced vomiting, the worst headache I’ve ever experienced, chills, and awful neck tightness and pain. These symptoms have mostly went away but as of a few days ago I’m experiencing new symptoms.
A few days ago the left side of my tongue began feeling a little numb and I realized for the first time my sense of taste was fairly dulled. Also, my face has been feeling sorta numb and tingly and some things like blinking, chewing, and moving my jaw around are slightly more difficult. It’s very weird, it feels like I went to the dentist and the novacaine is wearing off. 
Has anyone else experienced this? At what point do I see a doctor?</t>
        </is>
      </c>
      <c r="D4289" t="n">
        <v>1</v>
      </c>
      <c r="E4289" t="n">
        <v>12</v>
      </c>
      <c r="F4289">
        <f>HYPERLINK("https://www.reddit.com/r/COVID19positive/comments/i7f9ga/worried_about_facial_numbness/")</f>
        <v/>
      </c>
      <c r="G4289" t="inlineStr">
        <is>
          <t>2020-08-10 15:29:36</t>
        </is>
      </c>
      <c r="H4289" t="inlineStr">
        <is>
          <t>Tested Positive</t>
        </is>
      </c>
    </row>
    <row r="4290">
      <c r="A4290" t="inlineStr">
        <is>
          <t>i7ft25</t>
        </is>
      </c>
      <c r="B4290" t="inlineStr">
        <is>
          <t>Got tested today, waiting for results. Day by day symptoms shared in post</t>
        </is>
      </c>
      <c r="C4290" t="inlineStr">
        <is>
          <t>The first sign of any symptom i had was on 8/5.
8/5 - at several points throughout the day i felt feverish, mainly chills. I had a couple of abnormal bowel movements accompanied by moderate cramping for a period of time before and after. Not full on diarrhea and not anything I’d normally worry about. In the evening I remarked that i felt particularly tired and felt that my breathing was labored. Hard to describe, but I simply became aware of my breathing and seem to be consciously managing it.
8/6 - throughout the entire day I noticed the same sensation regarding my breathing. I also noticed that i frequently and involuntarily reached for a full breath - like a yawn or a sigh. Add to this the feeling of being too cold all day/night and notable drowsiness / mild mental cloudiness.
8/7 - add to the breathing issues sore throat and headache. Extreme fatigue. I slept more than I was awake. Very difficult to stay awake or to get up.
8/8 - add muscle stiffness and weakness. First measurable fever - low grade - 99.6
8/9 - very similar to 8/8. Sore through and headache has vanished. Add watery, swollen eyes to the mix. The frequent need to take full breaths is no always present, but is still present at some parts of the day. Possibly slightly better overall feeling
8/10 - overall felt better (even good?) in the morning. The afternoon however has brought my worst yet. Had about a 2 hr period where i was telling my wife to pack the bags to go to the hospital (much worse SOB) and fever reached 100.2.  Ultimately ended up napping and here I am now. After waking up from a 3 hr nap, fever is gone, SOB is barely detectable. Now have significant sinus congestion, swollen watery eyes and just feel kinda tired but overall not actually bad. 
Optimistic that I’m now on the recovery side of things, but know that i could have many days of symptoms ahead. I expect test results Wednesday.
Feel free to ask me anything or share how your experience is alike or different from mine, and what I may expect in the coming days.
Oh and for reference, I’m  34 male, healthy, no underlying conditions I am aware of. Somewhat overweight but not obese.
I’ve also been monitoring my pulse ox % with a finger clip pulse oximeter. On the first day i was a 98-99 consistently. Today I’m 95-96 with an occasional outlier as low as 93 and as high as 98. Checking roughly every hour. My research shows this is one of, if not THE number to monitor during home care.</t>
        </is>
      </c>
      <c r="D4290" t="n">
        <v>1</v>
      </c>
      <c r="E4290" t="n">
        <v>14</v>
      </c>
      <c r="F4290">
        <f>HYPERLINK("https://www.reddit.com/r/COVID19positive/comments/i7ft25/got_tested_today_waiting_for_results_day_by_day/")</f>
        <v/>
      </c>
      <c r="G4290" t="inlineStr">
        <is>
          <t>2020-08-10 15:59:20</t>
        </is>
      </c>
      <c r="H4290" t="inlineStr">
        <is>
          <t>Presumed Positive - From Doctor</t>
        </is>
      </c>
    </row>
    <row r="4291">
      <c r="A4291" t="inlineStr">
        <is>
          <t>i7fwnp</t>
        </is>
      </c>
      <c r="B4291" t="inlineStr">
        <is>
          <t>I’m 9 days in and my lose is burning</t>
        </is>
      </c>
      <c r="C4291" t="inlineStr">
        <is>
          <t>I can’t smell and my left nostril feels like I’m diving into a pool and got water stuck in it. It burns. Is this happening to anyone else? Not stuffy or anything, just burns.</t>
        </is>
      </c>
      <c r="D4291" t="n">
        <v>1</v>
      </c>
      <c r="E4291" t="n">
        <v>18</v>
      </c>
      <c r="F4291">
        <f>HYPERLINK("https://www.reddit.com/r/COVID19positive/comments/i7fwnp/im_9_days_in_and_my_lose_is_burning/")</f>
        <v/>
      </c>
      <c r="G4291" t="inlineStr">
        <is>
          <t>2020-08-10 16:04:47</t>
        </is>
      </c>
      <c r="H4291" t="inlineStr">
        <is>
          <t>Tested Positive - Me</t>
        </is>
      </c>
    </row>
    <row r="4292">
      <c r="A4292" t="inlineStr">
        <is>
          <t>i7g580</t>
        </is>
      </c>
      <c r="B4292" t="inlineStr">
        <is>
          <t>Brain Fog Covid</t>
        </is>
      </c>
      <c r="C4292" t="inlineStr">
        <is>
          <t>I am about a week into my Covid symptoms which are mostly pretty mild, but I am currently taking calculus and I simply cannot think and I am struggling badly to keep up. Has anyone else had similar brain fog and how long did it take to go away?</t>
        </is>
      </c>
      <c r="D4292" t="n">
        <v>1</v>
      </c>
      <c r="E4292" t="n">
        <v>7</v>
      </c>
      <c r="F4292">
        <f>HYPERLINK("https://www.reddit.com/r/COVID19positive/comments/i7g580/brain_fog_covid/")</f>
        <v/>
      </c>
      <c r="G4292" t="inlineStr">
        <is>
          <t>2020-08-10 16:18:10</t>
        </is>
      </c>
      <c r="H4292" t="inlineStr">
        <is>
          <t>Tested Positive - Me</t>
        </is>
      </c>
    </row>
    <row r="4293">
      <c r="A4293" t="inlineStr">
        <is>
          <t>i7hri9</t>
        </is>
      </c>
      <c r="B4293" t="inlineStr">
        <is>
          <t>How long before you test negative</t>
        </is>
      </c>
      <c r="C4293" t="inlineStr">
        <is>
          <t>Hello all: I tested positive for COVID19 back on July 20th and have recently made enough of a recovery from this nasty virus to start getting my life back to normal......... But my covid troubles aren't over.
Before I got sick my bathtub got a HUGE crack/hole in it, and since I've recovered my landlord will not aggree to go into our apartment to fix the said hole until I test negative for covid19.
I agreed to do this and got retested yesterday (Aug 9th) and got my results back today: still positive.
For the most part, I've recovered from this disease. How long do I need to wait before I will test negative so I can get my bathtub fixed?</t>
        </is>
      </c>
      <c r="D4293" t="n">
        <v>1</v>
      </c>
      <c r="E4293" t="n">
        <v>9</v>
      </c>
      <c r="F4293">
        <f>HYPERLINK("https://www.reddit.com/r/COVID19positive/comments/i7hri9/how_long_before_you_test_negative/")</f>
        <v/>
      </c>
      <c r="G4293" t="inlineStr">
        <is>
          <t>2020-08-10 17:52:27</t>
        </is>
      </c>
      <c r="H4293" t="inlineStr">
        <is>
          <t>Tested Positive - Me</t>
        </is>
      </c>
    </row>
    <row r="4294">
      <c r="A4294" t="inlineStr">
        <is>
          <t>i7huvt</t>
        </is>
      </c>
      <c r="B4294" t="inlineStr">
        <is>
          <t>True life when can I kiss my boyfriend again?</t>
        </is>
      </c>
      <c r="C4294" t="inlineStr">
        <is>
          <t>I started showing symptoms of Covid on 8/4 and got tested and then receive my positive test results on 8/8. I was told by the health department and by my work that I could leave isolation after 10 days from symptoms starting which would be this Friday. I miss my partner a lot but I’m afraid! Apparently this is the CDC’s recommendation and there’s journals that show no live virus after eight days. 
I probably wouldn’t see him until Saturday so that would be a solid 11 to 12 days depending on how you count it. I have a very mild case and it this point I have no other symptoms besides stuffiness! I could definitely go to work and function in society right now if I needed to. 
Also- should I get tested for antibodies?</t>
        </is>
      </c>
      <c r="D4294" t="n">
        <v>1</v>
      </c>
      <c r="E4294" t="n">
        <v>15</v>
      </c>
      <c r="F4294">
        <f>HYPERLINK("https://www.reddit.com/r/COVID19positive/comments/i7huvt/true_life_when_can_i_kiss_my_boyfriend_again/")</f>
        <v/>
      </c>
      <c r="G4294" t="inlineStr">
        <is>
          <t>2020-08-10 17:58:05</t>
        </is>
      </c>
      <c r="H4294" t="inlineStr">
        <is>
          <t>Tested Positive - Me</t>
        </is>
      </c>
    </row>
    <row r="4295">
      <c r="A4295" t="inlineStr">
        <is>
          <t>i7hxq7</t>
        </is>
      </c>
      <c r="B4295" t="inlineStr">
        <is>
          <t>How are you getting updates?</t>
        </is>
      </c>
      <c r="C4295" t="inlineStr">
        <is>
          <t>How is everyone getting updates? 
No one at the hospital calls to provide information and I just got told that I can only call twice a day. That and the information I am receiving isn’t even totally correct.
This is my family member, twice a day? They’re kidding right?
Please tell me someone has figured something out. 
I was thinking of calling hospital administrators in the morning and getting the okay of the nurse to text me every once and awhile an update from my family members phone since it’s already there (but then I have a feeling they won’t want to be liable for a stupid cell phone).
Please help. What are you doing to keep updated since we can’t be there?</t>
        </is>
      </c>
      <c r="D4295" t="n">
        <v>1</v>
      </c>
      <c r="E4295" t="n">
        <v>5</v>
      </c>
      <c r="F4295">
        <f>HYPERLINK("https://www.reddit.com/r/COVID19positive/comments/i7hxq7/how_are_you_getting_updates/")</f>
        <v/>
      </c>
      <c r="G4295" t="inlineStr">
        <is>
          <t>2020-08-10 18:02:57</t>
        </is>
      </c>
      <c r="H4295" t="inlineStr">
        <is>
          <t>Tested Positive - Family</t>
        </is>
      </c>
    </row>
    <row r="4296">
      <c r="A4296" t="inlineStr">
        <is>
          <t>i7ik33</t>
        </is>
      </c>
      <c r="B4296" t="inlineStr">
        <is>
          <t>Family COVIDing</t>
        </is>
      </c>
      <c r="C4296" t="inlineStr">
        <is>
          <t>Well, just in time for Back to School I started feeling kind of off. 
I was dropping my brother back off at my parents on July 31 and I was huddled under a blanket bc I was so cold. It’s the middle of summer here in Florida so that should have been red flags #’s 1-5. 
When I got home I checked but had no fever, no cough, no shortness of breath, just TIRED and still cold. 
I pretty much slept from August 1-2. I was sore, coughing up gross phlegm, and had a sore throat. Never got a fever. Truly I thought I just had a summer cold bc we have been super careful and had no contact with anyone that was confirmed positive. 
By August 3 I realized I had no smell or taste. I would eat cereal and think “Gross, this tastes like cardboard- it must be stale” or I would put on hand sanitizer and say “Oh, bummer I think it’s losing it’s smell”. In recalling this I’m realizing how dumb I was. 
At this point my husband demanded we get tested. 
I tested positive on August 4 (but didn’t find this out until the health dept called me August 10 to contact trace...) 
My son (4 yo) tested positive August 5- he only had a runny nose and a fever of 101 for 1 day. 
My husband tested positive August 9- he only just started having symptoms like a dry cough, muscle aches, and fatigue. 
I tested negative on August 9, but they want me to test again in a week to be sure. 
We’re so lucky to have such mild cases, but I do worry if there will be any long term effects, esp for my son. 
I’m meant to go back to school for teacher preplanning this week, but I’m planning from home! I think the only silver lining is the hope that me and my son might have some antibodies built up to hopefully fend off any reinfection that will 100% be floating around school when we go back. 
Hope this might be helpful for anyone wondering what a mild case is like... and kids can definitely get it!!</t>
        </is>
      </c>
      <c r="D4296" t="n">
        <v>1</v>
      </c>
      <c r="E4296" t="n">
        <v>7</v>
      </c>
      <c r="F4296">
        <f>HYPERLINK("https://www.reddit.com/r/COVID19positive/comments/i7ik33/family_coviding/")</f>
        <v/>
      </c>
      <c r="G4296" t="inlineStr">
        <is>
          <t>2020-08-10 18:41:32</t>
        </is>
      </c>
      <c r="H4296" t="inlineStr">
        <is>
          <t>Tested Positive - Me</t>
        </is>
      </c>
    </row>
    <row r="4297">
      <c r="A4297" t="inlineStr">
        <is>
          <t>i7inru</t>
        </is>
      </c>
      <c r="B4297" t="inlineStr">
        <is>
          <t>Dentist refusing treatment</t>
        </is>
      </c>
      <c r="C4297" t="inlineStr">
        <is>
          <t>I tested positive 7/13, had all the fun symptoms along with a positive pneumonia test. I felt about 95% better except I was left with a horrible toothache. It’s on the side I had work done a few months ago. I called my dentist in agony and explained how much pain I was in and a few weeks prior I had tested positive for COVID. The pain is getting worse, I am desperate and call the dentist, they said they would call me in a steroid and call back in a few weeks to make an appointment. I went through the steroid pack, still in agony, call the dentist back and they said I have to be retested before he’ll see me. Doesn’t sound right. What do I do in the meantime? Bite a bullet? Whiskey? Can he refuse treatment? Isn’t there an oath? Or is that just in medicine?</t>
        </is>
      </c>
      <c r="D4297" t="n">
        <v>1</v>
      </c>
      <c r="E4297" t="n">
        <v>12</v>
      </c>
      <c r="F4297">
        <f>HYPERLINK("https://www.reddit.com/r/COVID19positive/comments/i7inru/dentist_refusing_treatment/")</f>
        <v/>
      </c>
      <c r="G4297" t="inlineStr">
        <is>
          <t>2020-08-10 18:47:45</t>
        </is>
      </c>
      <c r="H4297" t="inlineStr">
        <is>
          <t>Tested Positive</t>
        </is>
      </c>
    </row>
    <row r="4298">
      <c r="A4298" t="inlineStr">
        <is>
          <t>i7j2v3</t>
        </is>
      </c>
      <c r="B4298" t="inlineStr">
        <is>
          <t>Again?</t>
        </is>
      </c>
      <c r="C4298" t="inlineStr">
        <is>
          <t>Hello everyone, my family and I got sick in late june, and were cleared around the 2nd week of July. Been feeling fine since...still pretty cautious but obviously able to go out and get our things like groceries etc. 
Today I started feeling a sore throat and earache. Feeling a little runned down and kind of warm but when I take my temp its 98.6
Can you get sick again so quick after recovering or is this some kind of relapse? What do I do?</t>
        </is>
      </c>
      <c r="D4298" t="n">
        <v>1</v>
      </c>
      <c r="E4298" t="n">
        <v>7</v>
      </c>
      <c r="F4298">
        <f>HYPERLINK("https://www.reddit.com/r/COVID19positive/comments/i7j2v3/again/")</f>
        <v/>
      </c>
      <c r="G4298" t="inlineStr">
        <is>
          <t>2020-08-10 19:13:18</t>
        </is>
      </c>
      <c r="H4298" t="inlineStr">
        <is>
          <t>Tested Positive - Me</t>
        </is>
      </c>
    </row>
    <row r="4299">
      <c r="A4299" t="inlineStr">
        <is>
          <t>i7k3fs</t>
        </is>
      </c>
      <c r="B4299" t="inlineStr">
        <is>
          <t>sad</t>
        </is>
      </c>
      <c r="C4299" t="inlineStr">
        <is>
          <t>i just feel very depressed about all this but don’t want to burden my friends by complaining to them. my mom is sick with covid for the second time and this time i got it as well. this means i likely can’t go back to my university and that was the only thing i had to look forward to in life. also, i’m just terrified. i have an underlying heart condition and it’s been so much worse since i got covid—my chest/heart aches and feels sore all the time. i’m scared for me and for my mom, who is elderly and has diabetes. i’m scared we will have lasting organ damage. i hope someone understands. i just needed a place to vent.</t>
        </is>
      </c>
      <c r="D4299" t="n">
        <v>1</v>
      </c>
      <c r="E4299" t="n">
        <v>33</v>
      </c>
      <c r="F4299">
        <f>HYPERLINK("https://www.reddit.com/r/COVID19positive/comments/i7k3fs/sad/")</f>
        <v/>
      </c>
      <c r="G4299" t="inlineStr">
        <is>
          <t>2020-08-10 20:18:45</t>
        </is>
      </c>
      <c r="H4299" t="inlineStr">
        <is>
          <t>Tested Positive - Me</t>
        </is>
      </c>
    </row>
    <row r="4300">
      <c r="A4300" t="inlineStr">
        <is>
          <t>i7laab</t>
        </is>
      </c>
      <c r="B4300" t="inlineStr">
        <is>
          <t>Pneumonia &amp;amp; Shingles from COVID (15 days)</t>
        </is>
      </c>
      <c r="C4300" t="inlineStr">
        <is>
          <t>Age: 53(F)
No previous known illness or health/immune system complications.
Tested Positive for COVID-19: 7/27
Symptoms: fatigue, muscle/body ache, nausea, vomiting, fever, diarrhea 
These symptoms lasted 9-10 straight days. Then feelings of relief and recovery began to emerge, but it was all bullshit. 
Shingles symptoms emerged ~8/7.
Symptoms: fever (102F), major fatigue &amp;amp; exhaustion, depression, nerve pain, rash on lower back and left hip, low oxygen level (~92-95; measured with pulse oximeter)
Visited Urgent Care on 8/9 -&amp;gt; diagnosed with Pneumonia and Shingles
Tx: Valacyclovir, benzonatate (for cough)
Virtual visit with physician 8/10 -&amp;gt; recommended visiting hospital and emergency room for oxygen support and remdesivir (antiviral which is only administered under hospital administration)
8/10 evening: admitted into COVID section of hospital
given oxygen tank - brought oxygen levels back up to 98. They took an x-ray and ct scan of my chest to look further into my diagnosis but as of now they are at COVID-19 Pneumonia. 
feeling much better and relaxed here with oxygen levels up. 
will keep thread updated tomorrow.</t>
        </is>
      </c>
      <c r="D4300" t="n">
        <v>1</v>
      </c>
      <c r="E4300" t="n">
        <v>17</v>
      </c>
      <c r="F4300">
        <f>HYPERLINK("https://www.reddit.com/r/COVID19positive/comments/i7laab/pneumonia_shingles_from_covid_15_days/")</f>
        <v/>
      </c>
      <c r="G4300" t="inlineStr">
        <is>
          <t>2020-08-10 21:40:33</t>
        </is>
      </c>
      <c r="H4300" t="inlineStr">
        <is>
          <t>Tested Positive</t>
        </is>
      </c>
    </row>
    <row r="4301">
      <c r="A4301" t="inlineStr">
        <is>
          <t>i7lac9</t>
        </is>
      </c>
      <c r="B4301" t="inlineStr">
        <is>
          <t>My Experience - Exhaustion/Exercise exacerbating symptoms</t>
        </is>
      </c>
      <c r="C4301" t="inlineStr">
        <is>
          <t>Writing this in the hopes it helps someone.
I live alone and always wear a N95 mask with a velcro cotton mask over top of it for a better seal, and gloves when going out.  I only go out when I absolutely need supplies (twice a week at most) and I'm always in and out as quickly as possible.  I do ride my bike a lot, but there is nobody near me and I am still fully masked and gloved.
Also, my diet is extremely consistent, I don't eat out and prepare my own food and don't eat anything raw.  I'm generally healthy but about 20 pounds overweight with no underlying conditions.  My doctor says I have perfect blood pressure and normal HDL/LDL levels.  I take a mult-vitamin and 5-10,000 IU of D3 daily .  I rarely get sick for more than a day or two.  I've only had the flu shot a handful of times over the years, but I did have one in December which did knock me out for a day.  The last time I had a cold which lasted more than 48 hours is probably ten years ago.  I haven't had the actual flu in 15 years
I believe I was infected 6 weeks ago or so at a dentist appointment.  It's the only time I have been around people without a mask since my city started lockdown in March.
A week after my dentist visit I started feeling light-headed and dizzy when standing-up.  I had been drinking a lot of diet pepsi and was trying to switch over to just water, so I assumed it was due to that plus dehydration and a loss of electrolyte.  So I just increased my intake of electrolyte supplemented water, which did not help.   For the next two weeks I would feel the occasional chill, and dry cough a bit, maybe a sneeze or two and I just assumed these were due to seasonal allergies. 
At some point I noticed my sleep getting affected, I was tossing and turning and only sleeping about 3-4 hours.  One day I woke up with body aches which I assumed was just due to cramping, and I started supplementing magnesium.
At no point did I feel I was actually sick, I did take my temperature once and it was normal.  I assumed it was just an electrolyte imbalance or seasonal allergies.
While this was going on, I had about a 3 day period where I was getting up extremely early and doing a lot of physical labor in packing and moving a lot of heavy boxes and furniture.  I usually just sit at a computer desk all day and this was the most physical work I had done since the lockdown started in March.
The next day I started getting real headaches (which I never get) and I noticed my heart rate was elevated.  It stayed at 100bpm the whole day, I just thought it was a result of the physical labor and didnt worry. about it.
The day after in the middle of the day my heart rated spiked to 120bpm for a couple hours, I started to really feel like I was getting a fever, so I took my temperature and it was at about 100.  A couple hours later I was drenched in sweat and it felt like I just broke a fever.  Checked temperature again and it was normal and I felt pretty decent.  I felt like whatever it was, I was over it - big mistake. 
Symptoms start waxing and waning, one hour I feel like I've kicked it and the next hour my heart rate is at 100 and I feel physically week.  I only have a slight fever occasionally.  This has been going on for the past two weeks.  A few days I ago I felt the occasional heart palpitation, but that has gone away.  I developed a slightly sore throat with a painful dry cough at times.  No sinus problems, or even excess mucus or phlegm.  Neck lymph nodes are only slightly swollen at times.
I made a further mistake by when I was feeling better I started doing some physical activity which just wound up making things worse for a day.  So I've learned even when I start to feel better, it's just a tease and resist doing anything physical and rest, rest, rest
I wear a smart watch/health monitor which records my heart rate every hour and it has only been below 100 when sleeping.  Blood pressure is normal, O2 is normal. 
Right now I feel more normal, but my heart rate is over 100bpm and I feel  a throbbing in my head, but no headaches.
I've only taken tylenol occasionally but have been supplementing with zinc orotate+quercetin for the past week, who knows if its helping at all.
Right now I'm fasting and just eating once in the morning and seeing if that helps.
So please people if you start feeling ill and have any symptoms, take it seriously and just rest.  I firmly believe if I had not just shrugged everything off and not over exerted myself I would have beaten the virus without much hassle.</t>
        </is>
      </c>
      <c r="D4301" t="n">
        <v>1</v>
      </c>
      <c r="E4301" t="n">
        <v>4</v>
      </c>
      <c r="F4301">
        <f>HYPERLINK("https://www.reddit.com/r/COVID19positive/comments/i7lac9/my_experience_exhaustionexercise_exacerbating/")</f>
        <v/>
      </c>
      <c r="G4301" t="inlineStr">
        <is>
          <t>2020-08-10 21:40:40</t>
        </is>
      </c>
      <c r="H4301" t="inlineStr">
        <is>
          <t>Presumed Positive - From Doctor</t>
        </is>
      </c>
    </row>
    <row r="4302">
      <c r="A4302" t="inlineStr">
        <is>
          <t>i7lhxy</t>
        </is>
      </c>
      <c r="B4302" t="inlineStr">
        <is>
          <t>A little scared. Asthma Covid patient on day 16 of post hospital quarantine and now I’m wheezing with clear phlegm. My doctor didn’t call me back today. I don’t know what to do. Anyone else?</t>
        </is>
      </c>
      <c r="C4302" t="inlineStr">
        <is>
          <t>I was diagnosed July 14th. 
Hospitalized July 19th. 
Released to home quarantine on July 27th
I have no fever and no other symptoms. I have some chest tightness, like it’s hard to draw a deep breath, wheezing, and clear phlegm in my throat. 
I just read a story about a man who was recovering and he went home almost symptom free. Started wheezing, ended up back in the ER and died. So of course now I’ve freaked myself out. 
I tested at Walgreens yesterday (nose swab) and got my results today as Covid negative, but I’m not convinced. My RN friends said to get the RNA blood test, not to go by these drive thru tests. 
I have a history of asthma and it feels like asthma, but I’m not sure. What should I do? Wait for the doctor to call me back? Should I call the nurse hotline? I’m just a little nervous now.</t>
        </is>
      </c>
      <c r="D4302" t="n">
        <v>1</v>
      </c>
      <c r="E4302" t="n">
        <v>7</v>
      </c>
      <c r="F4302">
        <f>HYPERLINK("https://www.reddit.com/r/COVID19positive/comments/i7lhxy/a_little_scared_asthma_covid_patient_on_day_16_of/")</f>
        <v/>
      </c>
      <c r="G4302" t="inlineStr">
        <is>
          <t>2020-08-10 21:56:35</t>
        </is>
      </c>
      <c r="H4302" t="inlineStr">
        <is>
          <t>Tested Positive - Me</t>
        </is>
      </c>
    </row>
    <row r="4303">
      <c r="A4303" t="inlineStr">
        <is>
          <t>i7loy4</t>
        </is>
      </c>
      <c r="B4303" t="inlineStr">
        <is>
          <t>My entire family was positive for COVID</t>
        </is>
      </c>
      <c r="C4303" t="inlineStr">
        <is>
          <t>This includes me, 6 siblings, a diabetic 60 year old Father as well as a 60 year old Mother with hypothyroidism, cyliacs disease, and hoshimotos.
None of us had a fever or a cough. My mother had it the worst with a headache for four days, the rest of us had a headache for 3 days. Loss of taste/smell was the most notable symptom which lasted for about a week, but was more annoying than painful/concerning. 
That is the entirety of our experience. I'm not trying to make a statement on the severity of this virus, but this was our honest experience. Just felt I should share it. 
For the record, we tested positive in early July and have all been symptom free for over three weeks now. The only reason we knew to get tested was because we visited our Aunt right as she happened to get sick, and she's a nurse. She tested positive, we got headaches, we tested positive.</t>
        </is>
      </c>
      <c r="D4303" t="n">
        <v>1</v>
      </c>
      <c r="E4303" t="n">
        <v>106</v>
      </c>
      <c r="F4303">
        <f>HYPERLINK("https://www.reddit.com/r/COVID19positive/comments/i7loy4/my_entire_family_was_positive_for_covid/")</f>
        <v/>
      </c>
      <c r="G4303" t="inlineStr">
        <is>
          <t>2020-08-10 22:10:57</t>
        </is>
      </c>
      <c r="H4303" t="inlineStr">
        <is>
          <t>Tested Positive - Family</t>
        </is>
      </c>
    </row>
    <row r="4304">
      <c r="A4304" t="inlineStr">
        <is>
          <t>i7lss8</t>
        </is>
      </c>
      <c r="B4304" t="inlineStr">
        <is>
          <t>Presumed positive- my symptoms</t>
        </is>
      </c>
      <c r="C4304" t="inlineStr">
        <is>
          <t>Thursday/Friday is probably when I think it started. My eyes were burning so bad as if I had a fever but I did not. Felt super tired and then Saturday I developed a slight sore throat that went away this morning. I woke up this morning with the worst headache. I showered and then was so tired I fell asleep for most of the day. Not really hungry but when I did eat I can’t fully taste things. I felt so weak just getting downstairs to my room was a task. Headache won’t go away and I just feel so blah. Anyone else had these symptoms? No fever.</t>
        </is>
      </c>
      <c r="D4304" t="n">
        <v>1</v>
      </c>
      <c r="E4304" t="n">
        <v>3</v>
      </c>
      <c r="F4304">
        <f>HYPERLINK("https://www.reddit.com/r/COVID19positive/comments/i7lss8/presumed_positive_my_symptoms/")</f>
        <v/>
      </c>
      <c r="G4304" t="inlineStr">
        <is>
          <t>2020-08-10 22:19:12</t>
        </is>
      </c>
      <c r="H4304" t="inlineStr">
        <is>
          <t>Presumed Positive - From Doctor</t>
        </is>
      </c>
    </row>
    <row r="4305">
      <c r="A4305" t="inlineStr">
        <is>
          <t>i7lwxu</t>
        </is>
      </c>
      <c r="B4305" t="inlineStr">
        <is>
          <t>Fluctuating symptoms / intense anxiety</t>
        </is>
      </c>
      <c r="C4305" t="inlineStr">
        <is>
          <t>I’m on day 8 of symptoms, day 5 from positive test. I had the worst day so far yesterday - extremely congested, shortness of breath, chest tightness, and lightheaded. Today I felt almost 100% back to normal, I was energetic, active, no congestion, very minorly lightheaded. But then tonight, all of the symptoms from the previous day came back. I also have extreme health anxiety, diagnosed way before this all started but multiplied ten-fold since I was diagnosed. I’m just struggling quite hard with every little pain, twitch, etc that happens. Tonight I had a pain in my calf, and I just read earlier an article about COVID and an increased risk for blood clots. So now I’m overly anxious I have a blood clot. I guess I’m just looking for solidarity / advice / a virtual shoulder to lean on. Some days I deal with it quite well, other days like today I’m really a mess.</t>
        </is>
      </c>
      <c r="D4305" t="n">
        <v>1</v>
      </c>
      <c r="E4305" t="n">
        <v>4</v>
      </c>
      <c r="F4305">
        <f>HYPERLINK("https://www.reddit.com/r/COVID19positive/comments/i7lwxu/fluctuating_symptoms_intense_anxiety/")</f>
        <v/>
      </c>
      <c r="G4305" t="inlineStr">
        <is>
          <t>2020-08-10 22:28:01</t>
        </is>
      </c>
      <c r="H4305" t="inlineStr">
        <is>
          <t>Tested Positive - Me</t>
        </is>
      </c>
    </row>
    <row r="4306">
      <c r="A4306" t="inlineStr">
        <is>
          <t>i7mdl9</t>
        </is>
      </c>
      <c r="B4306" t="inlineStr">
        <is>
          <t>Avoiding Spread</t>
        </is>
      </c>
      <c r="C4306" t="inlineStr">
        <is>
          <t>My mom recently tested positive and she would rarely leave the house, we’re wondering if it was because of a postmates delivery, or from grocery runs. Now I started having an itchy throat and as the day went by it became more sore so I have locked myself in my room to avoid further spread just to be safe. I scheduled and appt to get tested but I still want to know what should I do since both my mother and I are quarantining in our rooms, what are some remedies that have helped with some of the symptoms? Teas? Supplements? Pls and thank you 🙏🏼</t>
        </is>
      </c>
      <c r="D4306" t="n">
        <v>1</v>
      </c>
      <c r="E4306" t="n">
        <v>9</v>
      </c>
      <c r="F4306">
        <f>HYPERLINK("https://www.reddit.com/r/COVID19positive/comments/i7mdl9/avoiding_spread/")</f>
        <v/>
      </c>
      <c r="G4306" t="inlineStr">
        <is>
          <t>2020-08-10 23:04:46</t>
        </is>
      </c>
      <c r="H4306" t="inlineStr">
        <is>
          <t>Tested Positive - Family</t>
        </is>
      </c>
    </row>
    <row r="4307">
      <c r="A4307" t="inlineStr">
        <is>
          <t>i7qw05</t>
        </is>
      </c>
      <c r="B4307" t="inlineStr">
        <is>
          <t>My father tested positive</t>
        </is>
      </c>
      <c r="C4307" t="inlineStr">
        <is>
          <t>My father has tested positive for covid he's currently admitted in a hospital how many days will he stay on it I'm scared. he only has shifting fevers and like he's exhausted when talking or walking small distance he didn't have a complication in his body just this. Will he be okay?</t>
        </is>
      </c>
      <c r="D4307" t="n">
        <v>1</v>
      </c>
      <c r="E4307" t="n">
        <v>3</v>
      </c>
      <c r="F4307">
        <f>HYPERLINK("https://www.reddit.com/r/COVID19positive/comments/i7qw05/my_father_tested_positive/")</f>
        <v/>
      </c>
      <c r="G4307" t="inlineStr">
        <is>
          <t>2020-08-11 05:27:19</t>
        </is>
      </c>
      <c r="H4307" t="inlineStr">
        <is>
          <t>Tested Positive - Family</t>
        </is>
      </c>
    </row>
    <row r="4308">
      <c r="A4308" t="inlineStr">
        <is>
          <t>i7ssuk</t>
        </is>
      </c>
      <c r="B4308" t="inlineStr">
        <is>
          <t>Brutal Headache when looking up/standing</t>
        </is>
      </c>
      <c r="C4308" t="inlineStr">
        <is>
          <t>I got sick in January.  Had vertigo (room spinning) for a few weeks directly after flu.  
Then some bad squeezing head pressure.  Felt like my head was a balloon being pumped too much.  This led to some thick white mucus coming from my nose and only my nose...
Eventually that head feeling subsided (somewhat).
I was okay for a few months.  Slight dizziness here and there.  
Then began to have stomach problems.  Bloating.  Pain under sternum.  Long digestion periods.  Tested positive for H. Pylori.  It seems I had a low immune system due to the stress and head pressure bothering me.
Now, this is the important part.  
The stomach problems seem to clear up, but just this past week the head pressure came back.  The same one from February.  But this time it’s mostly when I’m upright or looking up with my eyes! I get extremely nauseous and my head feels like it’s being pressed together.  And it feels like liquid (thick feeling...post nasal drip?? Sinus?? is moving up and down my head whenever I stand up...).  Also getting some random pain between shoulder blade, and actual shoulder
(On another note, I had an mri without contrast and doctor said it was unremarkable! They didn’t catch anything.  No head pressure.  No sinus issue.  Also dilated my eyes and saw no pressure)
Any idea what’s going on here??  
5’7
Male
29 years old
179 lbs</t>
        </is>
      </c>
      <c r="D4308" t="n">
        <v>1</v>
      </c>
      <c r="E4308" t="n">
        <v>8</v>
      </c>
      <c r="F4308">
        <f>HYPERLINK("https://www.reddit.com/r/COVID19positive/comments/i7ssuk/brutal_headache_when_looking_upstanding/")</f>
        <v/>
      </c>
      <c r="G4308" t="inlineStr">
        <is>
          <t>2020-08-11 07:28:14</t>
        </is>
      </c>
      <c r="H4308" t="inlineStr">
        <is>
          <t>Presumed Positive - From Doctor</t>
        </is>
      </c>
    </row>
    <row r="4309">
      <c r="A4309" t="inlineStr">
        <is>
          <t>i7trgm</t>
        </is>
      </c>
      <c r="B4309" t="inlineStr">
        <is>
          <t>How did I manage to get no one else sick?</t>
        </is>
      </c>
      <c r="C4309" t="inlineStr">
        <is>
          <t>I guess I’m looking to understand more about transmission of covid. I tested positive on 8/3 but didn’t receive my results until 8/7. I’ve had minimal symptoms, mostly just congestion, fatigue and body aches, and had none at the time I was tested. I wouldn’t have thought this was covid unless I had a positive test come back. 
I got it from my boyfriend (most likely, but I could’ve also given it to him) who doesn’t know where he got it from. He works at a covid testing center and a restaurant and I work at a restaurant as well. We had been pretty safe, avoiding large gatherings, wearing masks and what not. I got tested because I felt like I was there was a risk to me for exposure from our jobs, and also a risk that I would spread it to the people I interact with at work if I was unaware. 
Anyways, everyone that I’ve interacted with between my test and results have all come back negative. Including my sisters that came to my apartment, and rode in my car, a 5 year old I had babysat for 20 hours this past week, and her whole family, all my coworkers and the rest of my family. I’m very grateful for that of course, but how the hell did I manage to get it without my boyfriend and I interacting closely with basically anyone other than our coworkers and everyone that I have had close contact to while positive didn’t get the virus? 
I hope this doesn’t sound like I want my loved one to have caught covid from me, I’m just wildly confused how my boyfriend and I have had no known contact with a confirmed case, but all the people who have interacted closely with me are fine?</t>
        </is>
      </c>
      <c r="D4309" t="n">
        <v>1</v>
      </c>
      <c r="E4309" t="n">
        <v>3</v>
      </c>
      <c r="F4309">
        <f>HYPERLINK("https://www.reddit.com/r/COVID19positive/comments/i7trgm/how_did_i_manage_to_get_no_one_else_sick/")</f>
        <v/>
      </c>
      <c r="G4309" t="inlineStr">
        <is>
          <t>2020-08-11 08:27:55</t>
        </is>
      </c>
      <c r="H4309" t="inlineStr">
        <is>
          <t>Tested Positive - Me</t>
        </is>
      </c>
    </row>
    <row r="4310">
      <c r="A4310" t="inlineStr">
        <is>
          <t>i7tswh</t>
        </is>
      </c>
      <c r="B4310" t="inlineStr">
        <is>
          <t>Should I get tested again?</t>
        </is>
      </c>
      <c r="C4310" t="inlineStr">
        <is>
          <t>A couple Wednesdays ago I had some close contact with family members outside my household who a couple days later tested positive
That Friday when I found out I left work, was put on a 14 day quarantine, and got tested with my boyfriend who was also exposed. We began quarantining in our seperate homes.
Sunday the tests came back negative.
Monday we both started having symptoms. I had a sore throat, minor cough, headache, minor body aches, and fatigue.
Tuesday we both get tested again. Symptoms persist. His seem worse, mine seem to be getting better
Thursday we get our results. His are positive. Mine are negative again.
Saturday the fatigue has slowly been getting worse for me and I developed a low grade fever. Family members in my household are now told my their workplaces to quarantine as well even though I tested negative because if my symptoms and exposure.
Now it's Tuesday morning. The fever has come on and off, along with a terrible headache, bit I don't exactly feel "sick." As of right now, it's gone. Should I get tested again? Would it make a difference at this point if I knew? Is it too late to even test positive?</t>
        </is>
      </c>
      <c r="D4310" t="n">
        <v>1</v>
      </c>
      <c r="E4310" t="n">
        <v>3</v>
      </c>
      <c r="F4310">
        <f>HYPERLINK("https://www.reddit.com/r/COVID19positive/comments/i7tswh/should_i_get_tested_again/")</f>
        <v/>
      </c>
      <c r="G4310" t="inlineStr">
        <is>
          <t>2020-08-11 08:30:25</t>
        </is>
      </c>
      <c r="H4310" t="inlineStr">
        <is>
          <t>Presumed Positive - From Doctor</t>
        </is>
      </c>
    </row>
    <row r="4311">
      <c r="A4311" t="inlineStr">
        <is>
          <t>i7uagi</t>
        </is>
      </c>
      <c r="B4311" t="inlineStr">
        <is>
          <t>Calf pain and headaches</t>
        </is>
      </c>
      <c r="C4311" t="inlineStr">
        <is>
          <t>Hi guys.  I’ve been having calf pain when upright plus swollen headaches/head pressure when upright.  I’m quite nauseous
This happened after I got the flu.  Any idea what this could be??</t>
        </is>
      </c>
      <c r="D4311" t="n">
        <v>1</v>
      </c>
      <c r="E4311" t="n">
        <v>10</v>
      </c>
      <c r="F4311">
        <f>HYPERLINK("https://www.reddit.com/r/COVID19positive/comments/i7uagi/calf_pain_and_headaches/")</f>
        <v/>
      </c>
      <c r="G4311" t="inlineStr">
        <is>
          <t>2020-08-11 08:57:55</t>
        </is>
      </c>
      <c r="H4311" t="inlineStr">
        <is>
          <t>Presumed Positive - From Doctor</t>
        </is>
      </c>
    </row>
    <row r="4312">
      <c r="A4312" t="inlineStr">
        <is>
          <t>i7vzf8</t>
        </is>
      </c>
      <c r="B4312" t="inlineStr">
        <is>
          <t>16 days after testing positive</t>
        </is>
      </c>
      <c r="C4312" t="inlineStr">
        <is>
          <t>I tested positive July 27 and had mild symptoms. Loss of taste and smell, diarrhea, headaches, nausea. I tested negative August 9th after a two week isolation. I am still quarantined since I live with a my family of 6 including a newborn. I am hesitant to accept the negative result since I don’t feel like I’m 100% healthy. My smell and taste are coming back so could this be a sign that I really am negative or at the end of all this? Or does it not matter ?</t>
        </is>
      </c>
      <c r="D4312" t="n">
        <v>1</v>
      </c>
      <c r="E4312" t="n">
        <v>9</v>
      </c>
      <c r="F4312">
        <f>HYPERLINK("https://www.reddit.com/r/COVID19positive/comments/i7vzf8/16_days_after_testing_positive/")</f>
        <v/>
      </c>
      <c r="G4312" t="inlineStr">
        <is>
          <t>2020-08-11 10:27:29</t>
        </is>
      </c>
      <c r="H4312" t="inlineStr">
        <is>
          <t>Tested Positive - Me</t>
        </is>
      </c>
    </row>
    <row r="4313">
      <c r="A4313" t="inlineStr">
        <is>
          <t>i7wk4j</t>
        </is>
      </c>
      <c r="B4313" t="inlineStr">
        <is>
          <t>I need money and I think I'm a long hauler. Been sick with pneumonia type symptoms for over a month...should I still work? I tested negative but idk.</t>
        </is>
      </c>
      <c r="C4313" t="inlineStr">
        <is>
          <t>I really need money no health insurance and it's been over a month. Went to urgent care but they didn't do anything. I tested negative. I have to work again I wanted to buy a wedding ring ;__;</t>
        </is>
      </c>
      <c r="D4313" t="n">
        <v>1</v>
      </c>
      <c r="E4313" t="n">
        <v>7</v>
      </c>
      <c r="F4313">
        <f>HYPERLINK("https://www.reddit.com/r/COVID19positive/comments/i7wk4j/i_need_money_and_i_think_im_a_long_hauler_been/")</f>
        <v/>
      </c>
      <c r="G4313" t="inlineStr">
        <is>
          <t>2020-08-11 10:57:54</t>
        </is>
      </c>
      <c r="H4313" t="inlineStr">
        <is>
          <t>Presumed Positive - From Test</t>
        </is>
      </c>
    </row>
    <row r="4314">
      <c r="A4314" t="inlineStr">
        <is>
          <t>i7wnmf</t>
        </is>
      </c>
      <c r="B4314" t="inlineStr">
        <is>
          <t>How long did it take for you all to start getting your sense of smell back?</t>
        </is>
      </c>
      <c r="C4314" t="inlineStr">
        <is>
          <t>I’m on day 16, still 100% loss of smell and I can only taste if something is salty, sweet, or sour. It’s really messing with my mental health, I’m terrified that this is going to be permanent.</t>
        </is>
      </c>
      <c r="D4314" t="n">
        <v>1</v>
      </c>
      <c r="E4314" t="n">
        <v>5</v>
      </c>
      <c r="F4314">
        <f>HYPERLINK("https://www.reddit.com/r/COVID19positive/comments/i7wnmf/how_long_did_it_take_for_you_all_to_start_getting/")</f>
        <v/>
      </c>
      <c r="G4314" t="inlineStr">
        <is>
          <t>2020-08-11 11:02:49</t>
        </is>
      </c>
      <c r="H4314" t="inlineStr">
        <is>
          <t>Tested Positive - Me</t>
        </is>
      </c>
    </row>
    <row r="4315">
      <c r="A4315" t="inlineStr">
        <is>
          <t>i7x2ot</t>
        </is>
      </c>
      <c r="B4315" t="inlineStr">
        <is>
          <t>Covid Positive and HSV2 Positive : Daily Log of our experience, symptoms, supplements and observations</t>
        </is>
      </c>
      <c r="C4315" t="inlineStr">
        <is>
          <t>Hello,
Recent Covid positive &amp;amp; HSV positive here. My wife and I both are existing HSV2 patients. She is HSV2 and I am HSV1/2. We have both been prescribed acyclovir many years ago be taken on an as needed basis. Acyclovir is an anti-viral for herpes that we have been prescribed in the past and ZPack is a common antibiotic Azithromax. IF we lived in a country like Mexico you could buy these at your corners store, however because we live in a medical police state: you need a Dr's Rx for this (but I digress) . These are our observations ONLY and this is NOT medical advice in any way. Be well:
Background:
Age: me: 45 M 180lb / her: 50F 5'4" 145b
BMI: Normal / No major illnesses / No Comorbidity / Gym 2X per week / I Surf allot / We work office
Pre Existing: Me: HSV1 and HSV2 positive, former smoker 10 yrs ago, Her: HSV2 positive
Starting 8/6 we were **confirmed to be Covid positive**, we contracted the illness on approx. 8/3. Our current symptoms have ranged from slight fever, coughs, clogged sinus and sore throat. 
Beginning 8/7 we began taking our acyclovir, as the sinus pressure and headaches associated with Covid are very similar to an HSV2 break out. If we didn't know we had Covid we would assume this was either HSV2 or a middle ear infections ( I surf so I know the feeling). This is not medical advice.  
This is our daily treatment log :
# Day 1 :
\- Date: 8/7/2020
\- Meds
o Acyclovir : 200 mg 
o ZPack: 300 mg
\- Supplements: (taken daily)
o 4000 mg VitaminC / 2000mg VitD / Zinc: 200 mg
o Other: NAC/2000mg Bee Pollen/Mile Thistle/Probiotic
\- Comments
o Day #5 of illness
o Awoke with Sore throat
# Day 2 of treatment:
\- Date: 8/8/2020
\- Meds
o Acyclovir : 300 mg  (100mg BEFORE Bed)
o ZPack: 200 mg (100mg BEFORE Bed)
\- Supplements: (taken daily)
o 4000 mg Vitamin D + 5000 mg Vit C + 200mg Zinc
o Other: NAC/Bee Pollen/Mile Thistle/Probiotic
\- Comments
o Day #6 of illness
o **Awoke with BAD Sore throat**, no other symptoms
# Day 3:
\- Date: 8/9/2020
\- Meds
o Acyclovir : 200 mg  **(100mg BEFORE Bed)** 
o ZPack: 200 mg  **(100mg BEFORE Bed)** 
\- Supplements: (taken daily)
o 4000 mg Vitamin D + 4000 mg Vit C + 200mg Zinc
o Other: NAC/Bee Pollen/Mile Thistle/Probiotic
\- Comments
o Day #7 of illness
o **Awoke with NO Sore throat**, tired, body aches, cough, feels like head cold, ear ache
o Taking Acyclovir BEFORE bed certainly helps to awake with less symptoms!
o Symptoms are worse for me in the AM, before bed and AFTER I eat red meat. Hoping to reduce these in the coming days
# Day 4:
\- Date: 8/10/2020
\- Meds
o Acyclovir : 200 mg (again 1 before bed)
o ZPack: 200 mg (again 1 before bed)
o Mucinex + 3 tylenol + 3 motrin
\- Supplements: (taken daily)
o 4000 mg Vitamin D + 3000 mg Vit C + 200mg Zinc
o Other: NAC/Bee Pollen/Mile Thistle/Probiotic
\- Comments
o Day #8 of illness
o Awoke with stuffy nose, tired all day, body aches, slight cough, feels like it has moved to my chest
o I ate red meat on Day 3 and I felt like CRAP after easting (pork). I am switching to ONLY fish and chicken + veggies. Red meat contributes to inflammation and congestion.
o Ate corvine fish + rice tonight
o Had diarrhea due to VitC, I am reducing Vitc to 3000mg
# Day 5:
\- Date: 8/11/2020
\- Meds
o Acyclovir : 200 mg (again 1 before bed)
o ZPack: 200 mg (again 1 before bed)
o Mucinex + 3 tylenol + 3 motrin
\- Supplements: (taken daily)
o 4000 mg Vitamin D + 3000 mg Vit C + 200mg Zinc
o Other: NAC/Bee Pollen/Mile Thistle/Probiotic (Corganic!!!)
\- Comments
o Day #9 of illness
o Awoke with only slight stuffy nose and slightly tired. Not sure if tiredness is caused by Covid. My appetite is normal, however desire for alcohol is very low, since alcohol accentuates the tiredness
o **Today is best I have felt in 5 days**. Don’t feel as tired 
o Plan to eat grapefruit in AM, Chicken and Fish for lunch/dinner!
 Praying we are on the downswing of this.
**DIET is SO important!!** Don’t believe the BS: Food and Vitamins are a HUGE influence on how your body deals with this illness!!! You ARE what you eat!!!
If you are Obese, this should be a wake up call: GET FIT. 
Also: DONT watch the news: it only makes you feel worse. Go out for a walk and get some light exercise!!!</t>
        </is>
      </c>
      <c r="D4315" t="n">
        <v>1</v>
      </c>
      <c r="E4315" t="n">
        <v>8</v>
      </c>
      <c r="F4315">
        <f>HYPERLINK("https://www.reddit.com/r/COVID19positive/comments/i7x2ot/covid_positive_and_hsv2_positive_daily_log_of_our/")</f>
        <v/>
      </c>
      <c r="G4315" t="inlineStr">
        <is>
          <t>2020-08-11 11:24:24</t>
        </is>
      </c>
      <c r="H4315" t="inlineStr">
        <is>
          <t>Tested Positive - Me</t>
        </is>
      </c>
    </row>
    <row r="4316">
      <c r="A4316" t="inlineStr">
        <is>
          <t>i7xsxn</t>
        </is>
      </c>
      <c r="B4316" t="inlineStr">
        <is>
          <t>Cousin tested positive after going to a restraunt</t>
        </is>
      </c>
      <c r="C4316" t="inlineStr">
        <is>
          <t>My cousin went to a restraunt a few weeks ago, went home felt fine. Got a call from the restraunt letting her know that 2 of the waiters tested positive and she should get tested. She tested positive and had no symptoms the entire time. She was gonna visit my great grandfather in Washington state around that time but thank god she didn’t. Its already spread to my uncle, his girlfriend and my cousins mom
REMINDER: You can be positive, contagious, and have NO symptoms. Please always wear a mask.</t>
        </is>
      </c>
      <c r="D4316" t="n">
        <v>1</v>
      </c>
      <c r="E4316" t="n">
        <v>145</v>
      </c>
      <c r="F4316">
        <f>HYPERLINK("https://www.reddit.com/r/COVID19positive/comments/i7xsxn/cousin_tested_positive_after_going_to_a_restraunt/")</f>
        <v/>
      </c>
      <c r="G4316" t="inlineStr">
        <is>
          <t>2020-08-11 12:02:14</t>
        </is>
      </c>
      <c r="H4316" t="inlineStr">
        <is>
          <t>Tested Positive - Family</t>
        </is>
      </c>
    </row>
    <row r="4317">
      <c r="A4317" t="inlineStr">
        <is>
          <t>i7xsxt</t>
        </is>
      </c>
      <c r="B4317" t="inlineStr">
        <is>
          <t>Possible transmission?</t>
        </is>
      </c>
      <c r="C4317" t="inlineStr">
        <is>
          <t>Hey guys! Having a little anxiety so needed to vent/get some advice. 
A friend of mine had to get a covid test recently because she had all the typical symptoms. While she was waiting for results, she asked to pick something up from me. I hesitated at first, but decided to go ahead with it. She stayed in her car the whole time, we both were wearing masks, and I was at least 6 feet away from the car, even further from her. Come to find out she ended up testing positive. Should I be worried about contracting it? I have horrible anxiety along with bad allergies, so I’ve been a bit neurotic since finding out. I feel I took all the precautions necessary. In the future, I’m definitely not putting myself in that position, because the anxiety is not worth it.</t>
        </is>
      </c>
      <c r="D4317" t="n">
        <v>1</v>
      </c>
      <c r="E4317" t="n">
        <v>6</v>
      </c>
      <c r="F4317">
        <f>HYPERLINK("https://www.reddit.com/r/COVID19positive/comments/i7xsxt/possible_transmission/")</f>
        <v/>
      </c>
      <c r="G4317" t="inlineStr">
        <is>
          <t>2020-08-11 12:02:14</t>
        </is>
      </c>
      <c r="H4317" t="inlineStr">
        <is>
          <t>Tested Positive - Friends</t>
        </is>
      </c>
    </row>
    <row r="4318">
      <c r="A4318" t="inlineStr">
        <is>
          <t>i7zbow</t>
        </is>
      </c>
      <c r="B4318" t="inlineStr">
        <is>
          <t>Is it worth getting tested again a week after positive test?</t>
        </is>
      </c>
      <c r="C4318" t="inlineStr">
        <is>
          <t>I got tested positive a week from tomorrow. I’d had symptoms since the Sunday before. My question is is it worth going back and getting tested tomorrow? It’s my birthday and I’d like to see some people, but don’t know how much difference a week makes. Let me know your thoughts.</t>
        </is>
      </c>
      <c r="D4318" t="n">
        <v>1</v>
      </c>
      <c r="E4318" t="n">
        <v>6</v>
      </c>
      <c r="F4318">
        <f>HYPERLINK("https://www.reddit.com/r/COVID19positive/comments/i7zbow/is_it_worth_getting_tested_again_a_week_after/")</f>
        <v/>
      </c>
      <c r="G4318" t="inlineStr">
        <is>
          <t>2020-08-11 13:23:05</t>
        </is>
      </c>
      <c r="H4318" t="inlineStr">
        <is>
          <t>Tested Positive - Me</t>
        </is>
      </c>
    </row>
    <row r="4319">
      <c r="A4319" t="inlineStr">
        <is>
          <t>i7zyf9</t>
        </is>
      </c>
      <c r="B4319" t="inlineStr">
        <is>
          <t>Scared to workout</t>
        </is>
      </c>
      <c r="C4319" t="inlineStr">
        <is>
          <t>I completely recovered for covid. I am in my 20s and relatively healthy. I want to go back to working out everyday but after seeing reports that covid could be causing heart issues is now scaring me. Seeing athletes developing heart issues has me worried. I live alone so I’m worried if I work out too hard I might get a heart attack with no one around to help. The 27 year old former FSU basketball player died from one after developing heart issues from covid. Am I overreacting?</t>
        </is>
      </c>
      <c r="D4319" t="n">
        <v>1</v>
      </c>
      <c r="E4319" t="n">
        <v>7</v>
      </c>
      <c r="F4319">
        <f>HYPERLINK("https://www.reddit.com/r/COVID19positive/comments/i7zyf9/scared_to_workout/")</f>
        <v/>
      </c>
      <c r="G4319" t="inlineStr">
        <is>
          <t>2020-08-11 13:57:02</t>
        </is>
      </c>
      <c r="H4319" t="inlineStr">
        <is>
          <t>Tested Positive - Me</t>
        </is>
      </c>
    </row>
    <row r="4320">
      <c r="A4320" t="inlineStr">
        <is>
          <t>i808rd</t>
        </is>
      </c>
      <c r="B4320" t="inlineStr">
        <is>
          <t>My sister tested positive - no symptoms</t>
        </is>
      </c>
      <c r="C4320" t="inlineStr">
        <is>
          <t>My sister had to have a heart cath done. The hospital tested her seven days before her procedure. The day of the procedure, the results weren’t ready. The doc decided to do a rapid Covid test. It came back negative. They go ahead with the heart test. While she’s having the procedure, the original test comes back (this was the one the goes way up the nose). Turns out it was positive. The doc freaks out a little and tells my sister her test from a week ago was positive and he wouldn’t have done the heart cath had he known. They decided to do another Covid test before they Released her. It was back in eight hours and was negative. We’re all left wondering if she had Covid or not. Doctors told her they felt she didn’t have it at the time of the cath - which was their main concern, but could have been ill with it when they tested her the first time. She’s thinking of getting an antibody test for some clarification. Anyone on this subreddit had a similar experience with testing?</t>
        </is>
      </c>
      <c r="D4320" t="n">
        <v>1</v>
      </c>
      <c r="E4320" t="n">
        <v>2</v>
      </c>
      <c r="F4320">
        <f>HYPERLINK("https://www.reddit.com/r/COVID19positive/comments/i808rd/my_sister_tested_positive_no_symptoms/")</f>
        <v/>
      </c>
      <c r="G4320" t="inlineStr">
        <is>
          <t>2020-08-11 14:12:20</t>
        </is>
      </c>
      <c r="H4320" t="inlineStr">
        <is>
          <t>Tested Positive - Family</t>
        </is>
      </c>
    </row>
    <row r="4321">
      <c r="A4321" t="inlineStr">
        <is>
          <t>i80hgc</t>
        </is>
      </c>
      <c r="B4321" t="inlineStr">
        <is>
          <t>Experiencing Joint Pain, What should I do?</t>
        </is>
      </c>
      <c r="C4321" t="inlineStr">
        <is>
          <t>So about 9 days ago, I was potentially exposed to someone with COVID-19 (they experienced a fever and are still awaiting test results.) I have been self-isolating for the past 9 days but yesterday I have begun to expierence joint pain. Also had a stomach ache but this seems to have passed for the most part. I just got tested and am expecting results in about 10 days. However in the meantime I was wondering what I should do. Should I take anything? Should I be doing stretches? For background I am a 22 y/o relatively healthy male.</t>
        </is>
      </c>
      <c r="D4321" t="n">
        <v>1</v>
      </c>
      <c r="E4321" t="n">
        <v>5</v>
      </c>
      <c r="F4321">
        <f>HYPERLINK("https://www.reddit.com/r/COVID19positive/comments/i80hgc/experiencing_joint_pain_what_should_i_do/")</f>
        <v/>
      </c>
      <c r="G4321" t="inlineStr">
        <is>
          <t>2020-08-11 14:25:23</t>
        </is>
      </c>
      <c r="H4321" t="inlineStr">
        <is>
          <t>Presumed Positive - From Test</t>
        </is>
      </c>
    </row>
    <row r="4322">
      <c r="A4322" t="inlineStr">
        <is>
          <t>i8150d</t>
        </is>
      </c>
      <c r="B4322" t="inlineStr">
        <is>
          <t>Anyone feel worse when they’re hungry but not actually feel hunger pains?</t>
        </is>
      </c>
      <c r="C4322" t="inlineStr">
        <is>
          <t>Kind of a weird question I know but I’m on day 15 of symptoms and I’ve lost 5 lbs unintentionally over the last two weeks because I have to force myself to eat because I’m not hungry. I never lost my sense of taste or smell or anything like that so that’s not it. I’ve noticed though that I start to feel extremely tired and my body feels weird and tingly and also jittery. If I eat something, while not a cure all, I start to feel a little better.</t>
        </is>
      </c>
      <c r="D4322" t="n">
        <v>1</v>
      </c>
      <c r="E4322" t="n">
        <v>5</v>
      </c>
      <c r="F4322">
        <f>HYPERLINK("https://www.reddit.com/r/COVID19positive/comments/i8150d/anyone_feel_worse_when_theyre_hungry_but_not/")</f>
        <v/>
      </c>
      <c r="G4322" t="inlineStr">
        <is>
          <t>2020-08-11 15:00:36</t>
        </is>
      </c>
      <c r="H4322" t="inlineStr">
        <is>
          <t>Tested Positive - Me</t>
        </is>
      </c>
    </row>
    <row r="4323">
      <c r="A4323" t="inlineStr">
        <is>
          <t>i82i7x</t>
        </is>
      </c>
      <c r="B4323" t="inlineStr">
        <is>
          <t>Can’t believe I test positive for COVID</t>
        </is>
      </c>
      <c r="C4323" t="inlineStr">
        <is>
          <t>I was told I am positive for COVID 19. I am really surprised because the past few weeks, I been feeling normal and fine. I didn’t have any symptom. I went to get tested from Emory on Monday and the next day I receive a call that I was positive. Now I can’t get my ACL surgery because of it. I can’t believe I was positive. Everything feel fine. My questions are 
Is it possible that they made a mistake? 
Have anyone went to take the test again and the result came back different?</t>
        </is>
      </c>
      <c r="D4323" t="n">
        <v>1</v>
      </c>
      <c r="E4323" t="n">
        <v>8</v>
      </c>
      <c r="F4323">
        <f>HYPERLINK("https://www.reddit.com/r/COVID19positive/comments/i82i7x/cant_believe_i_test_positive_for_covid/")</f>
        <v/>
      </c>
      <c r="G4323" t="inlineStr">
        <is>
          <t>2020-08-11 16:17:55</t>
        </is>
      </c>
      <c r="H4323" t="inlineStr">
        <is>
          <t>Tested Positive - Me</t>
        </is>
      </c>
    </row>
    <row r="4324">
      <c r="A4324" t="inlineStr">
        <is>
          <t>i8464y</t>
        </is>
      </c>
      <c r="B4324" t="inlineStr">
        <is>
          <t>Freaking out</t>
        </is>
      </c>
      <c r="C4324" t="inlineStr">
        <is>
          <t>Hi, all- feeling very scared and freaked out/lost. My mom (68) flew in to CA from NY, where she lives by herself and only goes out (with a mask) to walk her dog. She's been a town crier for Covid since December and has been SUPER paranoid/cautious ever since. When she got here (8/5) we both went and got tested (8/7). Her test came back positive, mine negative. To add- myself and my husband have been getting tested every 2 weeks (always negative).
My mom got retested today (results pending) and my husband and I are going tomorrow. She has zero symptoms and we all feel fine, but I'm definitely freaking out, especially since we have a 7.5 month old at home. 
I feel like an idiot for not insisting she get tested before flying here, but I can't do much about that now. Anyone here an asymptomatic positive? How long did you test positive before getting a negative?</t>
        </is>
      </c>
      <c r="D4324" t="n">
        <v>1</v>
      </c>
      <c r="E4324" t="n">
        <v>15</v>
      </c>
      <c r="F4324">
        <f>HYPERLINK("https://www.reddit.com/r/COVID19positive/comments/i8464y/freaking_out/")</f>
        <v/>
      </c>
      <c r="G4324" t="inlineStr">
        <is>
          <t>2020-08-11 18:01:30</t>
        </is>
      </c>
      <c r="H4324" t="inlineStr">
        <is>
          <t>Tested Positive - Family</t>
        </is>
      </c>
    </row>
    <row r="4325">
      <c r="A4325" t="inlineStr">
        <is>
          <t>i84b56</t>
        </is>
      </c>
      <c r="B4325" t="inlineStr">
        <is>
          <t>Feeling Stupid and Depressed</t>
        </is>
      </c>
      <c r="C4325" t="inlineStr">
        <is>
          <t>Decided to finally come back into the office today after getting negative test results Monday. Kept my distance still and wore a mask but it was good to see everyone.
Then I get home today, and my roommate informs me he misread his results (I know) and is/was actually positive. I feel both so ashamed and stupid, and let myself get my hopes up. I just hope I didn't endanger anyone. I hate this</t>
        </is>
      </c>
      <c r="D4325" t="n">
        <v>1</v>
      </c>
      <c r="E4325" t="n">
        <v>2</v>
      </c>
      <c r="F4325">
        <f>HYPERLINK("https://www.reddit.com/r/COVID19positive/comments/i84b56/feeling_stupid_and_depressed/")</f>
        <v/>
      </c>
      <c r="G4325" t="inlineStr">
        <is>
          <t>2020-08-11 18:10:22</t>
        </is>
      </c>
      <c r="H4325" t="inlineStr">
        <is>
          <t>Presumed Positive - From Test</t>
        </is>
      </c>
    </row>
    <row r="4326">
      <c r="A4326" t="inlineStr">
        <is>
          <t>i85fhe</t>
        </is>
      </c>
      <c r="B4326" t="inlineStr">
        <is>
          <t>[UPDATE] My dad</t>
        </is>
      </c>
      <c r="C4326" t="inlineStr">
        <is>
          <t>So, my dad's health is not improving. They said he's in critical condition. I think he'll pull through this, though. 
A lot of y'all are asking about him, so I figured I'd do this.
His kidneys are starting to fail, and the doctors are worried about his heart and lungs.
He's still fighting. I'm still praying. Thank you for the support, guys. 
The doctors talked about doing a tracheotomy.  Has that worked for you or a loved one?</t>
        </is>
      </c>
      <c r="D4326" t="n">
        <v>1</v>
      </c>
      <c r="E4326" t="n">
        <v>28</v>
      </c>
      <c r="F4326">
        <f>HYPERLINK("https://www.reddit.com/r/COVID19positive/comments/i85fhe/update_my_dad/")</f>
        <v/>
      </c>
      <c r="G4326" t="inlineStr">
        <is>
          <t>2020-08-11 19:22:38</t>
        </is>
      </c>
      <c r="H4326" t="inlineStr">
        <is>
          <t>Tested Positive - Family</t>
        </is>
      </c>
    </row>
    <row r="4327">
      <c r="A4327" t="inlineStr">
        <is>
          <t>i86427</t>
        </is>
      </c>
      <c r="B4327" t="inlineStr">
        <is>
          <t>Roommate tested Positive believe where Asymptomatic</t>
        </is>
      </c>
      <c r="C4327" t="inlineStr">
        <is>
          <t>Hey everyone hope you guys are doing well. I know it’s a very difficult time but we are all in this together.
My roommate, who is probably the last person I thought get Covid tested positive. He took his test 8/3 and received results 8/8. I’m assuming I am also going to test positive because we are around each other all throughout the day. I took my test 8/10 still haven’t got my results. Were both asymptomatic except I’ve had a headache the past few days. I feel though that if he tested positive 8/3 I would’ve contracted it sometime between 8/3 and now. 
Any advice from others who are asymptomatic? How should I deal with this? We have been quarantining for the past few days. We’re still very shocked and confused. Hope someone takes the time to read this!
Thanks,
- Pxhr20</t>
        </is>
      </c>
      <c r="D4327" t="n">
        <v>1</v>
      </c>
      <c r="E4327" t="n">
        <v>3</v>
      </c>
      <c r="F4327">
        <f>HYPERLINK("https://www.reddit.com/r/COVID19positive/comments/i86427/roommate_tested_positive_believe_where/")</f>
        <v/>
      </c>
      <c r="G4327" t="inlineStr">
        <is>
          <t>2020-08-11 20:08:29</t>
        </is>
      </c>
      <c r="H4327" t="inlineStr">
        <is>
          <t>Presumed Positive - From Test</t>
        </is>
      </c>
    </row>
    <row r="4328">
      <c r="A4328" t="inlineStr">
        <is>
          <t>i86he9</t>
        </is>
      </c>
      <c r="B4328" t="inlineStr">
        <is>
          <t>Whole family developed very light symptoms</t>
        </is>
      </c>
      <c r="C4328" t="inlineStr">
        <is>
          <t>So about last week my whole family developed stuffed sinuses &amp;amp; sneezing. Some of us had it worse than others, some us also developed fatigue and headaches. It all lasted about 2 - 3 days for all of us and it’s all disappeared like magic
The doctor said it was unusual to for all us develop potential cold symptoms so rapidly. So he suggested we all get tested just be safe.
We hardly go out and are very careful. But could have that been it? My mom is 52 and dad is 66 and my dad is doing just fine now?</t>
        </is>
      </c>
      <c r="D4328" t="n">
        <v>1</v>
      </c>
      <c r="E4328" t="n">
        <v>5</v>
      </c>
      <c r="F4328">
        <f>HYPERLINK("https://www.reddit.com/r/COVID19positive/comments/i86he9/whole_family_developed_very_light_symptoms/")</f>
        <v/>
      </c>
      <c r="G4328" t="inlineStr">
        <is>
          <t>2020-08-11 20:33:36</t>
        </is>
      </c>
      <c r="H4328" t="inlineStr">
        <is>
          <t>Presumed Positive - From Doctor</t>
        </is>
      </c>
    </row>
    <row r="4329">
      <c r="A4329" t="inlineStr">
        <is>
          <t>i86up7</t>
        </is>
      </c>
      <c r="B4329" t="inlineStr">
        <is>
          <t>Dangerous to take painkillers before nasal pharyngeal swab?</t>
        </is>
      </c>
      <c r="C4329" t="inlineStr">
        <is>
          <t>I've heard mixed accounts regarding the amount of pain people feel while taking the nasal pharyngeal swab for covid. I'm getting one done at a drive thru location tomorrow morning. I was wondering, would it be dangerous to take an ibuprofen or some other painkiller beforehand? I'm afraid of the pain, but I don't want to injur or kill myself if it's dangerous to take a painkiller.</t>
        </is>
      </c>
      <c r="D4329" t="n">
        <v>1</v>
      </c>
      <c r="E4329" t="n">
        <v>5</v>
      </c>
      <c r="F4329">
        <f>HYPERLINK("https://www.reddit.com/r/COVID19positive/comments/i86up7/dangerous_to_take_painkillers_before_nasal/")</f>
        <v/>
      </c>
      <c r="G4329" t="inlineStr">
        <is>
          <t>2020-08-11 21:00:35</t>
        </is>
      </c>
      <c r="H4329" t="inlineStr">
        <is>
          <t>Presumed Positive - From Doctor</t>
        </is>
      </c>
    </row>
    <row r="4330">
      <c r="A4330" t="inlineStr">
        <is>
          <t>i870zm</t>
        </is>
      </c>
      <c r="B4330" t="inlineStr">
        <is>
          <t>It feels strange that this thing that is so scary it nearly shut down world has now entered our home.</t>
        </is>
      </c>
      <c r="C4330" t="inlineStr">
        <is>
          <t>I found out today my 3 year old is positive for COVID-19. It is still surreal. She started out with itchy watery eyes, runny nose, and a little cough. We totally thought it was allergies because it started after the first night in a different place where she was exposed to multiple allergens. Fast forward 4 days, we're home, but her cough has become worse. Eyes are fine and nose not too runny. Her pediatrician suggested we bring her in and she was tested. Positive. Her cough has gotten a bit worse over the days and she has little to no appetite. I don't know what to expect. I can't seem to look in the right places to hear others experiences with covid in young children. I'm assuming I'm already infected and probably my 7 year old too as we've been in close contact frequently. Any advice on where to go from here or what I can possibly expect over the next week as the virus does its thing? Do I go nuts sanitizing all day and washing everything she touches? Or do I just keep doing what I'm doing since it's already here? I think I need a manual.</t>
        </is>
      </c>
      <c r="D4330" t="n">
        <v>1</v>
      </c>
      <c r="E4330" t="n">
        <v>15</v>
      </c>
      <c r="F4330">
        <f>HYPERLINK("https://www.reddit.com/r/COVID19positive/comments/i870zm/it_feels_strange_that_this_thing_that_is_so_scary/")</f>
        <v/>
      </c>
      <c r="G4330" t="inlineStr">
        <is>
          <t>2020-08-11 21:13:07</t>
        </is>
      </c>
      <c r="H4330" t="inlineStr">
        <is>
          <t>Tested Positive</t>
        </is>
      </c>
    </row>
    <row r="4331">
      <c r="A4331" t="inlineStr">
        <is>
          <t>i87lcc</t>
        </is>
      </c>
      <c r="B4331" t="inlineStr">
        <is>
          <t>Quest Diagnostics Positive COVID results: Can any one provide me with a copy of their positive results?</t>
        </is>
      </c>
      <c r="C4331" t="inlineStr">
        <is>
          <t>Hi,
I'm looking for a copy of the positive testing results (complete report) preferrably with Quest Diagnostics.  I would like to compare what Quest reviews in comparison to other firms.
Please redact your name and personal information.
Appreciate any help with this.</t>
        </is>
      </c>
      <c r="D4331" t="n">
        <v>1</v>
      </c>
      <c r="E4331" t="n">
        <v>3</v>
      </c>
      <c r="F4331">
        <f>HYPERLINK("https://www.reddit.com/r/COVID19positive/comments/i87lcc/quest_diagnostics_positive_covid_results_can_any/")</f>
        <v/>
      </c>
      <c r="G4331" t="inlineStr">
        <is>
          <t>2020-08-11 21:56:04</t>
        </is>
      </c>
      <c r="H4331" t="inlineStr">
        <is>
          <t>Tested Positive</t>
        </is>
      </c>
    </row>
    <row r="4332">
      <c r="A4332" t="inlineStr">
        <is>
          <t>i88b5n</t>
        </is>
      </c>
      <c r="B4332" t="inlineStr">
        <is>
          <t>Support or experiences. 11 month old positive</t>
        </is>
      </c>
      <c r="C4332" t="inlineStr">
        <is>
          <t>Looking for support or experiences. 
I tested positive on Sunday. Had allergy like symptoms, 2 episodes (1 day apart) of diarrhea with horrible cramps, and just very tired. Then lost my sense of smell Saturday night. 
My husband and 10 year old son were both tested (Sunday and Monday respectively) and were both negative. 
But Monday morning my 11 month old started running fever, up to 103. Some diarrhea that day. And she also had congestion, runny nose a few weeks before, but none now. 
She tested positive. She is breastfed and we are continuing to nurse. Her fever has evened out today. Only requiring medications 3 times. Temp only got up to 100. She’s nursing more frequently, drinking some water, and eating ok. 
She’s just very tired, sensitive, cranky, not herself. 
Has anyone had a little one test positive? 
Please share with me your experience. 
Thank you</t>
        </is>
      </c>
      <c r="D4332" t="n">
        <v>1</v>
      </c>
      <c r="E4332" t="n">
        <v>5</v>
      </c>
      <c r="F4332">
        <f>HYPERLINK("https://www.reddit.com/r/COVID19positive/comments/i88b5n/support_or_experiences_11_month_old_positive/")</f>
        <v/>
      </c>
      <c r="G4332" t="inlineStr">
        <is>
          <t>2020-08-11 22:53:40</t>
        </is>
      </c>
      <c r="H4332" t="inlineStr">
        <is>
          <t>Tested Positive</t>
        </is>
      </c>
    </row>
    <row r="4333">
      <c r="A4333" t="inlineStr">
        <is>
          <t>i88j6a</t>
        </is>
      </c>
      <c r="B4333" t="inlineStr">
        <is>
          <t>Covid Positive can I smoke a joint?</t>
        </is>
      </c>
      <c r="C4333" t="inlineStr">
        <is>
          <t>I’m literally struggling with this whole entire thing. Everyone in my family is either asymptomatic or recovered. I haven’t left my house since March and I still got it. I haven’t smoked in months but I really need one now my anxiety is over the roof.</t>
        </is>
      </c>
      <c r="D4333" t="n">
        <v>1</v>
      </c>
      <c r="E4333" t="n">
        <v>7</v>
      </c>
      <c r="F4333">
        <f>HYPERLINK("https://www.reddit.com/r/COVID19positive/comments/i88j6a/covid_positive_can_i_smoke_a_joint/")</f>
        <v/>
      </c>
      <c r="G4333" t="inlineStr">
        <is>
          <t>2020-08-11 23:11:58</t>
        </is>
      </c>
      <c r="H4333" t="inlineStr">
        <is>
          <t>Tested Positive</t>
        </is>
      </c>
    </row>
    <row r="4334">
      <c r="A4334" t="inlineStr">
        <is>
          <t>i88pna</t>
        </is>
      </c>
      <c r="B4334" t="inlineStr">
        <is>
          <t>My right eye is blurry, is it a possible symptom of covid?</t>
        </is>
      </c>
      <c r="C4334" t="inlineStr">
        <is>
          <t>Kinda freaking out right now as my right eye is blurry but my left is crystal clear. Was wondering if others also have this symptom or something.</t>
        </is>
      </c>
      <c r="D4334" t="n">
        <v>1</v>
      </c>
      <c r="E4334" t="n">
        <v>12</v>
      </c>
      <c r="F4334">
        <f>HYPERLINK("https://www.reddit.com/r/COVID19positive/comments/i88pna/my_right_eye_is_blurry_is_it_a_possible_symptom/")</f>
        <v/>
      </c>
      <c r="G4334" t="inlineStr">
        <is>
          <t>2020-08-11 23:27:04</t>
        </is>
      </c>
      <c r="H4334" t="inlineStr">
        <is>
          <t>Tested Positive</t>
        </is>
      </c>
    </row>
    <row r="4335">
      <c r="A4335" t="inlineStr">
        <is>
          <t>i88x21</t>
        </is>
      </c>
      <c r="B4335" t="inlineStr">
        <is>
          <t>Brother and I tested positive with minor symptoms, age 20, healthy weight. We’re so scared of dying or something bad happening.</t>
        </is>
      </c>
      <c r="C4335" t="inlineStr">
        <is>
          <t>We’re scared to death of being hospitalized. Or having a long term complication. Could someone help me, very worried.</t>
        </is>
      </c>
      <c r="D4335" t="n">
        <v>1</v>
      </c>
      <c r="E4335" t="n">
        <v>8</v>
      </c>
      <c r="F4335">
        <f>HYPERLINK("https://www.reddit.com/r/COVID19positive/comments/i88x21/brother_and_i_tested_positive_with_minor_symptoms/")</f>
        <v/>
      </c>
      <c r="G4335" t="inlineStr">
        <is>
          <t>2020-08-11 23:44:33</t>
        </is>
      </c>
      <c r="H4335" t="inlineStr">
        <is>
          <t>Tested Positive - Family</t>
        </is>
      </c>
    </row>
    <row r="4336">
      <c r="A4336" t="inlineStr">
        <is>
          <t>i8a31c</t>
        </is>
      </c>
      <c r="B4336" t="inlineStr">
        <is>
          <t>Taking a cab to the hospital?</t>
        </is>
      </c>
      <c r="C4336" t="inlineStr">
        <is>
          <t>For several days I thought I had allergies. O haven't testes positive yet, but I'm pretty sure now it's covid-19, cause, what else could it be? 
Tonight, I can't sleep because my breathe is getting harder. 
O need to go to a hospital, but I'm afraid I could spread the virus to the cab driver. 
How can I manage this? 
Take care everyone.</t>
        </is>
      </c>
      <c r="D4336" t="n">
        <v>1</v>
      </c>
      <c r="E4336" t="n">
        <v>10</v>
      </c>
      <c r="F4336">
        <f>HYPERLINK("https://www.reddit.com/r/COVID19positive/comments/i8a31c/taking_a_cab_to_the_hospital/")</f>
        <v/>
      </c>
      <c r="G4336" t="inlineStr">
        <is>
          <t>2020-08-12 01:31:41</t>
        </is>
      </c>
      <c r="H4336" t="inlineStr">
        <is>
          <t>Presumed Positive - From Doctor</t>
        </is>
      </c>
    </row>
    <row r="4337">
      <c r="A4337" t="inlineStr">
        <is>
          <t>i8as6m</t>
        </is>
      </c>
      <c r="B4337" t="inlineStr">
        <is>
          <t>I went to camp</t>
        </is>
      </c>
      <c r="C4337" t="inlineStr">
        <is>
          <t>I went to camp and it was great! The only thing you had to do before going to this camp, was to give the teachers a document, that says you aren't sick. We all did apart from one guy. On the first day he had fever but still wanted to take part in everything. The teachers didn't want to send him back, bc they needed him (since we were doing a musical and he was one of the main characters). This guy was the reason the whole musical is now sick and at home
The day of the concert as I was singing in the choir I felt light headed and couldn't breathe. I felt like I was going to black out  any second. I have no idea what happened but I don't remember a good 10 minutes of me struggling. The teachers told me there wasn't much left so I held on. After the whole show everyone told me I was pale.
I went home and the next two days I was fine! Then we learned most of the kids where positive. And of course I went to take a test, positive too. At first my nose was always clogged but now all that's left from the virus is my loss of smell. I can't smell anything, even if the smell is sharp. I've been positive for 27 days now. I feel alright from the week after the show, definitely not like a sick person would feel. Plus my parents tested themselves and I didn't disease anyone. I'm confused as to why I'm still positive and how much longer will I be. Half of my summer is already ruined. If I'm not negative due 5 days I won't be able to go to the sea this year and my parents spend a lot of money to reserve a really nice place. I feel like I'm always ruining stuff for my family, so now covid is making me feel guilty 😭</t>
        </is>
      </c>
      <c r="D4337" t="n">
        <v>1</v>
      </c>
      <c r="E4337" t="n">
        <v>5</v>
      </c>
      <c r="F4337">
        <f>HYPERLINK("https://www.reddit.com/r/COVID19positive/comments/i8as6m/i_went_to_camp/")</f>
        <v/>
      </c>
      <c r="G4337" t="inlineStr">
        <is>
          <t>2020-08-12 02:39:13</t>
        </is>
      </c>
      <c r="H4337" t="inlineStr">
        <is>
          <t>Tested Positive - Me</t>
        </is>
      </c>
    </row>
    <row r="4338">
      <c r="A4338" t="inlineStr">
        <is>
          <t>i8b5g8</t>
        </is>
      </c>
      <c r="B4338" t="inlineStr">
        <is>
          <t>Just got the news: I tested positive. This is what I have experienced so far.</t>
        </is>
      </c>
      <c r="C4338" t="inlineStr">
        <is>
          <t>Timeline:
&amp;amp;nbsp;
06/08: I began to feel tired (no other symptoms)
&amp;amp;nbsp;
08/08: tiredness got worse (still no other symptoms)
&amp;amp;nbsp;
09/08: whole head felt congested, chills (no fever), very mild sore throat, slight chest discomfort (breathing fine and no cough), runny nose.
&amp;amp;nbsp;
10/08: same as the day before, so I decided to get checked
&amp;amp;nbsp;
11/08: chills gone, sore throat still there but very mild, runny nose almost gone, congestion almost gone, still a slight chest discomfort (still breathing fine and no cough).
&amp;amp;nbsp;
12/08: got my result. symptoms still same as the day before but runny nose gone completely
&amp;amp;nbsp;
What to expect next? Are the symptoms gonna get worse? besides isolating myself is there anything else I should do? very worried at the moment</t>
        </is>
      </c>
      <c r="D4338" t="n">
        <v>1</v>
      </c>
      <c r="E4338" t="n">
        <v>16</v>
      </c>
      <c r="F4338">
        <f>HYPERLINK("https://www.reddit.com/r/COVID19positive/comments/i8b5g8/just_got_the_news_i_tested_positive_this_is_what/")</f>
        <v/>
      </c>
      <c r="G4338" t="inlineStr">
        <is>
          <t>2020-08-12 03:13:07</t>
        </is>
      </c>
      <c r="H4338" t="inlineStr">
        <is>
          <t>Tested Positive - Me</t>
        </is>
      </c>
    </row>
    <row r="4339">
      <c r="A4339" t="inlineStr">
        <is>
          <t>i8d6ej</t>
        </is>
      </c>
      <c r="B4339" t="inlineStr">
        <is>
          <t>18 with Covid-19</t>
        </is>
      </c>
      <c r="C4339" t="inlineStr">
        <is>
          <t>Extreme headache’s, Fever, stomach discomfort, slight cough and sore throat, chills, eyes feel like they are burning......haven’t vomited at all though. Still feeling really sick and worried cause I’m supposed to go of to college in 2 weeks and I feel like I’m getting worse not better.</t>
        </is>
      </c>
      <c r="D4339" t="n">
        <v>1</v>
      </c>
      <c r="E4339" t="n">
        <v>16</v>
      </c>
      <c r="F4339">
        <f>HYPERLINK("https://www.reddit.com/r/COVID19positive/comments/i8d6ej/18_with_covid19/")</f>
        <v/>
      </c>
      <c r="G4339" t="inlineStr">
        <is>
          <t>2020-08-12 05:51:44</t>
        </is>
      </c>
      <c r="H4339" t="inlineStr">
        <is>
          <t>Tested Positive - Me</t>
        </is>
      </c>
    </row>
    <row r="4340">
      <c r="A4340" t="inlineStr">
        <is>
          <t>i8deqs</t>
        </is>
      </c>
      <c r="B4340" t="inlineStr">
        <is>
          <t>Please help me.</t>
        </is>
      </c>
      <c r="C4340" t="inlineStr">
        <is>
          <t>I don't know how to start this. So four days ago, I was playing a very hard game that i played for 2 years, but this time i pushed my limits very hard. I went to sleep and i was thinking about that game, i was nervous. So after 6 hours of sleep (i usually sleep 10+ hours) i woke up and started playing the game again. When I was done and ready to sleep, i couldnt stop sweating and i couldnt sleep. I was struggling and then after 9 hours of crying, I fell asleep. Not for long, it was a pre-sleep state. I woke up very tired and anxious, but then i played the game again, felt very alive, but then i tried to sleep that evening and found out that I couldnt even drift off. I was trying to sleep, i got relaxed, everything but right after being for a hour in a pre-sleep state, i woke up sweaty. Ive been up since that. Then the next day i tried sleeping again, and i couldnt stop my heart from beating, i was trying 4 hours to sleep, and i fell asleep 3 times. Always 1 hour of not even deep sleep. Ive been so anxious that i called the ambulance in the morning and they sent me to my doctor, i got some sleeping pills. I took two of them and tried to fall asleep, and I did. But then i had nightmares, i was very conscious in my dream, i knew it wasnt just a dream, i was in my bedroom, with my family. Then there were some crates in the kitchen and between them were spiders, a whole spider family. Idk what happened next but the biggest spider got smashed and my mom told me that someone squashed him. I got tired of this and went to sleep, YES I WENT TO SLEEP IN MY DREAM, and the worst part is that i woke up in my dream with a spider in my mouth, i spat it out and it crawled underneath my table. Then idk what happened and i woke up irl very sweaty, cause i was hearing voices laughing at me. Then I woke up and asked my mom how long i slept and she said 45 minutes. It was like 10 hours in my dreams. Please, i cant stop panicking, im scared that i have a deadly insomnia.</t>
        </is>
      </c>
      <c r="D4340" t="n">
        <v>1</v>
      </c>
      <c r="E4340" t="n">
        <v>8</v>
      </c>
      <c r="F4340">
        <f>HYPERLINK("https://www.reddit.com/r/COVID19positive/comments/i8deqs/please_help_me/")</f>
        <v/>
      </c>
      <c r="G4340" t="inlineStr">
        <is>
          <t>2020-08-12 06:07:14</t>
        </is>
      </c>
      <c r="H4340" t="inlineStr">
        <is>
          <t>Tested Positive</t>
        </is>
      </c>
    </row>
    <row r="4341">
      <c r="A4341" t="inlineStr">
        <is>
          <t>i8dsx1</t>
        </is>
      </c>
      <c r="B4341" t="inlineStr">
        <is>
          <t>Horrible lower back/leg aches?</t>
        </is>
      </c>
      <c r="C4341" t="inlineStr">
        <is>
          <t>Has anyone had a similar timeline of symptoms? We’re waiting on a test to come back but pretty sure I’ve got it😪 I’m on day 8 right now with little improvement 
Day 1 - slight fever, bad headache that medicine wouldn’t touch, minor body aches. Shrugged it off as exhaustion 
Day 2 - no fever, pretty bad lower abdominal pain all night (which felt unusual, not typical cramps or anything) then diarrhea all night
Day 3 - no fever, no diarrhea, went for a walk and came back so exhausted and my whole body hurt, I thought I was dying, slept for nearly 14hrs
Day 4 - no fever, no diarrhea, mild sore throat, horrible body aches
Day 5 - still minor sore throat, body aches worsen
Day 6 - sore throat is gone, body aches stay the same (especially bad in lower back and legs)
Day 7 - no change
Day 8 - no change 
Is this forever? Is it going to get worse or do you think it’ll stay the same? I’ve also lost about 7lbs without much change to my calorie intake.. I feel like my body is eating my muscles or something, and can’t rebuild fast enough. Also everything has come in waves, like by the hour I will feel different it’s insane</t>
        </is>
      </c>
      <c r="D4341" t="n">
        <v>1</v>
      </c>
      <c r="E4341" t="n">
        <v>11</v>
      </c>
      <c r="F4341">
        <f>HYPERLINK("https://www.reddit.com/r/COVID19positive/comments/i8dsx1/horrible_lower_backleg_aches/")</f>
        <v/>
      </c>
      <c r="G4341" t="inlineStr">
        <is>
          <t>2020-08-12 06:32:50</t>
        </is>
      </c>
      <c r="H4341" t="inlineStr">
        <is>
          <t>Presumed Positive - From Doctor</t>
        </is>
      </c>
    </row>
    <row r="4342">
      <c r="A4342" t="inlineStr">
        <is>
          <t>i8ej61</t>
        </is>
      </c>
      <c r="B4342" t="inlineStr">
        <is>
          <t>psilocybin and healing depression caused by covid</t>
        </is>
      </c>
      <c r="C4342" t="inlineStr">
        <is>
          <t>Hey there, I know this is a fairly debatable topic and I’m not sure if I’m breaking rules posting this, but here it goes. I’ve been absolutely terrified the past month and a half. Scared, anxious, and have slipped into a depressive state. Now I’ve done mushrooms many times, and they’ve helped me tremendously to accept what my ego is not capable of accepting sometimes. I have a fear that this disease will effect me for years, and that fear is getting in the way of me living my life (along with the lingering covid symptoms obviously) 
My birthday is tomorrow and I will be taking 2.5 of medical grade psilocybin mushrooms, I will document the next day how I feel and how I felt before/during/ and after my trip (mentally and physically) The goal is acceptance, and hopefully healing some of the mental distortion that I’ve endured the past month or so. I know this is experimental and I might be judged for it, but I seek answers and am trying everything I can to feel a little better everyday. Peace</t>
        </is>
      </c>
      <c r="D4342" t="n">
        <v>1</v>
      </c>
      <c r="E4342" t="n">
        <v>78</v>
      </c>
      <c r="F4342">
        <f>HYPERLINK("https://www.reddit.com/r/COVID19positive/comments/i8ej61/psilocybin_and_healing_depression_caused_by_covid/")</f>
        <v/>
      </c>
      <c r="G4342" t="inlineStr">
        <is>
          <t>2020-08-12 07:17:23</t>
        </is>
      </c>
      <c r="H4342" t="inlineStr">
        <is>
          <t>Tested Positive</t>
        </is>
      </c>
    </row>
    <row r="4343">
      <c r="A4343" t="inlineStr">
        <is>
          <t>i8ffjb</t>
        </is>
      </c>
      <c r="B4343" t="inlineStr">
        <is>
          <t>Tested positive (22F &amp;amp; 23M)</t>
        </is>
      </c>
      <c r="C4343" t="inlineStr">
        <is>
          <t>Just wanted to share what’s been going on with my case. My boyfriend and his family (whom I’m staying with) pretty much all tested positive after a weekend excursion on Wednesday 8/5. 
Our timelines are below. We are both healthy and no underlying health conditions 
My boyfriend’s rough timeline, he tested positive on 8/5: 
8/1 some fatigue, thought it was from the sun
8/2 diarrhea 
8/3-8/9 congestion, sore throat, loss of smell, occasional headache. Nothing major and he was perfectly fine still working (WFH)
8/10-today: symptoms have pretty much disappeared, smell returned
Me: I came in contact with him on 8/3
8/7: got tested, PCR test negative
8/9-8/10: minor sore throat
8/10: took another PCR test came back positive 
8/11: sore throat worsens, a little tired, congestion
8/12: today I woke up still with a sore throat, also realized I couldn’t smell 
So my boyfriends pretty much recovered, while mine just started. Currently my major symptoms are sore throat, congestion and cannot smell.</t>
        </is>
      </c>
      <c r="D4343" t="n">
        <v>1</v>
      </c>
      <c r="E4343" t="n">
        <v>11</v>
      </c>
      <c r="F4343">
        <f>HYPERLINK("https://www.reddit.com/r/COVID19positive/comments/i8ffjb/tested_positive_22f_23m/")</f>
        <v/>
      </c>
      <c r="G4343" t="inlineStr">
        <is>
          <t>2020-08-12 08:09:42</t>
        </is>
      </c>
      <c r="H4343" t="inlineStr">
        <is>
          <t>Tested Positive - Me</t>
        </is>
      </c>
    </row>
    <row r="4344">
      <c r="A4344" t="inlineStr">
        <is>
          <t>i8grnx</t>
        </is>
      </c>
      <c r="B4344" t="inlineStr">
        <is>
          <t>Two week quarantine + 14 days for family</t>
        </is>
      </c>
      <c r="C4344" t="inlineStr">
        <is>
          <t>For those of you that have had a positive family member that you have shared a house with during their COVID experience, did you yourself quarantine for 14+ days after they were released from quarantine?
My daughter is asymptomatic and we are looking at being quarantined for a month. 
Is this a newer rule of the CDC?</t>
        </is>
      </c>
      <c r="D4344" t="n">
        <v>1</v>
      </c>
      <c r="E4344" t="n">
        <v>3</v>
      </c>
      <c r="F4344">
        <f>HYPERLINK("https://www.reddit.com/r/COVID19positive/comments/i8grnx/two_week_quarantine_14_days_for_family/")</f>
        <v/>
      </c>
      <c r="G4344" t="inlineStr">
        <is>
          <t>2020-08-12 09:22:27</t>
        </is>
      </c>
      <c r="H4344" t="inlineStr">
        <is>
          <t>Tested Positive - Family</t>
        </is>
      </c>
    </row>
    <row r="4345">
      <c r="A4345" t="inlineStr">
        <is>
          <t>i8gu0b</t>
        </is>
      </c>
      <c r="B4345" t="inlineStr">
        <is>
          <t>Mom is 7 weeks post ICU discharge. LDH lab values still in 600s. Anyone else?</t>
        </is>
      </c>
      <c r="C4345" t="inlineStr">
        <is>
          <t>As the title states, my mom was discharged from the ICU in late June after testing positive. Luckily she never went on the vent. After almost two months, all of her labs are back in range and she is feeling well, except for the recent LDH result which is in the 600s (versus ~250 when she was in ICU). Has anyone else seen similar trends post recovery or seen any articles that might explain it?</t>
        </is>
      </c>
      <c r="D4345" t="n">
        <v>1</v>
      </c>
      <c r="E4345" t="n">
        <v>2</v>
      </c>
      <c r="F4345">
        <f>HYPERLINK("https://www.reddit.com/r/COVID19positive/comments/i8gu0b/mom_is_7_weeks_post_icu_discharge_ldh_lab_values/")</f>
        <v/>
      </c>
      <c r="G4345" t="inlineStr">
        <is>
          <t>2020-08-12 09:25:54</t>
        </is>
      </c>
      <c r="H4345" t="inlineStr">
        <is>
          <t>Tested Positive - Family</t>
        </is>
      </c>
    </row>
    <row r="4346">
      <c r="A4346" t="inlineStr">
        <is>
          <t>i8gxt8</t>
        </is>
      </c>
      <c r="B4346" t="inlineStr">
        <is>
          <t>Fiancé Tested Positive and I Did Not</t>
        </is>
      </c>
      <c r="C4346" t="inlineStr">
        <is>
          <t>I’m wondering if anyone else is experienced anything like this: my girlfriend/fiancé returned from visiting friends a couple weeks ago. The next day she had a sore throat so we decided to get her tested. A few days later, the test was positive.
We live together and haven’t had any opportunity to quarantine from each other in the duration. A couple days after she returned, I noticed some muscle pain, fatigue, and generally felt winded when doing any light activity. That lasted a few days. Neither of us has had a fever. I tested a couple days after her positive result came and tested negative. Tested again this week, negative again.
How likely would it be that a positive and symptomatic person living in very close contact with another would not pass the virus on? It makes no sense to me.</t>
        </is>
      </c>
      <c r="D4346" t="n">
        <v>1</v>
      </c>
      <c r="E4346" t="n">
        <v>9</v>
      </c>
      <c r="F4346">
        <f>HYPERLINK("https://www.reddit.com/r/COVID19positive/comments/i8gxt8/fiancé_tested_positive_and_i_did_not/")</f>
        <v/>
      </c>
      <c r="G4346" t="inlineStr">
        <is>
          <t>2020-08-12 09:31:29</t>
        </is>
      </c>
      <c r="H4346" t="inlineStr">
        <is>
          <t>Tested Positive - Family</t>
        </is>
      </c>
    </row>
    <row r="4347">
      <c r="A4347" t="inlineStr">
        <is>
          <t>i8h28j</t>
        </is>
      </c>
      <c r="B4347" t="inlineStr">
        <is>
          <t>Is anyone feeling a very strong lack of appetite??</t>
        </is>
      </c>
      <c r="C4347" t="inlineStr">
        <is>
          <t>For about 4 days now I have been absolutely STARVING and I cannot seem to find any appetite to eat, is anyone experiencing this?? And what are some solutions???</t>
        </is>
      </c>
      <c r="D4347" t="n">
        <v>1</v>
      </c>
      <c r="E4347" t="n">
        <v>11</v>
      </c>
      <c r="F4347">
        <f>HYPERLINK("https://www.reddit.com/r/COVID19positive/comments/i8h28j/is_anyone_feeling_a_very_strong_lack_of_appetite/")</f>
        <v/>
      </c>
      <c r="G4347" t="inlineStr">
        <is>
          <t>2020-08-12 09:37:53</t>
        </is>
      </c>
      <c r="H4347" t="inlineStr">
        <is>
          <t>Tested Positive - Me</t>
        </is>
      </c>
    </row>
    <row r="4348">
      <c r="A4348" t="inlineStr">
        <is>
          <t>i8h4kz</t>
        </is>
      </c>
      <c r="B4348" t="inlineStr">
        <is>
          <t>Some Hope</t>
        </is>
      </c>
      <c r="C4348" t="inlineStr">
        <is>
          <t>I just wanted to come on here and give some people some hope. Im a 20 year old male, no underlying health conditions or problems... I’m thankful that my covid experience was more fortunate than the other stories on here. I got tested positive for covid on 7/28. That same night I started to get intense migraines and a stuffy nose. Days 2-3 was a sore throat and fatigue as well as chills. By day 4 I started to lose my smell and taste. Days 5 and 6 were a fever and no taste or smell. I continued to not have a sense of taste or smell for one more day, and then suddenly I began to start smelling things with a strong scent very faintly. I kept taking things that had a strong scent like cologne, essential oils, detergents, etc. and I would smell them sporadically throughout the day. By day 10 I got back at least 80% of my smell and taste. I had no other symptoms. Day 13 I retested and I tested negative, at this point I was at 95% taste and smell. I’m now happy to say that I’m fully recovered with my taste and smell fully back. I just want to say don’t lose hope, you will hopefully recover and get back your sense of taste and smell. I also recommend you take multivitamins, zinc and magnesium citrate, and fish oil. Make sure you smell things like I did, this is known as olfactory training and it will train your senses to work again. I wish everyone the best of luck!</t>
        </is>
      </c>
      <c r="D4348" t="n">
        <v>1</v>
      </c>
      <c r="E4348" t="n">
        <v>4</v>
      </c>
      <c r="F4348">
        <f>HYPERLINK("https://www.reddit.com/r/COVID19positive/comments/i8h4kz/some_hope/")</f>
        <v/>
      </c>
      <c r="G4348" t="inlineStr">
        <is>
          <t>2020-08-12 09:41:26</t>
        </is>
      </c>
      <c r="H4348" t="inlineStr">
        <is>
          <t>Tested Positive</t>
        </is>
      </c>
    </row>
    <row r="4349">
      <c r="A4349" t="inlineStr">
        <is>
          <t>i8h7av</t>
        </is>
      </c>
      <c r="B4349" t="inlineStr">
        <is>
          <t>[UPDATE] FIRST STEP!</t>
        </is>
      </c>
      <c r="C4349" t="inlineStr">
        <is>
          <t>[UPDATE] 
His kidneys and heart are still affected, but his level of oxygen in blood has gotten a little better! Doctors said it's the first step to recovery!🙏🏻❣️
They  are still giving us no hope, though. They said that people like in his state never survived in their clinic. That does not mean he's not gonna make it 💪🏻💙
Please, keep praying. Whatever we are doing (Doctors and us), is working!</t>
        </is>
      </c>
      <c r="D4349" t="n">
        <v>1</v>
      </c>
      <c r="E4349" t="n">
        <v>26</v>
      </c>
      <c r="F4349">
        <f>HYPERLINK("https://www.reddit.com/r/COVID19positive/comments/i8h7av/update_first_step/")</f>
        <v/>
      </c>
      <c r="G4349" t="inlineStr">
        <is>
          <t>2020-08-12 09:45:27</t>
        </is>
      </c>
      <c r="H4349" t="inlineStr">
        <is>
          <t>Tested Positive - Family</t>
        </is>
      </c>
    </row>
    <row r="4350">
      <c r="A4350" t="inlineStr">
        <is>
          <t>i8h7ht</t>
        </is>
      </c>
      <c r="B4350" t="inlineStr">
        <is>
          <t>I got covid AGAIN! (nearly 5 months since I last had it)</t>
        </is>
      </c>
      <c r="C4350" t="inlineStr">
        <is>
          <t>I've posted on here a while back about fatigue months after virus(fatigue resolved since), but this post is much different.
&amp;amp;#x200B;
&amp;amp;#x200B;
I tested positive for covid Again, almost 5 months after the first time. But I kno w why. I wasn't wearing my mask, but for a very serious reason, since I was momentarily unconscious. Back on Friday, I was at CVS getting a flu shot. About 2 minutes after I got the flu shot, I had an intense sensation of nauseousness, and without putting much sense into it, I said "I'm gonna sit down, and I sat down and eventually laid down on the floor as I lost consciousness. I woke up, with a scream, and started crying "what happened". My mom calmed me down and told me that I might have had a seizure (my mask was was off, since she took it off when I wasn't breathing and saw that my lips were blue). At the same time, I had a desperate urge to keep breathing, so there I sat, panting until the ambulance came, and that's when I noticed my mask was not on. I arrived at the hospital where they ran some tests to rule things out and told me that it was a vasovagal reaction which has some seizure-like activity.
&amp;amp;#x200B;
Fast forward to Monday when I took my covid test. Today, my results were in. To my horror, My results came back positive. I can't believe it, I just can't. I am supposed to move into my dorm in 10 days, I can't afford to have this happen, all because I was rolling around the floor of the CVS with my mask off for something I had no control over. I thought even with that happening, the memory cells or at least something from my previous covid infection could protect me.
&amp;amp;#x200B;
I don't want to go through covid again. Last time I had it, I had to neglect letting myself rest just so I could keep up with school which caused my symptoms to persist even longer. I can't go through this again.
&amp;amp;#x200B;
Early this morning, before I even had my results, I was eating my breakfast, and I noticed that my sense of smell and taste were just very slightly less of what I thought they used to be. Like my scones had slightly less taste, which I assumed it was because they were from a few days ago and they were in the refrigerator.  And my hand cream smelled slightly less potent.</t>
        </is>
      </c>
      <c r="D4350" t="n">
        <v>1</v>
      </c>
      <c r="E4350" t="n">
        <v>87</v>
      </c>
      <c r="F4350">
        <f>HYPERLINK("https://www.reddit.com/r/COVID19positive/comments/i8h7ht/i_got_covid_again_nearly_5_months_since_i_last/")</f>
        <v/>
      </c>
      <c r="G4350" t="inlineStr">
        <is>
          <t>2020-08-12 09:45:44</t>
        </is>
      </c>
      <c r="H4350" t="inlineStr">
        <is>
          <t>Tested Positive - Me</t>
        </is>
      </c>
    </row>
    <row r="4351">
      <c r="A4351" t="inlineStr">
        <is>
          <t>i8hoex</t>
        </is>
      </c>
      <c r="B4351" t="inlineStr">
        <is>
          <t>Tested postive (M 20yrs) + 2 parents (50+53)</t>
        </is>
      </c>
      <c r="C4351" t="inlineStr">
        <is>
          <t>My parents and I basically took every precaution since the "start" of this pandemic in March. Pretty much ate healthy weekly to keep our immune system up and always wore masks. My dads office only had the same 3 people working , so we figured if the 3 of us just went from home to the office and vice versa , without coming in contact with anyone we would be fine. This has worked till the beginning of august. Here I am , explaining my current situation, in hope to help other if possible. One of the 3 of us was very irresponsible and took his kids to six flags (NJ) last week, even after we told him not to go.      I noticed he had a slight cough on Sunday (08/2) and he claims he had body aches and fever that Wednesday (08/05) but was extremely irresponsible and never told us. It was Thursday that we came to conclusion that he had the virus when we felt so bad that he didn't come to the office on Thursday (08/06). Me, my father (2 of the 3 members of the office) and my mother  got tested that same Thursday and came back positive on Monday (08/10). Now I will be breaking down symptoms day by day. PS: I believe the "myth" that this virus doesn't affect young people that severely is complete BS. This shit fucking hurts. 
We started symptoms on Friday (08/07) (don't count this as a day of symptoms though) - The three of us had this weird ache in in our legs. I felt like I had shin splints. 
DAY 1 (08/08) - I had a severe headache, felt like my head was pressured , as in someone was squeezing my head extremely hard, my eyes were also hurting bad. Both my parents had a slight increase in body aches and same headaches. No dry cough for my mother, but at around 6pm, My father came down with a mild fever and mild dry cough and body aches all over, and profound sweating (couldn't get out of bed). This is when my mother and I got scared and called the primary physician where we quickly prescribed Azithromycin for 5 days and a Albuterol inhaler. I was also prescribed a Lower dosage and we were all prescribed an inhaler.
DAY 2 (08/09) - I continued with severe headache and had slight body aches on my knees , back and shoulders.  My  mother just continued with slight body aches , nothing else. Around late evening  , my fathers fever came down , he stopped sweating slightly, and body aches slightly fading. Although the fever stopped, he started coughing up phglem a little bit. He felt a lot better.
DAY 3 (08/10) - . Unfortunately, at around 8 pm , me and my mother, got a fever of 101, with extreme body aches ( felt like someone was hitting my whole body with a hammer), needed help to get up and was dragged to the dinner table to force eat as I had no appetite, same with my mother. Both of us couldn't sleep at night due to the fever and extreme body aches.  Also, ended up with a drenched bed due to sweating. My father woke up with no fever, no body aches, no headache, and just very very mild dry cough( probablyy only coughing 4-5 times int he whole day, felty completely normal. 
Day 4 (08/11) - My father feels completely fine , with no body aches, no fever, but is sweating (most likely because we are afraid to turn on the AC or fan, as it can make the virus worse). Me and my mother continued with high fevers, no appetite , and extreme extreme body aches+fatigue. At one point, my body hurt so much, that I would just look up at the ceiling, unable to move, and just hoping for the best. My mother and I, had very very mild dry cough  (only coughed 4-5 times in the whole day as well) 
Day 5 (08/12) - My father continues to feel completely fine , no symptoms, only a mild dry cough ( prob only coughing 1-2 time the whole day), no tightness anywhere. Luckily, my mother and I woke up with no fever and feel way better, body aches here and there but nothing serious, we also have very very slight dry cough, but nothing concerning as I heard from other Covid stories. Also, we have been using an OXIMETER since day 1, and our oxygen saturation has been from 94-98 these whole five days. Very fortunate that God has blessed us with no chest tightness or Respiratory problems so far.  In addition, ,my mother was diagnosed with lyme late July and has been taking a strong antibiotic, Doxycycline, several days before we got infected, so the primary doctor said that this antibiotic acted the same way as the Azithromycin me and my father were prescribed , protecting the lungs. It is now 1 pm, and the three of us feel way way better than the last couple days, but are still eating healthy to maintain our immune system in a good state. Hopefully this is a sing that we are moving in a positive direction, any input of anyone that has improved from day 5 forwards greatly appreciated. \*WILL KEEP UPDATING AS DAYS GO ON\*
Things we did/took since day 1: gargled water mixed with salt and baking soda like crazy. Drank several teas mixed with onion, ginger , and lemon. Drake raw tomato juice before breakfast every morning. Only ate hot chicken soup the first three days. And took our antibiotics, vitamin d+C , and zinc , every morning, and also take aspirin everyday around midday, and Tylenol when needed. Some of our neighbors that went through this already suggested we put marijuana in a bottle of strong clear alcohol , let it sit in a dark place for a couple of hours and rub the alcohol mixed with marijuana over the areas where we have body aches, which has helped immensely.</t>
        </is>
      </c>
      <c r="D4351" t="n">
        <v>1</v>
      </c>
      <c r="E4351" t="n">
        <v>13</v>
      </c>
      <c r="F4351">
        <f>HYPERLINK("https://www.reddit.com/r/COVID19positive/comments/i8hoex/tested_postive_m_20yrs_2_parents_5053/")</f>
        <v/>
      </c>
      <c r="G4351" t="inlineStr">
        <is>
          <t>2020-08-12 10:09:59</t>
        </is>
      </c>
      <c r="H4351" t="inlineStr">
        <is>
          <t>Tested Positive - Family</t>
        </is>
      </c>
    </row>
    <row r="4352">
      <c r="A4352" t="inlineStr">
        <is>
          <t>i8i9xd</t>
        </is>
      </c>
      <c r="B4352" t="inlineStr">
        <is>
          <t>Still Positive??</t>
        </is>
      </c>
      <c r="C4352" t="inlineStr">
        <is>
          <t>I have had three NP swabs since my initial positive test over a month ago and I’m still positive even though I’m 100% symptom free. Why haven’t I swabbed negative yet?</t>
        </is>
      </c>
      <c r="D4352" t="n">
        <v>1</v>
      </c>
      <c r="E4352" t="n">
        <v>6</v>
      </c>
      <c r="F4352">
        <f>HYPERLINK("https://www.reddit.com/r/COVID19positive/comments/i8i9xd/still_positive/")</f>
        <v/>
      </c>
      <c r="G4352" t="inlineStr">
        <is>
          <t>2020-08-12 10:41:03</t>
        </is>
      </c>
      <c r="H4352" t="inlineStr">
        <is>
          <t>Tested Positive - Me</t>
        </is>
      </c>
    </row>
    <row r="4353">
      <c r="A4353" t="inlineStr">
        <is>
          <t>i8kc7z</t>
        </is>
      </c>
      <c r="B4353" t="inlineStr">
        <is>
          <t>Hard to eat because of congestion</t>
        </is>
      </c>
      <c r="C4353" t="inlineStr">
        <is>
          <t>Anyone have this problem? My nose is so stuffy even if I blow it heavily. If it clears up I try to eat but immediately it becomes all stuffy again. 
Any way to deal with this?</t>
        </is>
      </c>
      <c r="D4353" t="n">
        <v>1</v>
      </c>
      <c r="E4353" t="n">
        <v>7</v>
      </c>
      <c r="F4353">
        <f>HYPERLINK("https://www.reddit.com/r/COVID19positive/comments/i8kc7z/hard_to_eat_because_of_congestion/")</f>
        <v/>
      </c>
      <c r="G4353" t="inlineStr">
        <is>
          <t>2020-08-12 12:27:18</t>
        </is>
      </c>
      <c r="H4353" t="inlineStr">
        <is>
          <t>Tested Positive - Me</t>
        </is>
      </c>
    </row>
    <row r="4354">
      <c r="A4354" t="inlineStr">
        <is>
          <t>i8kkra</t>
        </is>
      </c>
      <c r="B4354" t="inlineStr">
        <is>
          <t>False Negative? Another test needed?</t>
        </is>
      </c>
      <c r="C4354" t="inlineStr">
        <is>
          <t>Hello all-
Thursday I was sitting working and I felt like I suddenly had no sense of smell. Like I couldn't smell anything in my surroundings or the air at all. I sniffed my coffee mug and could smell that so I shrugged it off.
Friday I felt "sick". Body aches, sniffly, scratchy throat, felt off. My eyes started to itch before bed. Had weird smell/taste symptoms, like honey mustard smelled like gasoline lol.
Saturday woke up with what looked like pink eye and felt sick. Tried to go get a COVID test but couldn't find an open place and no urgent care would treat me for my  pink eye since I had COVID symptoms. Did a televideo doctor who diagnosed me presumptively with COVID and told me to go get a test. Extremely fatigued and slept all day. Eyes cleared up throughout the day. 
Sunday my cat started sneezing all day and was lethargic. I slept all day. Eyes were watery/oozy. Body aches, runny nose, ear ringing, eye pain, no smell/taste.
Monday got COVID test. Was a nasal swab (short swab not nasopharygeal). Cat sneezing less but congested/hoarse. Wicked headache. Smell/taste coming back.
Tuesday much less tired, but still sick feeling with cold type symptoms still. Cat improving as well.
Today- Negative COVID results. So...what now?!?! Accept them or get another (maybe with the long swab this time?) Wait to get an antibody test? Accept that I have something else? 
I just think it is strange my cat is sick too. She's never had a respiratory infection before... The smell thing is throwing me off too. It seems to have come back I guess, but it really threw me off when I didn't feel sick and I just suddenly was like "Woah, I can't smell anything in my surroundings". I also couldn't taste my toothpaste later or smell my scented soap washing my hands. Idk. My conjunctivitis/itchy eyes was odd too.
 I've also not had a fever or cough. So confused!</t>
        </is>
      </c>
      <c r="D4354" t="n">
        <v>1</v>
      </c>
      <c r="E4354" t="n">
        <v>7</v>
      </c>
      <c r="F4354">
        <f>HYPERLINK("https://www.reddit.com/r/COVID19positive/comments/i8kkra/false_negative_another_test_needed/")</f>
        <v/>
      </c>
      <c r="G4354" t="inlineStr">
        <is>
          <t>2020-08-12 12:39:41</t>
        </is>
      </c>
      <c r="H4354" t="inlineStr">
        <is>
          <t>Presumed Positive - From Doctor</t>
        </is>
      </c>
    </row>
    <row r="4355">
      <c r="A4355" t="inlineStr">
        <is>
          <t>i8kqcd</t>
        </is>
      </c>
      <c r="B4355" t="inlineStr">
        <is>
          <t>Neagtive test, but half a week later, Doctor says it's likely COVID</t>
        </is>
      </c>
      <c r="C4355" t="inlineStr">
        <is>
          <t>A bit of history,
I work for the postal service as a clerk.  Lately I have shipped around to a few offices due to people being out.  About two weeks ago I got sent to an office where one clerk was out awaiting test results and a second clerk came in late.  They'd guilted her into coming in but she was saying she felt unwell.
A few days later I start to cough.  now I have seasonal allergies so a random cough isn't unheard of but after a couple of days it amped up and I started feeling kinda weak while working.  After a coughing fit I went to get tested.
I holed up in the guest room and stayed away from family until my results came back negative.  With the USPS, you have to be cleared to return to work by an occupational nurse.  They weren't happy that I still had the same symptoms and so I was sent back to the doc to be cleared for work.
&amp;amp;#x200B;
The Dr, basically said, with this kinda cough it's probably COVID.  She then went on to say that much like the flu test etc, the tests aren't 100% so I should assume I'm positive and stay out at least the full quarantine period.  They prescribed me albuterol and sent me home.</t>
        </is>
      </c>
      <c r="D4355" t="n">
        <v>1</v>
      </c>
      <c r="E4355" t="n">
        <v>5</v>
      </c>
      <c r="F4355">
        <f>HYPERLINK("https://www.reddit.com/r/COVID19positive/comments/i8kqcd/neagtive_test_but_half_a_week_later_doctor_says/")</f>
        <v/>
      </c>
      <c r="G4355" t="inlineStr">
        <is>
          <t>2020-08-12 12:47:44</t>
        </is>
      </c>
      <c r="H4355" t="inlineStr">
        <is>
          <t>Presumed Positive - From Doctor</t>
        </is>
      </c>
    </row>
    <row r="4356">
      <c r="A4356" t="inlineStr">
        <is>
          <t>i8lotw</t>
        </is>
      </c>
      <c r="B4356" t="inlineStr">
        <is>
          <t>Pulse Ox Monitor - a word of caution</t>
        </is>
      </c>
      <c r="C4356" t="inlineStr">
        <is>
          <t>Please please please be cautious when using medical devices at home. I bought myself a pulse oximeter a while back (probably like many people here) as a way to reassure myself that I was ok to remain home. I checked this morning as I was feeling weak,like I was floating and the monitor read 91%. 
I was freaking out. Told my husband we needed to get me to the ER NOW! Thankfully we live within a less than 5 minute radius from a hospital. They get me in right away, taken to one of the “isolated” rooms away from the regular triage area and hooked up to monitors. 
My pulse ox was 100-99% the whole time i was there. Didn’t have a fever and was told my lungs sounded great. The nurse told me that many people with at home monitors have been coming in due to it giving a very low reading at home but in the ER they are doing just fine. 
Please make sure to use it properly, unlike I did, and save yourself a huge ER bill to be told your lungs are just fine (yes I’m in the US unfortunately). And make sure to take multiple readings, not just one and then freak out. Probably should have gone to a walk in but hindsight is what it is.</t>
        </is>
      </c>
      <c r="D4356" t="n">
        <v>1</v>
      </c>
      <c r="E4356" t="n">
        <v>41</v>
      </c>
      <c r="F4356">
        <f>HYPERLINK("https://www.reddit.com/r/COVID19positive/comments/i8lotw/pulse_ox_monitor_a_word_of_caution/")</f>
        <v/>
      </c>
      <c r="G4356" t="inlineStr">
        <is>
          <t>2020-08-12 13:37:16</t>
        </is>
      </c>
      <c r="H4356" t="inlineStr">
        <is>
          <t>Presumed Positive - From Doctor</t>
        </is>
      </c>
    </row>
    <row r="4357">
      <c r="A4357" t="inlineStr">
        <is>
          <t>i8ltgr</t>
        </is>
      </c>
      <c r="B4357" t="inlineStr">
        <is>
          <t>Got tested today...blood pressure and HR off the charts!</t>
        </is>
      </c>
      <c r="C4357" t="inlineStr">
        <is>
          <t>Got tested, ive been having SOB, palpitations, weird smell/taste changes, fever, cough, leg cramps. When i went into my doc today to get tested, my blood pressure was 157/77. My HR was 122, o2 levels at 96%....... In the last year of 7 vitals collections, the literal highest my blood pressure has ever been was 96/62, with a heart rate of 72, ive never been under 99% saturation for 02.
 Ive had a horrible headache for a few days, now i know why. The doctor didn't even mention my vitals being so crazy, im surprised after seeing this on my paperwork from leaving that they didn't order an EKG!
Is this a covid thing? Anyone else normally have really good blood pressure that has since sky rocketed since being sick? Im so confused why they didn't address this at all even when i told them ive had constant palpitations and chest pain for a week!</t>
        </is>
      </c>
      <c r="D4357" t="n">
        <v>1</v>
      </c>
      <c r="E4357" t="n">
        <v>16</v>
      </c>
      <c r="F4357">
        <f>HYPERLINK("https://www.reddit.com/r/COVID19positive/comments/i8ltgr/got_tested_todayblood_pressure_and_hr_off_the/")</f>
        <v/>
      </c>
      <c r="G4357" t="inlineStr">
        <is>
          <t>2020-08-12 13:44:02</t>
        </is>
      </c>
      <c r="H4357" t="inlineStr">
        <is>
          <t>Presumed Positive - From Doctor</t>
        </is>
      </c>
    </row>
    <row r="4358">
      <c r="A4358" t="inlineStr">
        <is>
          <t>i8n6rz</t>
        </is>
      </c>
      <c r="B4358" t="inlineStr">
        <is>
          <t>Co-sleeping spouses getting COVID months apart from each other?</t>
        </is>
      </c>
      <c r="C4358" t="inlineStr">
        <is>
          <t>My wife and I just got antibody tests and she tested positive while I was negative. During the time we suspect she had it (late-March) I was in very close contact with her and don't know how I couldn't have gotten it. I am wondering if maybe my antibodies decreased to the point of non-detection, I had some other immune response to the virus (T-cell), or if I just managed to not get it at all despite our sustained close interaction.
Are there any instances on here of co-sleeping partners getting it at different times (months apart)?</t>
        </is>
      </c>
      <c r="D4358" t="n">
        <v>1</v>
      </c>
      <c r="E4358" t="n">
        <v>6</v>
      </c>
      <c r="F4358">
        <f>HYPERLINK("https://www.reddit.com/r/COVID19positive/comments/i8n6rz/cosleeping_spouses_getting_covid_months_apart/")</f>
        <v/>
      </c>
      <c r="G4358" t="inlineStr">
        <is>
          <t>2020-08-12 14:56:45</t>
        </is>
      </c>
      <c r="H4358" t="inlineStr">
        <is>
          <t>Tested Positive - Family</t>
        </is>
      </c>
    </row>
    <row r="4359">
      <c r="A4359" t="inlineStr">
        <is>
          <t>i8o8f0</t>
        </is>
      </c>
      <c r="B4359" t="inlineStr">
        <is>
          <t>Persistent sore throat</t>
        </is>
      </c>
      <c r="C4359" t="inlineStr">
        <is>
          <t>What is this sore throat? I tested positive a week ago (symptoms started a week ago), but now I’m pretty much recovered besides this sore throat. Did this happen to someone? It’s really annoying. It’s been on going for 20 days now.</t>
        </is>
      </c>
      <c r="D4359" t="n">
        <v>1</v>
      </c>
      <c r="E4359" t="n">
        <v>5</v>
      </c>
      <c r="F4359">
        <f>HYPERLINK("https://www.reddit.com/r/COVID19positive/comments/i8o8f0/persistent_sore_throat/")</f>
        <v/>
      </c>
      <c r="G4359" t="inlineStr">
        <is>
          <t>2020-08-12 15:55:23</t>
        </is>
      </c>
      <c r="H4359" t="inlineStr">
        <is>
          <t>Tested Positive</t>
        </is>
      </c>
    </row>
    <row r="4360">
      <c r="A4360" t="inlineStr">
        <is>
          <t>i8p1j0</t>
        </is>
      </c>
      <c r="B4360" t="inlineStr">
        <is>
          <t>Two family members gone because of COVID-19 in 2 weeks</t>
        </is>
      </c>
      <c r="C4360" t="inlineStr">
        <is>
          <t>My heart is broken for my grandpa he lost his brother Friday July 31 and now his wife August 8, saddest part she passed away on his birthday:(  My uncle had no underlying health conditions and was on high oxygen, got sick and died within one month. My grandma she didn’t have underlying heath conditions fought covid for 2 months. Her daughter is now fighting for her life because of COVID and has no idea her mother passed away. COVID is distorting my whole dads family life. Please, do not visit or do family gatherings.</t>
        </is>
      </c>
      <c r="D4360" t="n">
        <v>1</v>
      </c>
      <c r="E4360" t="n">
        <v>46</v>
      </c>
      <c r="F4360">
        <f>HYPERLINK("https://www.reddit.com/r/COVID19positive/comments/i8p1j0/two_family_members_gone_because_of_covid19_in_2/")</f>
        <v/>
      </c>
      <c r="G4360" t="inlineStr">
        <is>
          <t>2020-08-12 16:43:00</t>
        </is>
      </c>
      <c r="H4360" t="inlineStr">
        <is>
          <t>Tested Positive - Family</t>
        </is>
      </c>
    </row>
    <row r="4361">
      <c r="A4361" t="inlineStr">
        <is>
          <t>i8pkg6</t>
        </is>
      </c>
      <c r="B4361" t="inlineStr">
        <is>
          <t>Where do we go from here?</t>
        </is>
      </c>
      <c r="C4361" t="inlineStr">
        <is>
          <t>Not quite sure what I’m looking for I guess just a glimmer of hope? I’ll start out by giving the timeline of my dear 40 year old aunts fight with Covid ; She started feeling symptoms of Covid 19 on July 6th, she was running a high fever and experiencing bouts of delirium. She was admitted into the local hospital soon after on July 8th and was moved to their makeshift covid ICU on the 11th. She was receiving oxygen and plasma transfusions. On the 14th things were starting to look up and she improved a lot. She was able to text and even send some selfies. On the 15th we got more good news, her oxygen levels were stable she was able to eat a little bit of food and we were anticipating her being moved out of the ICU. On the night of the 17th things took a turn and she was put back on a bi-pap machine. The 18th of July was one of the hardest days for her and our family. She was sedated and placed on an ECMO machine and on the morning of the 19th she was airlifted to Shand's hospital in Gainesville. Since she has been in Gainesville on ECMO she’s neither significantly progressed nor significantly gotten worse she’s just..the same. She totally dependent on the ECMO and her lungs are completely ravaged. Today she had her second negative covid 19 test and was moved into a separate ICU ward. Her case is extreme and I know that, she doesn’t qualify for a lung transplant and I’m honestly just starting to feel hopeless. The doctors are starting to drop hints here and there they believe they’ve done everything they could but her brother (my father) won’t give up on her, she has two children they need their mother and we know that. But has anyone personally experienced a severe case like this and seen a recovery?</t>
        </is>
      </c>
      <c r="D4361" t="n">
        <v>1</v>
      </c>
      <c r="E4361" t="n">
        <v>5</v>
      </c>
      <c r="F4361">
        <f>HYPERLINK("https://www.reddit.com/r/COVID19positive/comments/i8pkg6/where_do_we_go_from_here/")</f>
        <v/>
      </c>
      <c r="G4361" t="inlineStr">
        <is>
          <t>2020-08-12 17:14:48</t>
        </is>
      </c>
      <c r="H4361" t="inlineStr">
        <is>
          <t>Tested Positive - Family</t>
        </is>
      </c>
    </row>
    <row r="4362">
      <c r="A4362" t="inlineStr">
        <is>
          <t>i8re2c</t>
        </is>
      </c>
      <c r="B4362" t="inlineStr">
        <is>
          <t>Covid19 Positive for 10 days: Feeling better and my alcohol use is down! Silver Lining from this?</t>
        </is>
      </c>
      <c r="C4362" t="inlineStr">
        <is>
          <t>Going on Day10, the symptoms have ranged from sore throat to head aches and tiredness has REALLY sucked. VitaminC, ZPack and Acyclovir have eased my symptoms. 
However I am noticing 2 new  side effects of having Covid:
1) I have barely ANY desire for alcohol, I used to 2-3 drink **every** night. I now have no urge to drink and if I have even 1 shot I am so tired it turns me off just thinking about it!
2) Eating big meals has made me tired, so for the past 4 days I have eaten only small meals. Suffice to say I have lost a few pesky pounds, which is a GOOD thing.
These 2 outcomes are positive for me &amp;amp; I hope tomorrow I feel as good as today &amp;amp; more. If my alcohol use AND food habits are improved as a result of Covid Ill be pretty darn happy I got this "dreaded" illness. 
Also: having an attitude that faces the fact that this thing is with us like the seasonal flu, like herpes, like HIV ect shifts your mind from a state of panic to a state of well being knowing that this is normal, this is OK. Maybe if people had a pragmatic outlook on all this, the hype, hyperbole and insanity would cease. People need to get a grip: this is NOT ebola, this NOT a death sentence. Its a VIRUS like millions of other viruses that humans have evolved to deal with. If humans cowered in fear after every virus we would still be in caves drawing with our feces.</t>
        </is>
      </c>
      <c r="D4362" t="n">
        <v>1</v>
      </c>
      <c r="E4362" t="n">
        <v>7</v>
      </c>
      <c r="F4362">
        <f>HYPERLINK("https://www.reddit.com/r/COVID19positive/comments/i8re2c/covid19_positive_for_10_days_feeling_better_and/")</f>
        <v/>
      </c>
      <c r="G4362" t="inlineStr">
        <is>
          <t>2020-08-12 19:11:33</t>
        </is>
      </c>
      <c r="H4362" t="inlineStr">
        <is>
          <t>Tested Positive - Me</t>
        </is>
      </c>
    </row>
    <row r="4363">
      <c r="A4363" t="inlineStr">
        <is>
          <t>i8rf53</t>
        </is>
      </c>
      <c r="B4363" t="inlineStr">
        <is>
          <t>Diarrhea?</t>
        </is>
      </c>
      <c r="C4363" t="inlineStr">
        <is>
          <t>Got tested yesterday, should get results by the end of the week but definitely have it. It’s about day 4 on symptoms and today I started to have diarrhea. It’s literally came all of a sudden. I did eat a little more today because I did feel a little better. Anyone else?</t>
        </is>
      </c>
      <c r="D4363" t="n">
        <v>1</v>
      </c>
      <c r="E4363" t="n">
        <v>8</v>
      </c>
      <c r="F4363">
        <f>HYPERLINK("https://www.reddit.com/r/COVID19positive/comments/i8rf53/diarrhea/")</f>
        <v/>
      </c>
      <c r="G4363" t="inlineStr">
        <is>
          <t>2020-08-12 19:13:26</t>
        </is>
      </c>
      <c r="H4363" t="inlineStr">
        <is>
          <t>Presumed Positive - From Test</t>
        </is>
      </c>
    </row>
    <row r="4364">
      <c r="A4364" t="inlineStr">
        <is>
          <t>i8svfn</t>
        </is>
      </c>
      <c r="B4364" t="inlineStr">
        <is>
          <t>20s overweight Female, took ivermectin</t>
        </is>
      </c>
      <c r="C4364" t="inlineStr">
        <is>
          <t>20s, F
Overweight, sporadic high blood pressure (it’s been high for like a week, used to be high years ago), intermittent asthma, migraines, POTS &amp;amp; hypokalemia 
I tested positive today. Symptoms started a couple of days ago, I’m not entirely sure. I had a horrible headache since Sunday but I thought it was just one of my migraines. Then realized everyone else in my household had the same headache. 
So far my symptoms have been mild (100.0f, headache that goes away with Tylenol, body aches, fatigue, scratchy throat and high BP). 
I wanted to ask 2 things:
1. Has covid been causing high BP? My blood pressure has been running on the low side this year  (goes high when I’m stressed or when I have a migraine)
2. Has anyone taken ivermectin?
I had a 90yo family member that was “dying” (double pneumonia, high fevers, presumed positive but never tested etc etc) and they took ivermectin and now they’re improving a lot. Before they took ivermectin, the doctors were saying he was gonna die. Now, he’s walking up and improving every day. I’m still skeptical about the drug though.</t>
        </is>
      </c>
      <c r="D4364" t="n">
        <v>1</v>
      </c>
      <c r="E4364" t="n">
        <v>7</v>
      </c>
      <c r="F4364">
        <f>HYPERLINK("https://www.reddit.com/r/COVID19positive/comments/i8svfn/20s_overweight_female_took_ivermectin/")</f>
        <v/>
      </c>
      <c r="G4364" t="inlineStr">
        <is>
          <t>2020-08-12 20:51:55</t>
        </is>
      </c>
      <c r="H4364" t="inlineStr">
        <is>
          <t>Tested Positive - Me</t>
        </is>
      </c>
    </row>
    <row r="4365">
      <c r="A4365" t="inlineStr">
        <is>
          <t>i8thyd</t>
        </is>
      </c>
      <c r="B4365" t="inlineStr">
        <is>
          <t>But like...truly asymptomatic (36f/33m)</t>
        </is>
      </c>
      <c r="C4365" t="inlineStr">
        <is>
          <t>I’m seeing a lot of posts on this sub saying they were asymptomatic...except for loss of taste and smell, headaches, fatigue etc. Loss of taste and smell is truly a major characteristic of Covid.
My husband and I tested positive on 7/23 after testing in a mobile site on 7/20. We’ve both tested negative since. No symptoms at all. If we hadn’t been tested, we truly would never have known, and I would be worried about “when”. I wouldn’t be surprised if final numbers come out before a vaccine where it’s 100-150 million Americans got it and didn’t even know. Not saying it isn’t deathly serious to many, RIP 162k and counting, but truly asymptomatic is very real.
power to all</t>
        </is>
      </c>
      <c r="D4365" t="n">
        <v>1</v>
      </c>
      <c r="E4365" t="n">
        <v>18</v>
      </c>
      <c r="F4365">
        <f>HYPERLINK("https://www.reddit.com/r/COVID19positive/comments/i8thyd/but_liketruly_asymptomatic_36f33m/")</f>
        <v/>
      </c>
      <c r="G4365" t="inlineStr">
        <is>
          <t>2020-08-12 21:38:10</t>
        </is>
      </c>
      <c r="H4365" t="inlineStr">
        <is>
          <t>Tested Positive</t>
        </is>
      </c>
    </row>
    <row r="4366">
      <c r="A4366" t="inlineStr">
        <is>
          <t>i8tkec</t>
        </is>
      </c>
      <c r="B4366" t="inlineStr">
        <is>
          <t>Covid19 Survivors</t>
        </is>
      </c>
      <c r="C4366" t="inlineStr">
        <is>
          <t>I had Covid in March and have never got my sense of smell or taste back. It’s been 5 months, is it possible i lost it permanently?</t>
        </is>
      </c>
      <c r="D4366" t="n">
        <v>1</v>
      </c>
      <c r="E4366" t="n">
        <v>5</v>
      </c>
      <c r="F4366">
        <f>HYPERLINK("https://www.reddit.com/r/COVID19positive/comments/i8tkec/covid19_survivors/")</f>
        <v/>
      </c>
      <c r="G4366" t="inlineStr">
        <is>
          <t>2020-08-12 21:43:28</t>
        </is>
      </c>
      <c r="H4366" t="inlineStr">
        <is>
          <t>Tested Positive - Me</t>
        </is>
      </c>
    </row>
    <row r="4367">
      <c r="A4367" t="inlineStr">
        <is>
          <t>i8vods</t>
        </is>
      </c>
      <c r="B4367" t="inlineStr">
        <is>
          <t>I tested positive today. This is my current timeline.</t>
        </is>
      </c>
      <c r="C4367" t="inlineStr">
        <is>
          <t>Sunday, August 9: Felt off starting in the afternoon. No symptoms but I took Theraflu at night to get sleep.  
Monday, August 10: In the daytime, I felt off but a little tickle in the throat. Nighttime, I started a low grade fever around 99.5 degrees. 
Overnight, around 3 am, I woke up with chills/aches and a lower fever at 100.1 degrees. Took half a dose of theraflu at night since I ran out. 
Tuesday, August 11: Called the COVID hotline at 6 am since I still had a temperature around 99.5-100 degrees, headache, and body aches. I got tested at 9.20 am. The whole day, I had body/joint aches, headache, slight cough (very little for what I'm use to with asthma), but every time I coughed, my head felt like it wanted to split open. Took vitamin c and zinc. 
Wednesday, August 12: Fever broke. No more chills &amp;amp; aches. Slight cough. Feel better. Got results back around 5 pm saying I was positive. Took vitamin c, zinc, and calcium/vitamin D. Slightly tired but probably because I still managed to work from home the past few days. 
I have asthma and have inhalers but rarely use them (only when needed). I'm 34 years old, healthy, and fit. I never smoked before and since March, have drastically cut down on alcohol (I don't even finish a beer anymore). 
I'm worried about my asthma and the coughing. My partner lives with me so we're distancing now and he's staying in the living room while I'm holing up in the bedroom. He is military so he had to tell them and will be required to get tested as well. Le sigh.</t>
        </is>
      </c>
      <c r="D4367" t="n">
        <v>1</v>
      </c>
      <c r="E4367" t="n">
        <v>13</v>
      </c>
      <c r="F4367">
        <f>HYPERLINK("https://www.reddit.com/r/COVID19positive/comments/i8vods/i_tested_positive_today_this_is_my_current/")</f>
        <v/>
      </c>
      <c r="G4367" t="inlineStr">
        <is>
          <t>2020-08-13 00:42:52</t>
        </is>
      </c>
      <c r="H4367" t="inlineStr">
        <is>
          <t>Tested Positive - Me</t>
        </is>
      </c>
    </row>
    <row r="4368">
      <c r="A4368" t="inlineStr">
        <is>
          <t>i8vvkn</t>
        </is>
      </c>
      <c r="B4368" t="inlineStr">
        <is>
          <t>Tested Positive Today - how to deal with guilt?</t>
        </is>
      </c>
      <c r="C4368" t="inlineStr">
        <is>
          <t>A few days ago I decided to visit my mother and grandmother since it's been a while  since I've seen them. I took the necessary precautions and always washed my hands, wore masks, avoided large crowds. I got a call from my doctor today saying I tested positive and the news has been a bit jarring for me.
Do any of you feel guilty? I am honestly so worried about getting my grandmother sick and it's pretty much eating me up inside. 
Also sharing my symptoms to see if anyone has had similar issues.
**Day 1 of symptoms**
I started off with an intense headache and fever. Slept terribly that night as I kept waking in confusion and with severe head pain.
**Day 2**
Fever continued in the morning and I got various pains in my joints and muscles. I had trouble standing up because of this.
**Day 3**
Fever went away, muscle pain went away but was now replaced with skin pain. The skin on my back was very sensitive to touch and hurt a lot when rubbed. I am pretty much on painkillers now to prevent the pain. I went ahead and got tested in the morning to make sure.
**Day 4 - Today**
I have a runny nose, always sniffling. The skin pain gets intense once the painkillers wears off which prevents me from sleeping properly. I got the call from the doctor that I tested positive. My family is going to get tested today to see if they have it.
I'll try to see if I can keep updating this daily to show how the symptoms progress.</t>
        </is>
      </c>
      <c r="D4368" t="n">
        <v>1</v>
      </c>
      <c r="E4368" t="n">
        <v>10</v>
      </c>
      <c r="F4368">
        <f>HYPERLINK("https://www.reddit.com/r/COVID19positive/comments/i8vvkn/tested_positive_today_how_to_deal_with_guilt/")</f>
        <v/>
      </c>
      <c r="G4368" t="inlineStr">
        <is>
          <t>2020-08-13 01:01:37</t>
        </is>
      </c>
      <c r="H4368" t="inlineStr">
        <is>
          <t>Tested Positive</t>
        </is>
      </c>
    </row>
    <row r="4369">
      <c r="A4369" t="inlineStr">
        <is>
          <t>i8wiy3</t>
        </is>
      </c>
      <c r="B4369" t="inlineStr">
        <is>
          <t>Anyone else can’t sleep?</t>
        </is>
      </c>
      <c r="C4369" t="inlineStr">
        <is>
          <t>Anyone else have trouble sleeping? I know it’s the anxiety of having covid but it really sucks. Right before I’m going to fall asleep I jerk awake in fear.</t>
        </is>
      </c>
      <c r="D4369" t="n">
        <v>1</v>
      </c>
      <c r="E4369" t="n">
        <v>10</v>
      </c>
      <c r="F4369">
        <f>HYPERLINK("https://www.reddit.com/r/COVID19positive/comments/i8wiy3/anyone_else_cant_sleep/")</f>
        <v/>
      </c>
      <c r="G4369" t="inlineStr">
        <is>
          <t>2020-08-13 02:02:31</t>
        </is>
      </c>
      <c r="H4369" t="inlineStr">
        <is>
          <t>Tested Positive - Me</t>
        </is>
      </c>
    </row>
    <row r="4370">
      <c r="A4370" t="inlineStr">
        <is>
          <t>i8zeio</t>
        </is>
      </c>
      <c r="B4370" t="inlineStr">
        <is>
          <t>cannabis and covid</t>
        </is>
      </c>
      <c r="C4370" t="inlineStr">
        <is>
          <t>Any cannabis smokers in here? How does it effect you physically when you smoke? I've taken a break for pretty much the entirety of having covid and i just lit up last night for my birthday. Trying to figure out what the hell was happening, i've never felt anxious or anything from smoking (used to smoke 24/7 before covid) But last night, i smoked about half a joint and my heart felt like it was about to beat out of my chest and my body was literally shaking. I had to take a super hot bath to calm my muscles down. I'm not sure if it was the weed i smoked or the break or the reaction it had with covid?... But that was a weird ass experience, and body else have anything similar happen?</t>
        </is>
      </c>
      <c r="D4370" t="n">
        <v>1</v>
      </c>
      <c r="E4370" t="n">
        <v>9</v>
      </c>
      <c r="F4370">
        <f>HYPERLINK("https://www.reddit.com/r/COVID19positive/comments/i8zeio/cannabis_and_covid/")</f>
        <v/>
      </c>
      <c r="G4370" t="inlineStr">
        <is>
          <t>2020-08-13 05:55:35</t>
        </is>
      </c>
      <c r="H4370" t="inlineStr">
        <is>
          <t>Tested Positive</t>
        </is>
      </c>
    </row>
    <row r="4371">
      <c r="A4371" t="inlineStr">
        <is>
          <t>i907td</t>
        </is>
      </c>
      <c r="B4371" t="inlineStr">
        <is>
          <t>Anyone else feel like they are being treated differently since testing positive?</t>
        </is>
      </c>
      <c r="C4371" t="inlineStr">
        <is>
          <t>Tested positive on Sunday. I’ve been super ill and basically bed bound since Monday and just getting annoyed with everyone for treating me the way they are.
I live alone, am obviously self isolating and will continue to do so, but my friends have cancelled plans with me that are weeks away and my work are changing all their policies so that people can no longer travel outside of the UK. 
They also named me in a work email and basically stipulated where I caught it from despite not actually being given any information from me.
My manager has only said “bummer” since finding out I tested positive and has not even messaged me since to find out if I’m okay. 
I feel like I’m being blamed for catching it, even though we’re in the midst of a pandemic. 
It’s a horrible feeling on top of feeling so rough.</t>
        </is>
      </c>
      <c r="D4371" t="n">
        <v>1</v>
      </c>
      <c r="E4371" t="n">
        <v>12</v>
      </c>
      <c r="F4371">
        <f>HYPERLINK("https://www.reddit.com/r/COVID19positive/comments/i907td/anyone_else_feel_like_they_are_being_treated/")</f>
        <v/>
      </c>
      <c r="G4371" t="inlineStr">
        <is>
          <t>2020-08-13 06:48:12</t>
        </is>
      </c>
      <c r="H4371" t="inlineStr">
        <is>
          <t>Tested Positive - Me</t>
        </is>
      </c>
    </row>
    <row r="4372">
      <c r="A4372" t="inlineStr">
        <is>
          <t>i90d5n</t>
        </is>
      </c>
      <c r="B4372" t="inlineStr">
        <is>
          <t>Wrong Covid test?</t>
        </is>
      </c>
      <c r="C4372" t="inlineStr">
        <is>
          <t>Is it possible that COVID test is wrong?
I just got back saying that I was positive for COVID. 
There’s literally no way I had covid.
Could this be wrong. :/</t>
        </is>
      </c>
      <c r="D4372" t="n">
        <v>1</v>
      </c>
      <c r="E4372" t="n">
        <v>14</v>
      </c>
      <c r="F4372">
        <f>HYPERLINK("https://www.reddit.com/r/COVID19positive/comments/i90d5n/wrong_covid_test/")</f>
        <v/>
      </c>
      <c r="G4372" t="inlineStr">
        <is>
          <t>2020-08-13 06:57:27</t>
        </is>
      </c>
      <c r="H4372" t="inlineStr">
        <is>
          <t>Tested Positive - Me</t>
        </is>
      </c>
    </row>
    <row r="4373">
      <c r="A4373" t="inlineStr">
        <is>
          <t>i91081</t>
        </is>
      </c>
      <c r="B4373" t="inlineStr">
        <is>
          <t>Anyone else increasingly annoyed when others respond to your diagnosis with "oh yeah, I think I had it too?"</t>
        </is>
      </c>
      <c r="C4373" t="inlineStr">
        <is>
          <t>I swear everyone I've talked to lately has some version of "yeah, I'm pretty sure I had it way back in November. It was really hard for me to breathe for like two days." Now I'm fortunate to have had a milder case, but I still felt like shit for 3-4 days and barely got out of bed, high fever, lost taste and smell and all that. Feels like a lot of folks are just attributing their most recent sickness to Covid without appreciating that this is much worse than a normal cold. Maybe I shouldn't be annoyed, but every time I hear this it feels like someone is minimizing Covid or trying to one up me. Curious if others feel this way too.</t>
        </is>
      </c>
      <c r="D4373" t="n">
        <v>1</v>
      </c>
      <c r="E4373" t="n">
        <v>15</v>
      </c>
      <c r="F4373">
        <f>HYPERLINK("https://www.reddit.com/r/COVID19positive/comments/i91081/anyone_else_increasingly_annoyed_when_others/")</f>
        <v/>
      </c>
      <c r="G4373" t="inlineStr">
        <is>
          <t>2020-08-13 07:35:45</t>
        </is>
      </c>
      <c r="H4373" t="inlineStr">
        <is>
          <t>Tested Positive</t>
        </is>
      </c>
    </row>
    <row r="4374">
      <c r="A4374" t="inlineStr">
        <is>
          <t>i910ni</t>
        </is>
      </c>
      <c r="B4374" t="inlineStr">
        <is>
          <t>Mild case, but a long one, only discovered two days ago</t>
        </is>
      </c>
      <c r="C4374" t="inlineStr">
        <is>
          <t>Three weeks ago I got fever and went to covid center, PCR came negative and they let me go. Me, thinking I am certainly fine because they told me and my symptoms are just low grade fever (to 37.5) have treated it as common virus and my boyfriend came to see me. Terribly stupid, I know, but I was desperate.
After two weeks of fever I went again, they scanned my lungs amd found pneumonia on the right. They gave me antibiotics but again let me go. As fever stays, I went and paid to do antibodies and so did my family. 
Turns out I have covid, and so does my brother who is completely asymptomatic. Dad is clear, mum is bordline with likeky climbing IgG, even though they live with my brother are are both chronic patients - the silver lining!
It has been three weeks now, I still have fever up to 37.5. It goes by night but us very present during day. Plus I can't make myself a coffee without getting tired. 
I have read that people with mild symptoms get well after two week so I wanna ask if anyone had similar experience? How many mild cases go for long? And is there anything except vitamins that I can do.
I am very blessed to only have fever, but it's still very depressing especially with all the guilt that I might have infected someone.
My second question is as I saw my boyfriend 11 days ago, he's bordline with antibodies and already started developing IgG, do you think it is likely he will be fine? I am really worried about him as well as my parents :( 
Stay safe and I wish all the best for everyone ❤️</t>
        </is>
      </c>
      <c r="D4374" t="n">
        <v>1</v>
      </c>
      <c r="E4374" t="n">
        <v>6</v>
      </c>
      <c r="F4374">
        <f>HYPERLINK("https://www.reddit.com/r/COVID19positive/comments/i910ni/mild_case_but_a_long_one_only_discovered_two_days/")</f>
        <v/>
      </c>
      <c r="G4374" t="inlineStr">
        <is>
          <t>2020-08-13 07:36:25</t>
        </is>
      </c>
      <c r="H4374" t="inlineStr">
        <is>
          <t>Tested Positive - Me</t>
        </is>
      </c>
    </row>
    <row r="4375">
      <c r="A4375" t="inlineStr">
        <is>
          <t>i914r1</t>
        </is>
      </c>
      <c r="B4375" t="inlineStr">
        <is>
          <t>Covid 19 “Positive” for almost 40 days</t>
        </is>
      </c>
      <c r="C4375" t="inlineStr">
        <is>
          <t>Back in early July I got a test for covid because of work (I deal with covid patients on the daily) around two weeks later it came back positive. The state I live in told me I was good to go because I was past the quarantine 14 days. However, I continued to test positive past that. Now I’ve been “positive” for close to 40 days now. Funny thing is I called my doctor and the pharmacy I got the original test from and even they are saying it’s probably false positives. I have never had a single symptom this entire time. Anyone else have similar experiences? I wanna go back to work lol and I’m on my fourth test.</t>
        </is>
      </c>
      <c r="D4375" t="n">
        <v>1</v>
      </c>
      <c r="E4375" t="n">
        <v>2</v>
      </c>
      <c r="F4375">
        <f>HYPERLINK("https://www.reddit.com/r/COVID19positive/comments/i914r1/covid_19_positive_for_almost_40_days/")</f>
        <v/>
      </c>
      <c r="G4375" t="inlineStr">
        <is>
          <t>2020-08-13 07:43:06</t>
        </is>
      </c>
      <c r="H4375" t="inlineStr">
        <is>
          <t>Tested Positive - Me</t>
        </is>
      </c>
    </row>
    <row r="4376">
      <c r="A4376" t="inlineStr">
        <is>
          <t>i925xs</t>
        </is>
      </c>
      <c r="B4376" t="inlineStr">
        <is>
          <t>I have covid and my lease is ending 8/31</t>
        </is>
      </c>
      <c r="C4376" t="inlineStr">
        <is>
          <t>I live in NYC and rent prices are down drastically. My landlord won’t work with me on a rent reduction to market rate and I don’t want to sign another 12 month lease for the same price. My lease ends 8/31 and I just tested positive for covid. What should I do?</t>
        </is>
      </c>
      <c r="D4376" t="n">
        <v>1</v>
      </c>
      <c r="E4376" t="n">
        <v>9</v>
      </c>
      <c r="F4376">
        <f>HYPERLINK("https://www.reddit.com/r/COVID19positive/comments/i925xs/i_have_covid_and_my_lease_is_ending_831/")</f>
        <v/>
      </c>
      <c r="G4376" t="inlineStr">
        <is>
          <t>2020-08-13 08:40:05</t>
        </is>
      </c>
      <c r="H4376" t="inlineStr">
        <is>
          <t>Tested Positive - Me</t>
        </is>
      </c>
    </row>
    <row r="4377">
      <c r="A4377" t="inlineStr">
        <is>
          <t>i92fhu</t>
        </is>
      </c>
      <c r="B4377" t="inlineStr">
        <is>
          <t>Is it possible to get COVID19 more than once?</t>
        </is>
      </c>
      <c r="C4377" t="inlineStr">
        <is>
          <t>I was diagnoned with COVID about 4 weeks ago and today after retesting my report came back negative. The problem is that I have to travel a little in the coming week and I am scared to get COVID again. Does anyone know if one can get COVID more than once?</t>
        </is>
      </c>
      <c r="D4377" t="n">
        <v>1</v>
      </c>
      <c r="E4377" t="n">
        <v>6</v>
      </c>
      <c r="F4377">
        <f>HYPERLINK("https://www.reddit.com/r/COVID19positive/comments/i92fhu/is_it_possible_to_get_covid19_more_than_once/")</f>
        <v/>
      </c>
      <c r="G4377" t="inlineStr">
        <is>
          <t>2020-08-13 08:54:22</t>
        </is>
      </c>
      <c r="H4377" t="inlineStr">
        <is>
          <t>Tested Positive</t>
        </is>
      </c>
    </row>
    <row r="4378">
      <c r="A4378" t="inlineStr">
        <is>
          <t>i92my2</t>
        </is>
      </c>
      <c r="B4378" t="inlineStr">
        <is>
          <t>Caring for someone who tested positive - when to stop isolating</t>
        </is>
      </c>
      <c r="C4378" t="inlineStr">
        <is>
          <t>Hi. My girlfriend tested positive 2 weeks ago and has had symptoms for 3 weeks. I have been caring for her and we are unable to isolate from each other in our home. I developed symptoms, but I have tested negative twice. She is feeling much better and no longer has symptoms but her second test just came back (48 hr turn around time) positive. My work wants me to come back next week since I'm negative and isn't too concerned that I'm living with a positive person, saying that if she doesn't have symptoms she can't transmit the virus. 
For those who have been in similar situations - what would you do here? My gut is to keep isolating.</t>
        </is>
      </c>
      <c r="D4378" t="n">
        <v>1</v>
      </c>
      <c r="E4378" t="n">
        <v>3</v>
      </c>
      <c r="F4378">
        <f>HYPERLINK("https://www.reddit.com/r/COVID19positive/comments/i92my2/caring_for_someone_who_tested_positive_when_to/")</f>
        <v/>
      </c>
      <c r="G4378" t="inlineStr">
        <is>
          <t>2020-08-13 09:05:15</t>
        </is>
      </c>
      <c r="H4378" t="inlineStr">
        <is>
          <t>Tested Positive - Family</t>
        </is>
      </c>
    </row>
    <row r="4379">
      <c r="A4379" t="inlineStr">
        <is>
          <t>i93a42</t>
        </is>
      </c>
      <c r="B4379" t="inlineStr">
        <is>
          <t>[ANOTHER UPDATE] ANOTHER LITTLE STEP!!! (My dad)</t>
        </is>
      </c>
      <c r="C4379" t="inlineStr">
        <is>
          <t>His organs are still compromised, but he can regulate his blood pressure on his own without medication, and they are gonna give him plasma from those who recovered from covid soon!! He's giving baby steps towards life again. I'm so freaking proud of him!!!! 💙</t>
        </is>
      </c>
      <c r="D4379" t="n">
        <v>2</v>
      </c>
      <c r="E4379" t="n">
        <v>48</v>
      </c>
      <c r="F4379">
        <f>HYPERLINK("https://www.reddit.com/r/COVID19positive/comments/i93a42/another_update_another_little_step_my_dad/")</f>
        <v/>
      </c>
      <c r="G4379" t="inlineStr">
        <is>
          <t>2020-08-13 09:38:57</t>
        </is>
      </c>
      <c r="H4379" t="inlineStr">
        <is>
          <t>Tested Positive - Family</t>
        </is>
      </c>
    </row>
    <row r="4380">
      <c r="A4380" t="inlineStr">
        <is>
          <t>i93bcm</t>
        </is>
      </c>
      <c r="B4380" t="inlineStr">
        <is>
          <t>Ruining my family</t>
        </is>
      </c>
      <c r="C4380" t="inlineStr">
        <is>
          <t>A few weeks ago my uncle passed away due to covid.  He had an pneumonia for about a month and died 3 days into his hospital stay.  His first test was negative and a Day later his second test was positive and that’s when he was admitted. He lived in a different country so take that for what it is.  
Now i have another uncle in the hospital.  He had high fever causing delirium.  He’s on oxygen and his blood pressure and blood sugar are super high and they can’t seem to bring it down.  He’s been in the hospital for 3 days so far.
My aunt (above uncle’s sister) and cousin are also positive.  My aunt has an pneumonia and fever.  She isn’t in the hospital yet because my cousins are complete and utter idiots but I keep urging them to take her and I believe it’s only a matter of time that they do. (Theres a bit more to this story but not super relevant). My cousin is 40 and healthy so I believe she’ll be fine but i feel completely defeated by this thing.  I feel like i have absolutely no control and that my dad may lose a brother and sister after losing his best friend (the first uncle was my aunts husband and my dads best friend since childhood). 
Im at a loss.  I’m going to get the doctors contact info to call and try to understand exactly what protocol they’re giving him.</t>
        </is>
      </c>
      <c r="D4380" t="n">
        <v>1</v>
      </c>
      <c r="E4380" t="n">
        <v>5</v>
      </c>
      <c r="F4380">
        <f>HYPERLINK("https://www.reddit.com/r/COVID19positive/comments/i93bcm/ruining_my_family/")</f>
        <v/>
      </c>
      <c r="G4380" t="inlineStr">
        <is>
          <t>2020-08-13 09:40:45</t>
        </is>
      </c>
      <c r="H4380" t="inlineStr">
        <is>
          <t>Tested Positive - Family</t>
        </is>
      </c>
    </row>
    <row r="4381">
      <c r="A4381" t="inlineStr">
        <is>
          <t>i93do7</t>
        </is>
      </c>
      <c r="B4381" t="inlineStr">
        <is>
          <t>Weird IgG positive result</t>
        </is>
      </c>
      <c r="C4381" t="inlineStr">
        <is>
          <t>Hi Everyone,
I tested IgG +ve IgM -ve , yesterday with the rapid antibody test. Does it definitely mean I had covid or is there something I can do to check further ?
Does IgG +ve can be due to a flu?
Background -
The reason I took the test was because 5 weeks ago, I had suddenly 101F / 38.2C fever followed by low grade fever 99F/ 37C for the next 7 days while I was taking paracetamols. During this time I felt tired easily, pain behind eyes ( for a day or two )  and had next to nothing phlegm.
I was back to heath on Day 10 to deal with dental swelling ( bad July for me ) &amp;amp; right now I feel perfectly normal.
During my sickness, I just took one sick day from work, I studied &amp;amp; cleared a certification ( not voluntarily ) , did my laundry , cooked for myself and took care of rest of the usual stuff.
Twist -
What’s funny is my flatmate who flew back from LA &amp;amp; takes way less precautions than i do, tested negative.
We share a common space &amp;amp; bathroom in the apartment.</t>
        </is>
      </c>
      <c r="D4381" t="n">
        <v>1</v>
      </c>
      <c r="E4381" t="n">
        <v>5</v>
      </c>
      <c r="F4381">
        <f>HYPERLINK("https://www.reddit.com/r/COVID19positive/comments/i93do7/weird_igg_positive_result/")</f>
        <v/>
      </c>
      <c r="G4381" t="inlineStr">
        <is>
          <t>2020-08-13 09:44:00</t>
        </is>
      </c>
      <c r="H4381" t="inlineStr">
        <is>
          <t>Presumed Positive - From Test</t>
        </is>
      </c>
    </row>
    <row r="4382">
      <c r="A4382" t="inlineStr">
        <is>
          <t>i944fl</t>
        </is>
      </c>
      <c r="B4382" t="inlineStr">
        <is>
          <t>Day 10: I feel great, I tyreated myself while medical community sits on thier hands &amp;amp; media is ALL DOOM. Tired of the hype</t>
        </is>
      </c>
      <c r="C4382" t="inlineStr">
        <is>
          <t xml:space="preserve">  
**I was diagnosed with Covid Aug 3 2020.** 
According to the media &amp;amp; the screaming mobs of karens on social media I was at worst at risk of death &amp;amp; at best in store for some horrifying symptoms! In short the media wants us to believe that we should panic, run to the hospital or the nearest Dr in fear and prepare for THE WORST. Case in point my local news paper’s [https://www.floridatoday.com/](https://www.floridatoday.com/)  headlines for the past 2 weeks archived from [https://web.archive.org/](https://web.archive.org/)
1) 8/13: How COVID-19 fuels excess weekly deaths in Florida
2) 8/9: Man, 21, gets mild COVID-19 — then he nearly died (yes this SAME headline for 3 days!)
3) 8/8: Man, 21, gets mild COVID-19 — then he nearly died
4) 8/7: Man, 21, gets mild COVID-19 — then he nearly died
5) 8/6: Malaria drug not a COVID-19 cure but debate rages
6) 7/29: What's behind Brevard's deadliest COVID day so far
7) 7/27: State reports 8,892 new COVID-19 cases, 77 deaths
8) 7/26: DeSantis in national spotlight for bungling pandemic
9) 7/25: Coronavirus infects another 12,199 in Florida, 124 more dead
**Choices**
Considering the news headlines and the barrage of even grimmer national stories I had 2 choices: 
A) listen to the media and panic at the possibility of dire illness or death OR 
B) treat Covid the same as any other flu I have had in the past: treat the symptoms
Under option A) I would expect one or more of the following symptoms per the Media:
1) Crippling fever and chills
2) Dry &amp;amp; hacking cough
3) Extreme Tiredness
4) “breathing issues” and “suffocating respiratory issues”
5) Death!? 
The constant media attention on the severe cases of this illness makes it appear to the AVERAGE citizen that the majority of people are at risk of being hospitalized. Yes details in each story may declare facts however the extreme focus on the outlier cases has become the norm in media! They focus on stories about the 25 yr old who ended up in the ICU, the healthy 40 year old that ended up on a vent the 35 year old father that died, the 30 something couple that died from Covid. It is CONSTANT and it is uniform in ALL media reports. I have yet to see ONE headline in the past month in my local news paper that showcases the average Covid case. 
**My Choice**
Well I decided on option B) treat covid like any other illness &amp;amp; also do the following :
1) I will NOT read any news regarding Covid from USA media companies.
2) I will read articles from medical journals, institutions &amp;amp; vitamins/supplement blogs on Covid
3) I will treat Covid same as a common cold or flu: take meds and supplements to TREAT my symptoms. 
4) I will track progress &amp;amp; observe how my body reacts to improve my daily health until end.
5) I will document my observations and experience on reddit to communicate my approach and outcomes with others.
6) Create a treatment plan for myself based on history and research: Vitamin C, D, NAC, Zinc, ZPack, Acyclovir
**Results**
The result? Its day 10 and I feel FINE. Covid for me was NEVER as severe as the flu, it has a longer duration but is NOT as severe as the flu or the COMMON COLD!! I can honestly rank Covid as one of the weakest yet longest duration illnesses I have ever had! I had almost every symptom that is documented with Covid however the severity of each symptom was minimal primarily because I took meds &amp;amp; supplements along the way to alleviate symptoms and above all I managed my diet! No red meat, no alcohol, light meals, light on the dairy &amp;amp; light exercise.
**Abandoned by Medical Community**
What is highly concerning to me is the lack of willingness by Dr’s to recommend ANYTHING regarding Covid! My local Dr’s are SO SCARED of the media they will not prescribe ANYTHING for someone who has Covid unless you are an extreme case. Yet if I have an ear ache I get 2 Rx's that may or may not work. Really!? This to me is medical maleficence! There are many medications and supplements that can TREAT THE SYMPTOMS of Covid today, yet Dr’s are scared to utter word in fear of a media that wants to crucify any Dr that says there is hope and a social media that views Covid as the most dangerous illness since the Black Plague! These are LIES!
Because of this I took my health into my own hands. I already have allot of experience with supplements and I was prescribed some basic antibiotics and antivirals in the past. This combined with some basic research into existing NIH/Global studies regarding these meds and supplements I implemented my OWN TREATMENT PLAN!! 
**Abandoned by Media &amp;amp; Community**
Why am I having to do this? Because Dr’s are refusing to mention any Vitamins or basic anti Virals to subside Covid symptoms! Thus there are NO treatments and plans: science is being blocked by media and a mob of social media authoritarians. The media is feverishly perusing Covid cases looking for ANY outlier where a patient became ill or died. They then target the Dr or medical facility for scrutiny and ridicule. Likewise they hunt for Dr’s who DARE mention a treatment of ANY kind just so they may prove otherwise. They are the purveyors of DOOM, the messengers of DEATH they live off of BAD news, they PROFIT from ill will and darkness and they will create an aura of doom over society no matter the cost. 
The “Social Media karens” of facebook, twitter and the like are there to prop up, back up and supplement this media maleficence by initiating mass hysteria and mobbing anyone who dare act or speak out of line with the orthodoxy. Those who mention that this is a “mild” flu are castigated. Social media has become the fix a flat for the leaking tire that is corporate media to silence all dissent, an army of delusional authoritarians backed by outlier news article that focus on the exceptions rather than the rule!
**On our own it seems**
Thus people who get this “virus” are left to their own devices. And this is my story. Our medical system is at a standstill because of a cancel culture and the unwillingness of Dr’s and Patients to utilize the basics of Science that I thought we all learned in elementary school: Scientific Method. Every time we get a common cold we apply the Scientific Method, we take a med or supplement as an educated hypothesis it will calm a symptom. If it works we continue, if not we discontinue. 
Yet for Covid people are AFRAID  to take Vitamin C or anything? WTF? The media says there are NO supplements or meds to treat Covid? Are we to believe that with all the medical professionals in this world we cannot come up with ONE PRODUCT to treat Covid symptoms? That is BULL. There are no therapeutics for Covid because the media wants people to be sick and dying so they can have more bad stories to report on. The karens of social likewise feed off the volume of bad cases sharing bad Covid news and supplementing with horrid comments completing the circle jerk of mis-information until it breeds another CYCLE of BAD NEWS.
**In the end it is all normal &amp;amp; OK**
People need to break the cycle, only when we all treat this like the Flu will life move on. If you are under the age of 80 and/or not obese you will be just fine, the same in most cases as the flu. In my case it was less severe then the flu!!!!  Because in reality for MOST people it is LESS severe than the flu yet lasts longer. We SHOULD say it is like the flu because THE FLU is the only existing virus that is the most similar to Covid! Once we all treat it as such can we get back to normal and face the reality that Covid is part of the same normal that includes the flu, the cold, herpes, hiv, ect ect. Normal!</t>
        </is>
      </c>
      <c r="D4382" t="n">
        <v>1</v>
      </c>
      <c r="E4382" t="n">
        <v>0</v>
      </c>
      <c r="F4382">
        <f>HYPERLINK("https://www.reddit.com/r/COVID19positive/comments/i944fl/day_10_i_feel_great_i_tyreated_myself_while/")</f>
        <v/>
      </c>
      <c r="G4382" t="inlineStr">
        <is>
          <t>2020-08-13 10:23:31</t>
        </is>
      </c>
      <c r="H4382" t="inlineStr">
        <is>
          <t>Tested Positive - Me</t>
        </is>
      </c>
    </row>
    <row r="4383">
      <c r="A4383" t="inlineStr">
        <is>
          <t>i9466l</t>
        </is>
      </c>
      <c r="B4383" t="inlineStr">
        <is>
          <t>Day 10: I feel great, I treated myself while media is ALL doom &amp;amp; medical community sits on their hands. Tired of the hype.q</t>
        </is>
      </c>
      <c r="C4383" t="inlineStr">
        <is>
          <t>**I was diagnosed with Covid Aug 3 2020.**
According to the media &amp;amp; the screaming mobs of karens on social media I was at worst at risk of death &amp;amp; at best in store for some horrifying symptoms! In short the media wants us to believe that we should panic, run to the hospital or the nearest Dr in fear and prepare for THE WORST. Case in point my local news paper’s [https://www.floridatoday.com/](https://www.floridatoday.com/)  headlines for the past 2 weeks archived from [https://web.archive.org/](https://web.archive.org/)
1. 8/13: How COVID-19 fuels excess weekly deaths in Florida
2. 8/9: Man, 21, gets mild COVID-19 — then he nearly died (yes this SAME headline for 3 days!)
3. 8/8: Man, 21, gets mild COVID-19 — then he nearly died
4. 8/7: Man, 21, gets mild COVID-19 — then he nearly died
5. 8/6: Malaria drug not a COVID-19 cure but debate rages
6. 7/29: What's behind Brevard's deadliest COVID day so far
7. 7/27: State reports 8,892 new COVID-19 cases, 77 deaths
8. 7/26: DeSantis in national spotlight for bungling pandemic
9. 7/25: Coronavirus infects another 12,199 in Florida, 124 more dead
**Choices**
Considering the news headlines and the barrage of even grimmer national stories I had 2 choices:
A) listen to the media and panic at the possibility of dire illness or death OR
B) treat Covid the same as any other flu I have had in the past: treat the symptoms
Under option A) I would expect one or more of the following symptoms per the Media:
1. Crippling fever and chills
2. Dry &amp;amp; hacking cough
3. Extreme Tiredness
4. “breathing issues” and “suffocating respiratory issues”
5. Death!?
The constant media attention on the severe cases of this illness makes it appear to the AVERAGE citizen that the majority of people are at risk of being hospitalized. Yes details in each story may declare facts however the extreme focus on the outlier cases has become the norm in media! They focus on stories about the 25 yr old who ended up in the ICU, the healthy 40 year old that ended up on a vent the 35 year old father that died, the 30 something couple that died from Covid. It is CONSTANT and it is uniform in ALL media reports. I have yet to see ONE headline in the past month in my local news paper that showcases the average Covid case.
**My Choice**
Well I decided on option B) treat covid like any other illness &amp;amp; also do the following :
1. I will NOT read any news regarding Covid from USA media companies.
2. I will read articles from medical journals, institutions &amp;amp; vitamins/supplement blogs on Covid
3. I will treat Covid same as a common cold or flu: take meds and supplements to TREAT my symptoms.
4. I will track progress &amp;amp; observe how my body reacts to improve my daily health until end.
5. I will document my observations and experience on reddit to communicate my approach and outcomes with others.
6. Create a treatment plan for myself based on history and research: Vitamin C, D, NAC, Zinc, ZPack, Acyclovir
**Results**
The result? Its day 10 and I feel FINE. Covid for me was NEVER as severe as the flu, it has a longer duration but is NOT as severe as the flu or the COMMON COLD!! I can honestly rank Covid as one of the weakest yet longest duration illnesses I have ever had! I had almost every symptom that is documented with Covid however the severity of each symptom was minimal primarily because I took meds &amp;amp; supplements along the way to alleviate symptoms and above all I managed my diet! No red meat, no alcohol, light meals, light on the dairy &amp;amp; light exercise.
**Abandoned by Medical Community**
What is highly concerning to me is the lack of willingness by Dr’s to recommend ANYTHING regarding Covid! My local Dr’s are SO SCARED of the media they will not prescribe ANYTHING for someone who has Covid unless you are an extreme case. Yet if I have an ear ache I get 2 Rx's that may or may not work. Really!? This to me is medical maleficence! There are many medications and supplements that can TREAT THE SYMPTOMS of Covid today, yet Dr’s are scared to utter word in fear of a media that wants to crucify any Dr that says there is hope and a social media that views Covid as the most dangerous illness since the Black Plague! These are LIES!
Because of this I took my health into my own hands. I already have allot of experience with supplements and I was prescribed some basic antibiotics and antivirals in the past. This combined with some basic research into existing NIH/Global studies regarding these meds and supplements I implemented my OWN TREATMENT PLAN!!
**Abandoned by Media &amp;amp; Community**
Why am I having to do this? Because Dr’s are refusing to mention any Vitamins or basic anti Virals to subside Covid symptoms! Thus there are NO treatments and plans: science is being blocked by media and a mob of social media authoritarians. The media is feverishly perusing Covid cases looking for ANY outlier where a patient became ill or died. They then target the Dr or medical facility for scrutiny and ridicule. Likewise they hunt for Dr’s who DARE mention a treatment of ANY kind just so they may prove otherwise. They are the purveyors of DOOM, the messengers of DEATH they live off of BAD news, they PROFIT from ill will and darkness and they will create an aura of doom over society no matter the cost.
The “Social Media karens” of facebook, twitter and the like are there to prop up, back up and supplement this media maleficence by initiating mass hysteria and mobbing anyone who dare act or speak out of line with the orthodoxy. Those who mention that this is a “mild” flu are castigated. Social media has become the fix a flat for the leaking tire that is corporate media to silence all dissent, an army of delusional authoritarians backed by outlier news article that focus on the exceptions rather than the rule!
**On our own it seems**
Thus people who get this “virus” are left to their own devices. And this is my story. Our medical system is at a standstill because of a cancel culture and the unwillingness of Dr’s and Patients to utilize the basics of Science that I thought we all learned in elementary school: Scientific Method. Every time we get a common cold we apply the Scientific Method, we take a med or supplement as an educated hypothesis it will calm a symptom. If it works we continue, if not we discontinue.
Yet for Covid people are AFRAID  to take Vitamin C or anything? WTF? The media says there are NO supplements or meds to treat Covid? Are we to believe that with all the medical professionals in this world we cannot come up with ONE PRODUCT to treat Covid symptoms? That is BULL. There are no therapeutics for Covid because the media wants people to be sick and dying so they can have more bad stories to report on. The karens of social likewise feed off the volume of bad cases sharing bad Covid news and supplementing with horrid comments completing the circle jerk of mis-information until it breeds another CYCLE of BAD NEWS.
**In the end it is all normal &amp;amp; OK**
People need to break the cycle, only when we all treat this like the Flu will life move on. If you are under the age of 80 and/or not obese you will be just fine, the same in most cases as the flu. In my case it was less severe then the flu!!!!  Because in reality for MOST people it is LESS severe than the flu yet lasts longer. We SHOULD say it is like the flu because THE FLU is the only existing virus that is the most similar to Covid! Once we all treat it as such can we get back to normal and face the reality that Covid is part of the same normal that includes the flu, the cold, herpes, hiv, ect ect. Normal!</t>
        </is>
      </c>
      <c r="D4383" t="n">
        <v>1</v>
      </c>
      <c r="E4383" t="n">
        <v>8</v>
      </c>
      <c r="F4383">
        <f>HYPERLINK("https://www.reddit.com/r/COVID19positive/comments/i9466l/day_10_i_feel_great_i_treated_myself_while_media/")</f>
        <v/>
      </c>
      <c r="G4383" t="inlineStr">
        <is>
          <t>2020-08-13 10:26:08</t>
        </is>
      </c>
      <c r="H4383" t="inlineStr">
        <is>
          <t>Tested Positive - Me</t>
        </is>
      </c>
    </row>
    <row r="4384">
      <c r="A4384" t="inlineStr">
        <is>
          <t>i94cri</t>
        </is>
      </c>
      <c r="B4384" t="inlineStr">
        <is>
          <t>How to eat with loss of taste and smell</t>
        </is>
      </c>
      <c r="C4384" t="inlineStr">
        <is>
          <t>Any advice? I can like vaguely taste things but it’s definitely distorted. I know I really should eat to keep my body strong. But it’s just not enjoyable and even a bit repulsive to eat right now. Forcing food down just doesn’t sit well with my body. Anyone advice on what to do?</t>
        </is>
      </c>
      <c r="D4384" t="n">
        <v>1</v>
      </c>
      <c r="E4384" t="n">
        <v>11</v>
      </c>
      <c r="F4384">
        <f>HYPERLINK("https://www.reddit.com/r/COVID19positive/comments/i94cri/how_to_eat_with_loss_of_taste_and_smell/")</f>
        <v/>
      </c>
      <c r="G4384" t="inlineStr">
        <is>
          <t>2020-08-13 10:36:03</t>
        </is>
      </c>
      <c r="H4384" t="inlineStr">
        <is>
          <t>Tested Positive - Me</t>
        </is>
      </c>
    </row>
    <row r="4385">
      <c r="A4385" t="inlineStr">
        <is>
          <t>i94hw3</t>
        </is>
      </c>
      <c r="B4385" t="inlineStr">
        <is>
          <t>Tested positive I have questions</t>
        </is>
      </c>
      <c r="C4385" t="inlineStr">
        <is>
          <t>So today is day 5 since I been positive and it marks the first day I’ve thrown up...ive thrown up about 7 times today..has anyone else had these symptoms how long does vomiting last?</t>
        </is>
      </c>
      <c r="D4385" t="n">
        <v>1</v>
      </c>
      <c r="E4385" t="n">
        <v>4</v>
      </c>
      <c r="F4385">
        <f>HYPERLINK("https://www.reddit.com/r/COVID19positive/comments/i94hw3/tested_positive_i_have_questions/")</f>
        <v/>
      </c>
      <c r="G4385" t="inlineStr">
        <is>
          <t>2020-08-13 10:43:28</t>
        </is>
      </c>
      <c r="H4385" t="inlineStr">
        <is>
          <t>Tested Positive - Me</t>
        </is>
      </c>
    </row>
    <row r="4386">
      <c r="A4386" t="inlineStr">
        <is>
          <t>i94lue</t>
        </is>
      </c>
      <c r="B4386" t="inlineStr">
        <is>
          <t>Loss of Sensation Throughout My Body</t>
        </is>
      </c>
      <c r="C4386" t="inlineStr">
        <is>
          <t>Let me preface this by saying I’m angry. It’s been over 2 weeks since I got swabbed and had my blood taken and I have yet to receive results (presumed positive). 
I had various symptoms over the course of a week towards the end of July. Cough, sore throat. Fever. My fever went away and with it, I lost my sense of smell and taste. Once I felt I was short of breathe, I visited the ER. There, I was told that I was perfectly healthy based on my vitals and chest x-ray, and I was sent home with no medication and told to relax as it was likely anxiety. 
Over the course of the last couple weeks, my sleeping patterns have worsened. I visited urgent care and again was told my vitals were fine and again I was told to relax. I have trouble going to sleep, waking up, and feeling drowsy through out the day. It’s a struggle to do simple things like grocery shopping without feeling extremely fatigued. I started experiencing sleep paralysis before and after waking up since earlier this week as well as pins and needles in my hands and feet and finally today, I’ve lost skin-surface bodily sensation and simultaneously my skin feels like it’s burning if I rub it or touch it too much or expose myself to very cold or hot things. My mind feels like it’s being pulled out of my body at times and my depth perception is completely off. I’m afraid if I stop moving I’ll just feel paralyzed. It’s terrifying. 
I’m frustrated that I still have yet to receive my results. Has anyone else experienced anything like this? 
Thanks in advance guys. 
In case anyone’s curious, I’m a 21 year old healthy woman with no pre-existing conditions.</t>
        </is>
      </c>
      <c r="D4386" t="n">
        <v>1</v>
      </c>
      <c r="E4386" t="n">
        <v>2</v>
      </c>
      <c r="F4386">
        <f>HYPERLINK("https://www.reddit.com/r/COVID19positive/comments/i94lue/loss_of_sensation_throughout_my_body/")</f>
        <v/>
      </c>
      <c r="G4386" t="inlineStr">
        <is>
          <t>2020-08-13 10:49:18</t>
        </is>
      </c>
      <c r="H4386" t="inlineStr">
        <is>
          <t>Presumed Positive - From Doctor</t>
        </is>
      </c>
    </row>
    <row r="4387">
      <c r="A4387" t="inlineStr">
        <is>
          <t>i95p7t</t>
        </is>
      </c>
      <c r="B4387" t="inlineStr">
        <is>
          <t>Shortness of breath and sweating but no fever whatsoever</t>
        </is>
      </c>
      <c r="C4387" t="inlineStr">
        <is>
          <t>So I left work because of shortness of breath, tight chess and just overall feeling dizzy but have no fever. They are coming in 15 mins to my apartment to test me. How long does this shortness of breath usually last?</t>
        </is>
      </c>
      <c r="D4387" t="n">
        <v>1</v>
      </c>
      <c r="E4387" t="n">
        <v>7</v>
      </c>
      <c r="F4387">
        <f>HYPERLINK("https://www.reddit.com/r/COVID19positive/comments/i95p7t/shortness_of_breath_and_sweating_but_no_fever/")</f>
        <v/>
      </c>
      <c r="G4387" t="inlineStr">
        <is>
          <t>2020-08-13 11:47:12</t>
        </is>
      </c>
      <c r="H4387" t="inlineStr">
        <is>
          <t>Presumed Positive - From Doctor</t>
        </is>
      </c>
    </row>
    <row r="4388">
      <c r="A4388" t="inlineStr">
        <is>
          <t>i966pt</t>
        </is>
      </c>
      <c r="B4388" t="inlineStr">
        <is>
          <t>Boyfriend showing covid symptoms</t>
        </is>
      </c>
      <c r="C4388" t="inlineStr">
        <is>
          <t>We are getting tested today but i haven’t shown any symptoms and feel completely fine. We share a room in his parents house. There are no extra bedrooms for me to sleep in. The living room is already occupied by his grandfather who is visiting. I was wondering if anyone had any ideas on what we should do to keep me safe. We have an air mattress that he can sleep on but we’d still be in the same room. So far we’ve both implemented wearing masks all day in the room but i’m just stumped on what to do when it comes time to sleep.</t>
        </is>
      </c>
      <c r="D4388" t="n">
        <v>1</v>
      </c>
      <c r="E4388" t="n">
        <v>6</v>
      </c>
      <c r="F4388">
        <f>HYPERLINK("https://www.reddit.com/r/COVID19positive/comments/i966pt/boyfriend_showing_covid_symptoms/")</f>
        <v/>
      </c>
      <c r="G4388" t="inlineStr">
        <is>
          <t>2020-08-13 12:12:16</t>
        </is>
      </c>
      <c r="H4388" t="inlineStr">
        <is>
          <t>Presumed Positive - From Test</t>
        </is>
      </c>
    </row>
    <row r="4389">
      <c r="A4389" t="inlineStr">
        <is>
          <t>i96ymd</t>
        </is>
      </c>
      <c r="B4389" t="inlineStr">
        <is>
          <t>Pneumonia &amp;amp; Shingles from COVID (19 days)</t>
        </is>
      </c>
      <c r="C4389" t="inlineStr">
        <is>
          <t>My mothers experience.
Some of you may have seen my previous report. Thank you so much for the continued support and believing in my mother to recover fully and come home as soon as possible. 
As this is my mothers experience, if I don’t reply to a question you asked or an update request, it’s because I haven’t gotten a moment to chat with my mom about it just yet. Rest assured I will get through everybody’s questions, just be patient. 
Age: 53(F).
No previous known illness or health/immune system complications.
Tested Positive for COVID-19: 7/27.
Symptoms: fatigue, muscle/body ache, nausea, vomiting, diarrhea, fever. 
These symptoms lasted ~9 days. Then feelings of relief and recovery began to emerge, but it was all bullshit. 
Shingles symptoms emerged ~8/6.
Symptoms: fever (102F), rash on lower back and left hip, extreme back pain, major fatigue &amp;amp; exhaustion, nerve pain, dry cough, low oxygen level (~92); measured with pulse oximeter). It was very hard to eat and I rarely had an appetite. My children made me fruit veggie ginger immunity shakes everyday which I was able to stomach down. 
Visited Urgent Care: 8/7.
Diagnosis: COVID Pneumonia and Shingles.
Tx: Valacyclovir, benzonatate (for cough).
My body was very fatigued, &amp;amp; my chest was in noticeable pain. I was able to breath, but definitely not efficiently enough. It was hard to tell that I wasn’t getting enough oxygen because I was able to breath, just not easily. But there was noticeable chest pain for sure. I was tired every second, I barely had the strength to close my mouth or talk to my children without losing all of my energy. My jaw was open the whole time because it was easier then putting energy into closing my mouth or smiling. I tried to sit upright most of the weekend to stop the buildup of fluid, and I tried walking and pumping my arms/chest but I couldn’t do so for more then a few minutes without losing all of my energy and needing to sleep again. I only had the energy to do that once or twice a day at most. When I was sleeping at night, my children said I was breathing weirdly and making weird noises from my mouth, and my chest was flailing very rigorously. It was scary.
Virtual visit with physician 8/10 -&amp;gt; recommended visiting hospital and emergency room for oxygen support and remdesivir (antiviral which is only administered under hospital administration).
8/10 evening: admitted into COVID section of hospital.
They took an x-ray and ct scan of my chest. 
Diagnosis: COVID-19 Pneumonia. 
Tx: oxygen therapy - this brought my oxygen levels back up to 95-96. It’s much more relaxing with oxygen therapy. 
8/11 evening:  given an IV with steroids for the pneumonia which seemed to help. They said remdesivir is unnecessary and they will not be administering it. 
8/12: Able to walk around my room a little bit more. Overall, I feel more relaxed with elevated oxygen levels. However, I am still very weak and fatigued. Still coughing (dry).
8/13: Things are pretty much the same. Oxygen levels are still sitting at ~95/96. They are planning to start tapering me off the oxygen by cutting it in half from 2L to 1L tomorrow, and monitoring my levels. 
Thank you everyone for your support.</t>
        </is>
      </c>
      <c r="D4389" t="n">
        <v>1</v>
      </c>
      <c r="E4389" t="n">
        <v>3</v>
      </c>
      <c r="F4389">
        <f>HYPERLINK("https://www.reddit.com/r/COVID19positive/comments/i96ymd/pneumonia_shingles_from_covid_19_days/")</f>
        <v/>
      </c>
      <c r="G4389" t="inlineStr">
        <is>
          <t>2020-08-13 12:53:52</t>
        </is>
      </c>
      <c r="H4389" t="inlineStr">
        <is>
          <t>Tested Positive</t>
        </is>
      </c>
    </row>
    <row r="4390">
      <c r="A4390" t="inlineStr">
        <is>
          <t>i984bs</t>
        </is>
      </c>
      <c r="B4390" t="inlineStr">
        <is>
          <t>Foods that helped me</t>
        </is>
      </c>
      <c r="C4390" t="inlineStr">
        <is>
          <t>Today is the first day I haven’t had crazy nausea and for the most part I’ve had a lack of appetite for the past week or so. I know a lot of people have struggled with eating (especially when they lost their sense of taste) so of the many things I tried these are the few things that helped. 
-Ritz Crackers
-Kettle Brand sea salt and vinegar chips
-Cold Clementines (this one helped a lot)
-Congee (rice porridge) with boiled pork, ginger, soy sauce, pepper and scallions. This is an Asian staple food for when you’re sick, and it worked wonders for me the past couple of days
-Tea with freshly cut ginger
I tried loads of other foods from plain bread to pizza. None of it, including OTC meds like Dramamine helped. Hopefully this helps! If there’s anything that helped you please feel free to add. Of course I recognize everyone’s stomach is different, but if it works for someone else it might work for you. Good luck and sorry you’re going through what you’re going through!</t>
        </is>
      </c>
      <c r="D4390" t="n">
        <v>1</v>
      </c>
      <c r="E4390" t="n">
        <v>2</v>
      </c>
      <c r="F4390">
        <f>HYPERLINK("https://www.reddit.com/r/COVID19positive/comments/i984bs/foods_that_helped_me/")</f>
        <v/>
      </c>
      <c r="G4390" t="inlineStr">
        <is>
          <t>2020-08-13 13:56:07</t>
        </is>
      </c>
      <c r="H4390" t="inlineStr">
        <is>
          <t>Tested Positive - Me</t>
        </is>
      </c>
    </row>
    <row r="4391">
      <c r="A4391" t="inlineStr">
        <is>
          <t>i98vqq</t>
        </is>
      </c>
      <c r="B4391" t="inlineStr">
        <is>
          <t>Daughter (4F) had fever on Tuesday, Husband (34M) tested positive on Wednesday</t>
        </is>
      </c>
      <c r="C4391" t="inlineStr">
        <is>
          <t>My daughter no longer has a fever today (Thursday), but is scheduled to have a COVID test first thing tomorrow morning.  If her fever has gone away, will she still test positive? I would assume so, because it will have only been three days since she first showed symptoms/
&amp;amp;#x200B;
I got tested this morning and thought the test was pretty uncomfortable. Any tips for small children getting a nasal swab would be appreciated. Thank you.</t>
        </is>
      </c>
      <c r="D4391" t="n">
        <v>1</v>
      </c>
      <c r="E4391" t="n">
        <v>8</v>
      </c>
      <c r="F4391">
        <f>HYPERLINK("https://www.reddit.com/r/COVID19positive/comments/i98vqq/daughter_4f_had_fever_on_tuesday_husband_34m/")</f>
        <v/>
      </c>
      <c r="G4391" t="inlineStr">
        <is>
          <t>2020-08-13 14:37:55</t>
        </is>
      </c>
      <c r="H4391" t="inlineStr">
        <is>
          <t>Tested Positive - Family</t>
        </is>
      </c>
    </row>
    <row r="4392">
      <c r="A4392" t="inlineStr">
        <is>
          <t>i999m5</t>
        </is>
      </c>
      <c r="B4392" t="inlineStr">
        <is>
          <t>Friend has COVID19 and now I'm worried</t>
        </is>
      </c>
      <c r="C4392" t="inlineStr">
        <is>
          <t>Basically, I hung out with her on August 1st, it was chill we wore our masks to a bubble tea place, got our tea and then went to my place and watched some netflix. Anyways 12 days later she tested positive for COVID and her whole family is blaming her since she has only met up with me this whole summer. Her sister goes to the mall, gets coffee, and goes to the library. I've never done any of those things. I have hung out with three other close friends since August 1st, and I was meeting up with them before hand but none of them nor their family have any symptoms. What are the chances that I gave her COVID do you guys think? And if I had it and gave it to her, what are the chances that my whole family and my friends families are also immune to covid? 
Also idk if this helps, but I was with one of the 3 friends a day before I hung out with the COVID friend, and she tested negative for covid yesterday. Idk I feel pretty damn guilty because that was COVID friends first time hanging out in person and then boom she was positive.
Anyways I just wanna know the chances that my whole family and 3 other friend's families are all immune to covid or if it sounds like i gave it to her</t>
        </is>
      </c>
      <c r="D4392" t="n">
        <v>1</v>
      </c>
      <c r="E4392" t="n">
        <v>4</v>
      </c>
      <c r="F4392">
        <f>HYPERLINK("https://www.reddit.com/r/COVID19positive/comments/i999m5/friend_has_covid19_and_now_im_worried/")</f>
        <v/>
      </c>
      <c r="G4392" t="inlineStr">
        <is>
          <t>2020-08-13 14:59:22</t>
        </is>
      </c>
      <c r="H4392" t="inlineStr">
        <is>
          <t>Tested Positive - Friends</t>
        </is>
      </c>
    </row>
    <row r="4393">
      <c r="A4393" t="inlineStr">
        <is>
          <t>i9a296</t>
        </is>
      </c>
      <c r="B4393" t="inlineStr">
        <is>
          <t>My Covid-19 History for people who struggle with anxiety</t>
        </is>
      </c>
      <c r="C4393" t="inlineStr">
        <is>
          <t>Nearly 4 Weeks ago i got diagnosed with Covid-19 and it hit me really hard. Not the sickness itself, but i was in shock because i couldn’t believe it. I was incredibly careful and always wore a mask. I was in no direct contact with anyone with the Virus, and I still got it. To this day I am not sure where I catched it. Because I was diagnosed very early I started to have a lot of anxiety issues, I always felt that it will become worse over time, and that it would maybe even kill me, because I am a bit overweight. 
The first few days were hard, I didn’t even eat much, until my first symptoms showed a few days later. I hat diarrhea and a day after that my throat started to hurt and I felt chilly at night. I had a dry cough and I felt a bit unwell, like a mild flu. I haven’t had a fever thou and these symptoms stayed for maybe 4 Days. So yeah, I had mild symptoms and is started to feel nearly normal at Day 8. It really wasn’t that bad, and I didn’t write this to tell you that Covid isn’t a serious disease, but just because it can maybe calm people with anxiety, it really doesn’t have to be a horror show.
The anxiety was the worst part of this, and maybe this will help people like me. I also took one Zinc Supplement a day and a multivitamin supplement a day with Vitamin D,C, K and…other stuff. Also I started at Day One with Lung Training, I don’t know if anything of this helped, but maybe it did. 
My doctor told me that he believes that the viral load is really important, because everyone in my country, including me wears masks and because I was careful, I probably just got a small amount of the virus, and this resulted in a mild case. There are studies that seem to prove this theory already, so take it seriously and war masks, if you really should get it, chances are high that it would result in a mild case.
I also didn’t put anybody else in danger, even after I met with 12 people outside, before I knew I had the virus. Nobody got sick and everyone was negative. I read that using mouthwash could maybe slow the spread too, I don’t know if that’s true, but I use mouthwash twice a day. 
 I also have antibodies now, but probably not for long, but now I am just happy that I got trough with it so easily. I wish everyone the best in this subreddit, you really helped me.</t>
        </is>
      </c>
      <c r="D4393" t="n">
        <v>1</v>
      </c>
      <c r="E4393" t="n">
        <v>18</v>
      </c>
      <c r="F4393">
        <f>HYPERLINK("https://www.reddit.com/r/COVID19positive/comments/i9a296/my_covid19_history_for_people_who_struggle_with/")</f>
        <v/>
      </c>
      <c r="G4393" t="inlineStr">
        <is>
          <t>2020-08-13 15:43:03</t>
        </is>
      </c>
      <c r="H4393" t="inlineStr">
        <is>
          <t>Tested Positive - Me</t>
        </is>
      </c>
    </row>
    <row r="4394">
      <c r="A4394" t="inlineStr">
        <is>
          <t>i9a8k8</t>
        </is>
      </c>
      <c r="B4394" t="inlineStr">
        <is>
          <t>Is there a consensus on when we’re no longer actively contagious?</t>
        </is>
      </c>
      <c r="C4394" t="inlineStr">
        <is>
          <t>I know people test positive for a long time after which is why they don’t recommend retesting anymore</t>
        </is>
      </c>
      <c r="D4394" t="n">
        <v>1</v>
      </c>
      <c r="E4394" t="n">
        <v>5</v>
      </c>
      <c r="F4394">
        <f>HYPERLINK("https://www.reddit.com/r/COVID19positive/comments/i9a8k8/is_there_a_consensus_on_when_were_no_longer/")</f>
        <v/>
      </c>
      <c r="G4394" t="inlineStr">
        <is>
          <t>2020-08-13 15:53:15</t>
        </is>
      </c>
      <c r="H4394" t="inlineStr">
        <is>
          <t>Tested Positive - Me</t>
        </is>
      </c>
    </row>
    <row r="4395">
      <c r="A4395" t="inlineStr">
        <is>
          <t>i9aln0</t>
        </is>
      </c>
      <c r="B4395" t="inlineStr">
        <is>
          <t>Tested positive and just been depressed.</t>
        </is>
      </c>
      <c r="C4395" t="inlineStr">
        <is>
          <t>Hello everyone I know I’m not the only one here who’s tested positive and feeling depressed about it. It just feels like life isn’t normal to me for some reason. I can’t be at work for 14 days and when i return people will look at me weird because I guess I had it, being at home while my family has it makes everything worse because I wish none of us had it. I don’t want anyone to have it. I had symptoms of fever/chills, body aches, some loss of smell and taste. I try to think happy by looking at the bright side. My body aches are going away, I’m smelling better than before, I haven’t gotten the chills at night and never had any shortness of breath or coughing. There was this app I would get on all the time where I would talk to all my friends and it kept me going, but when I tested positive, I just felt depressed and stopped getting on. Idk life just feels so different sitting at home knowing you can’t go out. Should I not worry and just rest, drink plenty water? Should I go on the app like I been doing to keep my mind off of everything? What should I do so I don’t feel depressed about everything.</t>
        </is>
      </c>
      <c r="D4395" t="n">
        <v>1</v>
      </c>
      <c r="E4395" t="n">
        <v>9</v>
      </c>
      <c r="F4395">
        <f>HYPERLINK("https://www.reddit.com/r/COVID19positive/comments/i9aln0/tested_positive_and_just_been_depressed/")</f>
        <v/>
      </c>
      <c r="G4395" t="inlineStr">
        <is>
          <t>2020-08-13 16:14:05</t>
        </is>
      </c>
      <c r="H4395" t="inlineStr">
        <is>
          <t>Tested Positive</t>
        </is>
      </c>
    </row>
    <row r="4396">
      <c r="A4396" t="inlineStr">
        <is>
          <t>i9b1ji</t>
        </is>
      </c>
      <c r="B4396" t="inlineStr">
        <is>
          <t>Tested negative.</t>
        </is>
      </c>
      <c r="C4396" t="inlineStr">
        <is>
          <t>Got my results in today. They said it came out negative but I still have all symptoms. I’m getting frustrated. Everyday it’s something new with this. I know I have it.</t>
        </is>
      </c>
      <c r="D4396" t="n">
        <v>1</v>
      </c>
      <c r="E4396" t="n">
        <v>15</v>
      </c>
      <c r="F4396">
        <f>HYPERLINK("https://www.reddit.com/r/COVID19positive/comments/i9b1ji/tested_negative/")</f>
        <v/>
      </c>
      <c r="G4396" t="inlineStr">
        <is>
          <t>2020-08-13 16:41:22</t>
        </is>
      </c>
      <c r="H4396" t="inlineStr">
        <is>
          <t>Presumed Positive - From Doctor</t>
        </is>
      </c>
    </row>
    <row r="4397">
      <c r="A4397" t="inlineStr">
        <is>
          <t>i9bfw6</t>
        </is>
      </c>
      <c r="B4397" t="inlineStr">
        <is>
          <t>Asymptomatic Positive</t>
        </is>
      </c>
      <c r="C4397" t="inlineStr">
        <is>
          <t>So I was tested positive for Covid and I am currently in quarantine place(?) in Korea.
However it seems that I am asymptomatic, I dont have any fever or shortness of breath etc
Is being asymptomatic rare? And if its a good thing, will I be able to donate my blood (if possible)? 
Thanks</t>
        </is>
      </c>
      <c r="D4397" t="n">
        <v>1</v>
      </c>
      <c r="E4397" t="n">
        <v>41</v>
      </c>
      <c r="F4397">
        <f>HYPERLINK("https://www.reddit.com/r/COVID19positive/comments/i9bfw6/asymptomatic_positive/")</f>
        <v/>
      </c>
      <c r="G4397" t="inlineStr">
        <is>
          <t>2020-08-13 17:05:35</t>
        </is>
      </c>
      <c r="H4397" t="inlineStr">
        <is>
          <t>Tested Positive - Me</t>
        </is>
      </c>
    </row>
    <row r="4398">
      <c r="A4398" t="inlineStr">
        <is>
          <t>i9cxqd</t>
        </is>
      </c>
      <c r="B4398" t="inlineStr">
        <is>
          <t>Anxiety or Covid</t>
        </is>
      </c>
      <c r="C4398" t="inlineStr">
        <is>
          <t>Hello all. I am a 19 year old female and I have a restaurant job. Last Friday I was working with my coworker who I found out tested positive today. When I was at work with her I wasn’t near her for more than 3 minutes and had my mask on. I don’t know if she was infected before or after her shift with me but I am very worried that I could be sick. It’s been 6 days and I haven’t felt any symptoms and check my temperature regularly which has been in the 97-99° range. I have some phlegm in my throat but haven’t had other issues (I also vape). I don’t know if I should get tested or begin to isolate myself as I live with 4 other roommates. I’m worried because I have been sharing things with them for a few days because I was unaware that I could potentially have Covid. I also saw my boyfriend a few days ago. I am a very anxious person and I’m not really sure what to do. Is there a strong chance she could have given it to me in the few minutes we were near each other? Does anytime think I should get tested?</t>
        </is>
      </c>
      <c r="D4398" t="n">
        <v>1</v>
      </c>
      <c r="E4398" t="n">
        <v>10</v>
      </c>
      <c r="F4398">
        <f>HYPERLINK("https://www.reddit.com/r/COVID19positive/comments/i9cxqd/anxiety_or_covid/")</f>
        <v/>
      </c>
      <c r="G4398" t="inlineStr">
        <is>
          <t>2020-08-13 18:41:09</t>
        </is>
      </c>
      <c r="H4398" t="inlineStr">
        <is>
          <t>Tested Positive - Friends</t>
        </is>
      </c>
    </row>
    <row r="4399">
      <c r="A4399" t="inlineStr">
        <is>
          <t>i9daof</t>
        </is>
      </c>
      <c r="B4399" t="inlineStr">
        <is>
          <t>Just really heartbroken</t>
        </is>
      </c>
      <c r="C4399" t="inlineStr">
        <is>
          <t>My grandma tested positive 12 days ago. She was already in the hospital sick with some type of autoimmune anemia problems. Wasn’t making enough red blood cells, felt super weak. She caught covid in the hospital we assume (myself and my aunt who I also live with both tested negative after the fact). She’s been fairly stable the whole 12 days, on oxygen but apparently doesn’t particularly need it at this point. She’s just so weak. And now she’s just not well mentally. She’s very very anxious about dying, and I guess disoriented at times. She’s miserable. She’s been in the hospital consistently for almost 2 months, can’t really have visitors, she was able to have one at a time for a bit but the past 2+ weeks she’s had none. She’s been too weak to even text the past 10 days or so. I just sent her a text saying I love you. 
I guess she’ll be coming home in the next few days, she just wants to be home with everyone. She likely isn’t going to make it much longer. I’m just sad. I’ve lived with her my whole life and this all happened so quickly. She was perfectly healthy 5 months ago. Then the anemia thing happened and then Covid. I just keep thinking about how much I’m going to miss her.</t>
        </is>
      </c>
      <c r="D4399" t="n">
        <v>1</v>
      </c>
      <c r="E4399" t="n">
        <v>6</v>
      </c>
      <c r="F4399">
        <f>HYPERLINK("https://www.reddit.com/r/COVID19positive/comments/i9daof/just_really_heartbroken/")</f>
        <v/>
      </c>
      <c r="G4399" t="inlineStr">
        <is>
          <t>2020-08-13 19:04:45</t>
        </is>
      </c>
      <c r="H4399" t="inlineStr">
        <is>
          <t>Tested Positive - Family</t>
        </is>
      </c>
    </row>
    <row r="4400">
      <c r="A4400" t="inlineStr">
        <is>
          <t>i9ewi2</t>
        </is>
      </c>
      <c r="B4400" t="inlineStr">
        <is>
          <t>Bad rancid breath</t>
        </is>
      </c>
      <c r="C4400" t="inlineStr">
        <is>
          <t>Hey guys so on day 50ish with a relapse. So in my initial imfection i lost smell and tatse. On ce i got it back, i had like a rancid smell in my sinuses. I went too hard working out and like day 40 i relapsed long story short. This time around the rancid smell in my nose seems to be draining. Now i have like a terrible sweet taste. I went in and they gave me a glucose test just to make sure im not diabetic. I had good levels. I was told this is common in infections. I was given antibiotics in case but they still think it's covid since ive been having it. How many of you had a bad tasting breath from the infection and how long does it take to go? It's driving me nuts. I feeling better from this relapse after day 7 of it but the taste just ruins it.</t>
        </is>
      </c>
      <c r="D4400" t="n">
        <v>1</v>
      </c>
      <c r="E4400" t="n">
        <v>9</v>
      </c>
      <c r="F4400">
        <f>HYPERLINK("https://www.reddit.com/r/COVID19positive/comments/i9ewi2/bad_rancid_breath/")</f>
        <v/>
      </c>
      <c r="G4400" t="inlineStr">
        <is>
          <t>2020-08-13 20:53:08</t>
        </is>
      </c>
      <c r="H4400" t="inlineStr">
        <is>
          <t>Tested Positive - Me</t>
        </is>
      </c>
    </row>
    <row r="4401">
      <c r="A4401" t="inlineStr">
        <is>
          <t>i9ezwq</t>
        </is>
      </c>
      <c r="B4401" t="inlineStr">
        <is>
          <t>Dont know if it’s dehydration or covid 19</t>
        </is>
      </c>
      <c r="C4401" t="inlineStr">
        <is>
          <t>For a week or so I’ve had fatigue and body joint aches. I recently stopped antidepressants so it could be the withdrawals. Im getting a covid test on Saturday at cvs. A few days ago my throat felt scratchy and a bit sore and i just had allergy symptoms. It wasn’t til today when the fatigue came back. I dont drink much water so it could be thay and I’m also anemic. No other symptoms except i feel a little hot and fatigue/mild body aches and my head feels dizzy and disoriented. I have severe anxiety of sicknesses so idk what to do.</t>
        </is>
      </c>
      <c r="D4401" t="n">
        <v>1</v>
      </c>
      <c r="E4401" t="n">
        <v>5</v>
      </c>
      <c r="F4401">
        <f>HYPERLINK("https://www.reddit.com/r/COVID19positive/comments/i9ezwq/dont_know_if_its_dehydration_or_covid_19/")</f>
        <v/>
      </c>
      <c r="G4401" t="inlineStr">
        <is>
          <t>2020-08-13 20:59:49</t>
        </is>
      </c>
      <c r="H4401" t="inlineStr">
        <is>
          <t>Presumed Positive - From Test</t>
        </is>
      </c>
    </row>
    <row r="4402">
      <c r="A4402" t="inlineStr">
        <is>
          <t>i9f7mw</t>
        </is>
      </c>
      <c r="B4402" t="inlineStr">
        <is>
          <t>Positive for Antibodies but still testing positive for COVID?</t>
        </is>
      </c>
      <c r="C4402" t="inlineStr">
        <is>
          <t>TLDR: had covid a month ago, very mild case and now 3 weeks since my symptoms started, still testing positive but also have tested positive for antibodies, and trying to figure out what's going on. Guess is that I've fought off the virus and swab is picking up dead cells, but really just looking for information or others who've gone through a similar scenario.
&amp;amp;#x200B;
Exactly a month ago, I came into contact with a covid positive person, and after 4 days, developed really mild symptoms: slight headache and fatigue that lasted for about 36 hours. I tested positive three times, so definitely had it, but after having a super mild case I was released from quarantine 10 days after symptoms had started as per the new NYS health guidelines, as they told me that most of the time people aren't shedding the virus at this point, especially cases such as mine. I continued to stay quarantined where I was so as not to risk anyone else's health, and retested a couple more times hoping for a negative, but did not receive one. After 21 days since my symptoms had started and talking to a couple doctors + some research, me and my family concluded that my risk of giving it to them should I come home and continue to take precautions was very minimal. After arriving home, I retested myself hoping for a negative, and also got tested for antibodies. Here's where I'm confused: both came back positive. From what I've gathered, it seems likely that during the test, dead cells are being picked up by the swab, and the presence of antibodies suggests that I've fought off the virus. However, I haven't seen too many people in this situation, and would love advice both on how to proceed and what could possibly be happening. Thanks in advance!</t>
        </is>
      </c>
      <c r="D4402" t="n">
        <v>1</v>
      </c>
      <c r="E4402" t="n">
        <v>3</v>
      </c>
      <c r="F4402">
        <f>HYPERLINK("https://www.reddit.com/r/COVID19positive/comments/i9f7mw/positive_for_antibodies_but_still_testing/")</f>
        <v/>
      </c>
      <c r="G4402" t="inlineStr">
        <is>
          <t>2020-08-13 21:13:45</t>
        </is>
      </c>
      <c r="H4402" t="inlineStr">
        <is>
          <t>Tested Positive - Me</t>
        </is>
      </c>
    </row>
    <row r="4403">
      <c r="A4403" t="inlineStr">
        <is>
          <t>i9fg31</t>
        </is>
      </c>
      <c r="B4403" t="inlineStr">
        <is>
          <t>5 months after being sick/testing positive- negative antibody test</t>
        </is>
      </c>
      <c r="C4403" t="inlineStr">
        <is>
          <t>I wonder how long antibodies stay in the system. I got sick in mid-March with Covid. I tested positive and ended up in the ER in NYC. I recovered and got a recent antibody test at quest diagnostics. The results showed that I no longer have antibodies. I have continued to wear a mask when I go out and try to stay home as much as possible but I was hoping I still had antibodies.</t>
        </is>
      </c>
      <c r="D4403" t="n">
        <v>1</v>
      </c>
      <c r="E4403" t="n">
        <v>6</v>
      </c>
      <c r="F4403">
        <f>HYPERLINK("https://www.reddit.com/r/COVID19positive/comments/i9fg31/5_months_after_being_sicktesting_positive/")</f>
        <v/>
      </c>
      <c r="G4403" t="inlineStr">
        <is>
          <t>2020-08-13 21:30:52</t>
        </is>
      </c>
      <c r="H4403" t="inlineStr">
        <is>
          <t>Tested Positive - Me</t>
        </is>
      </c>
    </row>
    <row r="4404">
      <c r="A4404" t="inlineStr">
        <is>
          <t>i9g6j4</t>
        </is>
      </c>
      <c r="B4404" t="inlineStr">
        <is>
          <t>Tested negative but being treated for COVID-like symptoms</t>
        </is>
      </c>
      <c r="C4404" t="inlineStr">
        <is>
          <t>Indian here who was sick for the past two weeks with high fever, light body pain, light cough and Phlegm. The COVID PCR test turned out negative. After a second opinion, I was started on Favipiravir medication for my COVID-like pneumonia symptoms. Waiting for the result of my CT-scan.
The fever subsided as soon as I started on the medication. Anyone else have experience with this drug?</t>
        </is>
      </c>
      <c r="D4404" t="n">
        <v>1</v>
      </c>
      <c r="E4404" t="n">
        <v>2</v>
      </c>
      <c r="F4404">
        <f>HYPERLINK("https://www.reddit.com/r/COVID19positive/comments/i9g6j4/tested_negative_but_being_treated_for_covidlike/")</f>
        <v/>
      </c>
      <c r="G4404" t="inlineStr">
        <is>
          <t>2020-08-13 22:27:52</t>
        </is>
      </c>
      <c r="H4404" t="inlineStr">
        <is>
          <t>Presumed Positive - From Doctor</t>
        </is>
      </c>
    </row>
    <row r="4405">
      <c r="A4405" t="inlineStr">
        <is>
          <t>i9hbln</t>
        </is>
      </c>
      <c r="B4405" t="inlineStr">
        <is>
          <t>24F trying to get cleared to return to work.</t>
        </is>
      </c>
      <c r="C4405" t="inlineStr">
        <is>
          <t>24F . First symptoms of only migraine started 7/23, was not tested until 8/3 and positive. 22 days from first symptom but only 11 days from positive test. Body aches , fever, no cough, and one day of loss of taste, very mild case. Trying to get cleared to go back to work , employer is not requiring Negative test to return to work caring for the elderly &amp;amp; medically fragile. Morally would like to know Neg/Positive status . asymptomatic, afebrile for over 5 days. Have been back to regualarnexercise routine with no issues. Need to get back to work as I am not being paid for this time away. Personal experiences welcome, Just curious to know if I have waited long enough to be retested for my own well being. Suggestions, Personal Exp, Etc. Welcome.</t>
        </is>
      </c>
      <c r="D4405" t="n">
        <v>1</v>
      </c>
      <c r="E4405" t="n">
        <v>3</v>
      </c>
      <c r="F4405">
        <f>HYPERLINK("https://www.reddit.com/r/COVID19positive/comments/i9hbln/24f_trying_to_get_cleared_to_return_to_work/")</f>
        <v/>
      </c>
      <c r="G4405" t="inlineStr">
        <is>
          <t>2020-08-14 00:04:43</t>
        </is>
      </c>
      <c r="H4405" t="inlineStr">
        <is>
          <t>Tested Positive - Me</t>
        </is>
      </c>
    </row>
    <row r="4406">
      <c r="A4406" t="inlineStr">
        <is>
          <t>i9hxsg</t>
        </is>
      </c>
      <c r="B4406" t="inlineStr">
        <is>
          <t>My Dad is in critical condition</t>
        </is>
      </c>
      <c r="C4406" t="inlineStr">
        <is>
          <t>Sorry first time writing here, but I had to vent this out. Just got a phone call from an ICU nurse and he let me know that my dad had a very hard time breathing and had to be intubated and put on a ventilator. His condition is critical and the nurse told us we had to go day by day. My dad was admitted in the hospital about a week and a half ago and tested positive for COVID-19. I don't know what to do or think. I had a conversation with him a couple hours ago and he seemed like he was doing okay. This virus is a curse and I wouldn't wish this on anybody.
Please guys, wear your mask. Social distance and wash your hands. I wish nightmare would end, but it's very real and I don't know what I'l do if I lose my dad.</t>
        </is>
      </c>
      <c r="D4406" t="n">
        <v>1</v>
      </c>
      <c r="E4406" t="n">
        <v>71</v>
      </c>
      <c r="F4406">
        <f>HYPERLINK("https://www.reddit.com/r/COVID19positive/comments/i9hxsg/my_dad_is_in_critical_condition/")</f>
        <v/>
      </c>
      <c r="G4406" t="inlineStr">
        <is>
          <t>2020-08-14 01:01:00</t>
        </is>
      </c>
      <c r="H4406" t="inlineStr">
        <is>
          <t>Tested Positive - Family</t>
        </is>
      </c>
    </row>
    <row r="4407">
      <c r="A4407" t="inlineStr">
        <is>
          <t>i9n0d9</t>
        </is>
      </c>
      <c r="B4407" t="inlineStr">
        <is>
          <t>My husband is having symptoms</t>
        </is>
      </c>
      <c r="C4407" t="inlineStr">
        <is>
          <t>I might have chosen the wrong flair...sorry if I did.
We have been staying home since March - apart from work and the once-in-a-blue-moon visit to a store (groceries or clothing), we do not go out. My husband has to go to work every day.  There are two buildings, right next to each other. In the one my husband does not work in, someone tested positive and they sent everyone home and scheduled a deep cleaning. They confirmed the individual did not mingle with anyone in the building my husband works in.
Yesterday, when he came home, he was fine.  We ate dinner and played some old nostalgic Minecraft. While he was playing, he began to get really sleepy and cold.  
We laid down and my husband kept complaining how cold it was - he almost never does that. We checked his temperature but it was normal. He coughed a little and said his muscles were aching slightly too. Then he said he had felt nauseous earlier but the feeling had gone away. Took his temperature again, and it had gone up a little bit. I asked how else he was feeling. He said he was having difficulty breathing but no breathing problems. Asked him to clarify and he said he has to take small breaths or he'd cough but he can still breathe. He was very hot though he complained it was cold, so I made him take some Tylenol.
Shortly after, I took his temperature again, and it was 100.7. I made him call off from work and sat down to schedule a COVID-19 test. The earliest we can do is this Sunday.  When I was reading through the symptoms they have on their site, I had to check off most of them:
difficulty breathing  
fever  
chills  
headache  
fatigue  
nausea  
muscle aches  
(I feel like there was  more, but I was so tired last night that I don't remember them all)  
I asked him how he's feeling today and he said much better.  True - no more fever and he doesn't need to take short breaths. But that brings little comfort; I know symptoms can go away and then come back with a vengeance.
I am terrified right now, and I know that if he's caught it, I probably have it too. I cried and cried last night. I'm hoping, if he is positive, that he will have mild symptoms or will be able to recover swiftly.
I've read so much on what you should do if you suspect someone caught it or if you are sick. I live with roommates but unfortunately, they aren't responsible enough to help take care of my dog.  I also don't want her to get sick but I'm not sure what to do right now. I don't have family out here or friends so there's no one I could ask to watch my pup for me.
Guess it's time to self-quarantine/self-isolate until we know for certain. Wish us luck.</t>
        </is>
      </c>
      <c r="D4407" t="n">
        <v>1</v>
      </c>
      <c r="E4407" t="n">
        <v>10</v>
      </c>
      <c r="F4407">
        <f>HYPERLINK("https://www.reddit.com/r/COVID19positive/comments/i9n0d9/my_husband_is_having_symptoms/")</f>
        <v/>
      </c>
      <c r="G4407" t="inlineStr">
        <is>
          <t>2020-08-14 07:31:41</t>
        </is>
      </c>
      <c r="H4407" t="inlineStr">
        <is>
          <t>Presumed Positive - From Test</t>
        </is>
      </c>
    </row>
    <row r="4408">
      <c r="A4408" t="inlineStr">
        <is>
          <t>i9nsrq</t>
        </is>
      </c>
      <c r="B4408" t="inlineStr">
        <is>
          <t>I lost my teaching job because of COVID</t>
        </is>
      </c>
      <c r="C4408" t="inlineStr">
        <is>
          <t>I'm a 32 year old previously healthy female who was teaching in the Detroit Public School system. I was forced to teach for a week after EVERY local store ran out of hand sanitizer in early March. First grade. The last day of school, I worked closely with my academic interventionist preparing learning packets for the kids, as most do not have access to technology. She was on a vent a few days later. I wasn't critical and at this time tests were reserved for critical patients. I was denied with a resting HR of 115 and O2 of 94.
It started as a bad cold. Was still able to call families and do little video lessons. Then, seriously one day to the next, BAM. I do not remember the month of April at all, or most of May. I slept nearly the entire day and my boyfriend had to help me get to the bathroom. My fatigue was so extreme, the TV went to screensaver and the remote was JUST next to me, but I would rather watch the screensaver than get it. All I remember is that and sweat and sleep. 
Eventually I had small bouts of energy and could hobble about the apartment on my own. I'd be absolutely winded, and it's a tiny apartment. 
Then heart issues. Went to the ER several times in the COVID unit. They had no hand soap in the bathroom. HR was 150. Went to a cardiologist. Holter, 14 day event monitor, 24 hour urine. HR was 190 with no exertion. Tingling body, headaches, GI issues, d dimer elevated, something with platelets and WBC.
 I got put on a beta blocker and about to see a neurologist when my district contacted me to let me know I was terminated for "job abandonment". I had 6 out of 33 kids with internet access and was told they'd be ok when I started to get sick. I GOT SICK AT WORK. I'm so scared and now I have no insurance and I don't know what to do. I'm not deathly ill anymore, just tired and neuro stuff.</t>
        </is>
      </c>
      <c r="D4408" t="n">
        <v>1</v>
      </c>
      <c r="E4408" t="n">
        <v>59</v>
      </c>
      <c r="F4408">
        <f>HYPERLINK("https://www.reddit.com/r/COVID19positive/comments/i9nsrq/i_lost_my_teaching_job_because_of_covid/")</f>
        <v/>
      </c>
      <c r="G4408" t="inlineStr">
        <is>
          <t>2020-08-14 08:16:29</t>
        </is>
      </c>
      <c r="H4408" t="inlineStr">
        <is>
          <t>Presumed Positive - From Doctor</t>
        </is>
      </c>
    </row>
    <row r="4409">
      <c r="A4409" t="inlineStr">
        <is>
          <t>i9o3t3</t>
        </is>
      </c>
      <c r="B4409" t="inlineStr">
        <is>
          <t>When to go to the ER?</t>
        </is>
      </c>
      <c r="C4409" t="inlineStr">
        <is>
          <t>My girlfriend tested positive on 7/26. She tested positive again on 8/13. Her symptoms have been mild (loss of taste and smell, fatigue, cough, low fevers) until this week, when she developed more severe chest pain and pressure in her chest. She is also getting more out of breath during conversations. For the first time she feels scared by her symptoms. 
We have an oximeter. We are waiting to see her have consistent readings, but for the first time she is getting readings in the low 90s and high 80s. She also is developing fevers again after being fever free for almost a week. I worry for her because she has had some heart issues in the past.
To others who have been positive or had family members be positive - when was your tipping point that made you seek emergency medical help?</t>
        </is>
      </c>
      <c r="D4409" t="n">
        <v>1</v>
      </c>
      <c r="E4409" t="n">
        <v>33</v>
      </c>
      <c r="F4409">
        <f>HYPERLINK("https://www.reddit.com/r/COVID19positive/comments/i9o3t3/when_to_go_to_the_er/")</f>
        <v/>
      </c>
      <c r="G4409" t="inlineStr">
        <is>
          <t>2020-08-14 08:33:14</t>
        </is>
      </c>
      <c r="H4409" t="inlineStr">
        <is>
          <t>Tested Positive - Family</t>
        </is>
      </c>
    </row>
    <row r="4410">
      <c r="A4410" t="inlineStr">
        <is>
          <t>i9p9n3</t>
        </is>
      </c>
      <c r="B4410" t="inlineStr">
        <is>
          <t>Tested positive today and was wondering how what I've been prescribed measures up to usa and other countries meds</t>
        </is>
      </c>
      <c r="C4410" t="inlineStr">
        <is>
          <t>Symptoms started a few days ago it's like I cant get a decent breath of air at all.
Exhaustion,  shortness of breath.
I called the medical help line 111 and told them how i was feeling,  I have no underlying respiratory issues.
111 booked me an appointment with a doctor for 1 hours time. 
I turned up at the clinic and was seen by a doctor within 5 mins,  he listened to my chest and back, checked my blood oxygen, blood pressure, temp and such.
And then took a covid test.
He then told me he's 99% certain its covid and prescribed me.
A blue inhaler 
A brown inhaler 
Steriod tablets 
I was also advised if I get any worse to call an ambulance from home. 
I went home and took the steroids and inhaler and things eased up alot! 
I was wondering how others treatment compared? Especially other countries method of treatment.
Thanks</t>
        </is>
      </c>
      <c r="D4410" t="n">
        <v>1</v>
      </c>
      <c r="E4410" t="n">
        <v>11</v>
      </c>
      <c r="F4410">
        <f>HYPERLINK("https://www.reddit.com/r/COVID19positive/comments/i9p9n3/tested_positive_today_and_was_wondering_how_what/")</f>
        <v/>
      </c>
      <c r="G4410" t="inlineStr">
        <is>
          <t>2020-08-14 09:35:12</t>
        </is>
      </c>
      <c r="H4410" t="inlineStr">
        <is>
          <t>Tested Positive - Me</t>
        </is>
      </c>
    </row>
    <row r="4411">
      <c r="A4411" t="inlineStr">
        <is>
          <t>i9pe7w</t>
        </is>
      </c>
      <c r="B4411" t="inlineStr">
        <is>
          <t>The contact tracer called me on my birthday</t>
        </is>
      </c>
      <c r="C4411" t="inlineStr">
        <is>
          <t>When I told her my date of birth she said, “OH it’s you’re BIRTHDAY happy BIRTHDAY!” 🤦‍♀️ Then she amended and said, “Well, I hope you have a good birthday NEXT year!”
I already knew that my housemate had tested positive so it wasn’t a huge shock when she called. What is shocking is that they haven’t called my other housemates—the state of Maryland is sending me daily text messages reminding me to keep MYNAME in quarantine and monitor for symptoms, and meanwhile, my housemates might be dying and infecting people and Maryland doesn’t care at all??? It’s been three days.
...
I have to say that I honestly feel much more relaxed knowing that I might have covid than I felt when I was just anxiously doing everything I could do avoid getting covid. My housemates and I have been super strict and so we all assume that someone must have just picked it up on an innocent run to the pharmacy. 
But we’re all asymptomatic, despite that three of us have questionable immune status. I might be a little disappointed if my test does come back negative. But I also super duper did not want to get covid at all.</t>
        </is>
      </c>
      <c r="D4411" t="n">
        <v>1</v>
      </c>
      <c r="E4411" t="n">
        <v>6</v>
      </c>
      <c r="F4411">
        <f>HYPERLINK("https://www.reddit.com/r/COVID19positive/comments/i9pe7w/the_contact_tracer_called_me_on_my_birthday/")</f>
        <v/>
      </c>
      <c r="G4411" t="inlineStr">
        <is>
          <t>2020-08-14 09:41:57</t>
        </is>
      </c>
      <c r="H4411" t="inlineStr">
        <is>
          <t>Tested Positive - Friends</t>
        </is>
      </c>
    </row>
    <row r="4412">
      <c r="A4412" t="inlineStr">
        <is>
          <t>i9pxyq</t>
        </is>
      </c>
      <c r="B4412" t="inlineStr">
        <is>
          <t>Tested positive but feel way better</t>
        </is>
      </c>
      <c r="C4412" t="inlineStr">
        <is>
          <t>I just got my results back and tested positive for Covid 19. 
On Sunday Aug 9, at like 9pm I felt like something was in my throat and thought it was because my dad was spraying the house for bugs. 
Monday Aug 10 at 8 am woke up with chills and a fever. My temperature was at 102. Went to work anyways. My reason for going to work was because Last Monday August 3 I also had chills and couldn't get warm for the life of me but woke up Tuesday August 4 not feeling sick at all. Thought it was the same thing. Left work 2 hours before my shift ended.
Tuesday August 11 I felt way better then I did Monday. Still felt kinda of sick got tested.
Friday August 14 the results came back positive for the nose swab. I did also take the blood test for Covid but tested negative. Doctor thought it was a false negative. I feel way better now. Still have some phlegm and sometime a slight cough. I have quarantine myself. Mom also got tested because she was close to me but hers came back negative. 
This week has been eventful to say the least.</t>
        </is>
      </c>
      <c r="D4412" t="n">
        <v>1</v>
      </c>
      <c r="E4412" t="n">
        <v>3</v>
      </c>
      <c r="F4412">
        <f>HYPERLINK("https://www.reddit.com/r/COVID19positive/comments/i9pxyq/tested_positive_but_feel_way_better/")</f>
        <v/>
      </c>
      <c r="G4412" t="inlineStr">
        <is>
          <t>2020-08-14 10:10:49</t>
        </is>
      </c>
      <c r="H4412" t="inlineStr">
        <is>
          <t>Tested Positive - Me</t>
        </is>
      </c>
    </row>
    <row r="4413">
      <c r="A4413" t="inlineStr">
        <is>
          <t>i9qc19</t>
        </is>
      </c>
      <c r="B4413" t="inlineStr">
        <is>
          <t>Is the virus slowly leaving my body???</t>
        </is>
      </c>
      <c r="C4413" t="inlineStr">
        <is>
          <t>Tested positive Monday 8/10. I would have fevers, felt weak, had cold chills, Body aches, some loss of smell, and taste. Four days in I don’t have anymore body aches, no fever, no cold chills, I can taste all my food, and my smelling is getting better. It’s not 100% but it’s like 85%. Plus to add to all of this No sore throat, no coughing, no runny nose, I do get appetite and my stomach alerts me when I’m hungry so I always eat and not feel weak, I mean everything seems good expect just trying to get 100% smell back. I’m spraying my room to kill germs, washing hands, spraying down bathroom, spraying/ washing my bed sheets, every once in a while I let the window up to get some air coming, I try not to lay in bed all day and I drink plenty of fluids (water) Do y’all think this virus is slowing going away and leaving my body? What else should I do to keep up the good work?</t>
        </is>
      </c>
      <c r="D4413" t="n">
        <v>1</v>
      </c>
      <c r="E4413" t="n">
        <v>3</v>
      </c>
      <c r="F4413">
        <f>HYPERLINK("https://www.reddit.com/r/COVID19positive/comments/i9qc19/is_the_virus_slowly_leaving_my_body/")</f>
        <v/>
      </c>
      <c r="G4413" t="inlineStr">
        <is>
          <t>2020-08-14 10:31:12</t>
        </is>
      </c>
      <c r="H4413" t="inlineStr">
        <is>
          <t>Tested Positive</t>
        </is>
      </c>
    </row>
    <row r="4414">
      <c r="A4414" t="inlineStr">
        <is>
          <t>i9qe7y</t>
        </is>
      </c>
      <c r="B4414" t="inlineStr">
        <is>
          <t>Just confirmed positive! What to expect? How long until Im okay to go back out?</t>
        </is>
      </c>
      <c r="C4414" t="inlineStr">
        <is>
          <t>Hi so I was exposed Sunday/Monday got tested on Wednesday started to get symptoms on Thursday and got test results back today. My only symptoms are a headache and a slight sore throat, other than that I feel 100% normal. I am wondering when It is okay to go back out in the world (for groceries, essentials and such because for now Im obviously not leaving my house while infected). Would It be next Monday? Or the Monday after that? Im confused by the 2 weeks thing. Is It two weeks after onset of symptoms or two weeks since exposure? Also can anyone tell me what i should expect this next week symptoms wise? I feel fine now but am worried about it getting worse, any tips? Also Im early 20s, healthy, female.</t>
        </is>
      </c>
      <c r="D4414" t="n">
        <v>1</v>
      </c>
      <c r="E4414" t="n">
        <v>18</v>
      </c>
      <c r="F4414">
        <f>HYPERLINK("https://www.reddit.com/r/COVID19positive/comments/i9qe7y/just_confirmed_positive_what_to_expect_how_long/")</f>
        <v/>
      </c>
      <c r="G4414" t="inlineStr">
        <is>
          <t>2020-08-14 10:34:21</t>
        </is>
      </c>
      <c r="H4414" t="inlineStr">
        <is>
          <t>Tested Positive - Me</t>
        </is>
      </c>
    </row>
    <row r="4415">
      <c r="A4415" t="inlineStr">
        <is>
          <t>i9s34x</t>
        </is>
      </c>
      <c r="B4415" t="inlineStr">
        <is>
          <t>Irritated throat for two weeks?</t>
        </is>
      </c>
      <c r="C4415" t="inlineStr">
        <is>
          <t>Hi, I have had this weird throat sensation (towards my voice box) since end of July. I got tested on August 3, and tested positive that following Friday (August 7). It’s now been two weeks and it’s still there. I feel like at this point, it should’ve went away. Other symptoms such as chest discomfort and fatigue have well been gone. Should I go to the doctor to get checked if there is anything else wrong? How were y’all guys’ symptoms like?</t>
        </is>
      </c>
      <c r="D4415" t="n">
        <v>1</v>
      </c>
      <c r="E4415" t="n">
        <v>5</v>
      </c>
      <c r="F4415">
        <f>HYPERLINK("https://www.reddit.com/r/COVID19positive/comments/i9s34x/irritated_throat_for_two_weeks/")</f>
        <v/>
      </c>
      <c r="G4415" t="inlineStr">
        <is>
          <t>2020-08-14 12:04:40</t>
        </is>
      </c>
      <c r="H4415" t="inlineStr">
        <is>
          <t>Tested Positive - Me</t>
        </is>
      </c>
    </row>
    <row r="4416">
      <c r="A4416" t="inlineStr">
        <is>
          <t>i9s8tw</t>
        </is>
      </c>
      <c r="B4416" t="inlineStr">
        <is>
          <t>Day 11.</t>
        </is>
      </c>
      <c r="C4416" t="inlineStr">
        <is>
          <t>So I'm on day 11. Took another covid test today for funsies. Not really but I work with cancer patients and I would feel better knowing if I was still positive before I go back to work and I know my co-workers would.  
A little short of breath and some diarrhea. Nothing tastes good and no matter how many times I brush my teeth it still tastes like glue.  Wierd thing is my skin on top of my head is sore like its been pulled in tight ponytail. Anybody else have this.  
Also been getting chills at night and very cold feet.</t>
        </is>
      </c>
      <c r="D4416" t="n">
        <v>1</v>
      </c>
      <c r="E4416" t="n">
        <v>4</v>
      </c>
      <c r="F4416">
        <f>HYPERLINK("https://www.reddit.com/r/COVID19positive/comments/i9s8tw/day_11/")</f>
        <v/>
      </c>
      <c r="G4416" t="inlineStr">
        <is>
          <t>2020-08-14 12:13:15</t>
        </is>
      </c>
      <c r="H4416" t="inlineStr">
        <is>
          <t>Tested Positive - Me</t>
        </is>
      </c>
    </row>
    <row r="4417">
      <c r="A4417" t="inlineStr">
        <is>
          <t>i9sib7</t>
        </is>
      </c>
      <c r="B4417" t="inlineStr">
        <is>
          <t>My body odour, excrement smells very different after recovering from COVID-19</t>
        </is>
      </c>
      <c r="C4417" t="inlineStr">
        <is>
          <t>Hello,
My initial symptoms appearing on April 14th were severe headache and stuffed nose. Tested positive a day later.
Two days later headache and stuffy nose gone but I lost the senses of smell and taste for 3 weeks, after which they were gradually getting back. I was otherwise functioning normally and working remotely. Less than 10 weeks after I tested positive I got a lung inflammation. The doctors couldn't say if it was a result of coronavirus or just a coincidence. They prescribed antibiotics.  
But now exactly 4 months later my body odour is completely different from before coronavirus. Additionally to that, and please feel free to laugh, sometimes I can't smell my own excrement or farts while everyone else around me can. While I'm somewhat glad of that, I'm worried that the virus caused some kind of irreversible brain damage. 
Have anyone else had similar experiences? Thanks.</t>
        </is>
      </c>
      <c r="D4417" t="n">
        <v>1</v>
      </c>
      <c r="E4417" t="n">
        <v>10</v>
      </c>
      <c r="F4417">
        <f>HYPERLINK("https://www.reddit.com/r/COVID19positive/comments/i9sib7/my_body_odour_excrement_smells_very_different/")</f>
        <v/>
      </c>
      <c r="G4417" t="inlineStr">
        <is>
          <t>2020-08-14 12:27:22</t>
        </is>
      </c>
      <c r="H4417" t="inlineStr">
        <is>
          <t>Tested Positive - Me</t>
        </is>
      </c>
    </row>
    <row r="4418">
      <c r="A4418" t="inlineStr">
        <is>
          <t>i9sn2u</t>
        </is>
      </c>
      <c r="B4418" t="inlineStr">
        <is>
          <t>Feels like pleurisy again</t>
        </is>
      </c>
      <c r="C4418" t="inlineStr">
        <is>
          <t>After recovery, it feels like i have pleurisy, its going away slowly, but recovery after passing it feels like pleuritis</t>
        </is>
      </c>
      <c r="D4418" t="n">
        <v>1</v>
      </c>
      <c r="E4418" t="n">
        <v>8</v>
      </c>
      <c r="F4418">
        <f>HYPERLINK("https://www.reddit.com/r/COVID19positive/comments/i9sn2u/feels_like_pleurisy_again/")</f>
        <v/>
      </c>
      <c r="G4418" t="inlineStr">
        <is>
          <t>2020-08-14 12:34:40</t>
        </is>
      </c>
      <c r="H4418" t="inlineStr">
        <is>
          <t>Tested Positive - Friends</t>
        </is>
      </c>
    </row>
    <row r="4419">
      <c r="A4419" t="inlineStr">
        <is>
          <t>i9tqr6</t>
        </is>
      </c>
      <c r="B4419" t="inlineStr">
        <is>
          <t>My COVID-19 Experience: 12 days of fever</t>
        </is>
      </c>
      <c r="C4419" t="inlineStr">
        <is>
          <t>I'm under 40, pretty healthy male, no medications or medical conditions. Very pro-mask, and I took every reasonable precaution to not get myself infected.
I instantly started running a fever on Sat. Jul 25 at about 10PM that night. My teenager (15yo) that week had some unusual (mild) allergy symptoms that had prolonged, so I decided to get us both tested the next morning (Sunday). My fever spiked up to around 102, but was was very controllable with IBU or Tylenol, which I rotated every 4-6 hours or so.
My result came back positive 3 days later, but I had no doubt that I had it. My teenager was still mostly asymptomatic, and was SUPER surprised to test positive.
My ONLY symptom at first was a constant fever. After day 7 or 8, I developed a deep, achy cough where taking a deep breath hurt. I never lost my sense of taste or smell, never had diarrhea, nausea or vomiting. Walking around had me pretty winded- which is odd as I run ~30 miles/week.
On day 10 I contacted my doctor who told me what I was going through was a pretty typical experience. Related to the fever, I had pretty bad night sweats and would wake up soaking wet and have to take a shower and get new sheets. I had the fever for 12 days straight. 
On day #13, I woke up dry, without a fever, and my lungs felt MUCH better. On day #14 onward (today is day #20) my body just decided to be RID of the Coronavirus, and I feel nearly 100%- except my body seems to want to take a HARD 3 hour nap every day.
I'm so glad to be done with this, and hope this can give someone encouragement who needs it!</t>
        </is>
      </c>
      <c r="D4419" t="n">
        <v>1</v>
      </c>
      <c r="E4419" t="n">
        <v>24</v>
      </c>
      <c r="F4419">
        <f>HYPERLINK("https://www.reddit.com/r/COVID19positive/comments/i9tqr6/my_covid19_experience_12_days_of_fever/")</f>
        <v/>
      </c>
      <c r="G4419" t="inlineStr">
        <is>
          <t>2020-08-14 13:34:29</t>
        </is>
      </c>
      <c r="H4419" t="inlineStr">
        <is>
          <t>Tested Positive - Me</t>
        </is>
      </c>
    </row>
    <row r="4420">
      <c r="A4420" t="inlineStr">
        <is>
          <t>i9ui5n</t>
        </is>
      </c>
      <c r="B4420" t="inlineStr">
        <is>
          <t>Two negative tests, docs say otherwise</t>
        </is>
      </c>
      <c r="C4420" t="inlineStr">
        <is>
          <t>Apologies in-advance if this post is nonsensical anywhere; It’s the “sick brain”. 
This is my second bout of concerning symptoms  this year. I posted a few months ago with concerns about chills, dizziness, etc. and my test came back negative then. 
This is much, much worse.
I started by feeling pain reminiscent to costochondritis as well as running out of breath with minimal activity. That, very quickly, turned into a disaster-cocktail of exhaustion, dizziness, nausea, lower abdominal cramps, night sweats, GI issues, sore throat...you name it, I’ve got it.
I was rapid-tested on Tuesday, 8/11 and the doctor openly stated that he was shocked my result was negative. Temp has been normal, but resting HR was at 115 (normally 75-80 for me). 
I was sent home with a z-pack, asthma inhaler, and the steroid shot given in-office and told to consider myself positive nonetheless. 
Told to take the meds and to follow up today (8/14) if things hadn’t improved. 
Very early Wednesday morning, my GI issues got much worse and I have yet to find any explanation for them. (Would be interested to know what GI symptoms others are dealing with/what the causation is from a COVID standpoint.)
All of my other symptoms have maintained severity. 
After speaking to the clinical staff today, the consensus seems to be, “well your test says negative but we’re almost certain you are positive.”
I’m not sure if I was once positive, if the two tests have been at inopportune times, or if I have something completely unrelated, but this has definitely been a difficult experience. 
I wanted to share my story in case anyone is going through something similar. 
Stay healthy.</t>
        </is>
      </c>
      <c r="D4420" t="n">
        <v>1</v>
      </c>
      <c r="E4420" t="n">
        <v>2</v>
      </c>
      <c r="F4420">
        <f>HYPERLINK("https://www.reddit.com/r/COVID19positive/comments/i9ui5n/two_negative_tests_docs_say_otherwise/")</f>
        <v/>
      </c>
      <c r="G4420" t="inlineStr">
        <is>
          <t>2020-08-14 14:15:54</t>
        </is>
      </c>
      <c r="H4420" t="inlineStr">
        <is>
          <t>Presumed Positive - From Doctor</t>
        </is>
      </c>
    </row>
    <row r="4421">
      <c r="A4421" t="inlineStr">
        <is>
          <t>i9vnrv</t>
        </is>
      </c>
      <c r="B4421" t="inlineStr">
        <is>
          <t>Deep leg pain in the groin and hips; like I just ran a marathon. Help!</t>
        </is>
      </c>
      <c r="C4421" t="inlineStr">
        <is>
          <t>Anyone else experience this pain? I’m a week in and it was gone for three days and now it’s back. It’s a dull but deep pain that makes sleeping difficult and laying down rough. It’s not even really a hurt more-so a fatigue and deep, dull nerve pain. Anyone go through anything similar?</t>
        </is>
      </c>
      <c r="D4421" t="n">
        <v>1</v>
      </c>
      <c r="E4421" t="n">
        <v>12</v>
      </c>
      <c r="F4421">
        <f>HYPERLINK("https://www.reddit.com/r/COVID19positive/comments/i9vnrv/deep_leg_pain_in_the_groin_and_hips_like_i_just/")</f>
        <v/>
      </c>
      <c r="G4421" t="inlineStr">
        <is>
          <t>2020-08-14 15:20:30</t>
        </is>
      </c>
      <c r="H4421" t="inlineStr">
        <is>
          <t>Tested Positive</t>
        </is>
      </c>
    </row>
    <row r="4422">
      <c r="A4422" t="inlineStr">
        <is>
          <t>i9vog3</t>
        </is>
      </c>
      <c r="B4422" t="inlineStr">
        <is>
          <t>Have y’all seen the CDC announcement?</t>
        </is>
      </c>
      <c r="C4422" t="inlineStr">
        <is>
          <t>CDC announced today (Aug 14) that people who’ve recovered from Covid-19 will be immune from it for at least 3 months... what are y’alls thought on this?</t>
        </is>
      </c>
      <c r="D4422" t="n">
        <v>1</v>
      </c>
      <c r="E4422" t="n">
        <v>9</v>
      </c>
      <c r="F4422">
        <f>HYPERLINK("https://www.reddit.com/r/COVID19positive/comments/i9vog3/have_yall_seen_the_cdc_announcement/")</f>
        <v/>
      </c>
      <c r="G4422" t="inlineStr">
        <is>
          <t>2020-08-14 15:21:39</t>
        </is>
      </c>
      <c r="H4422" t="inlineStr">
        <is>
          <t>Tested Positive</t>
        </is>
      </c>
    </row>
    <row r="4423">
      <c r="A4423" t="inlineStr">
        <is>
          <t>i9vsdq</t>
        </is>
      </c>
      <c r="B4423" t="inlineStr">
        <is>
          <t>Finally beat covid! But my body is acting different... (symptoms included)</t>
        </is>
      </c>
      <c r="C4423" t="inlineStr">
        <is>
          <t>I’ve posted this other places but I really need advice. Here’s my story:
Got first flu like symptoms on July 16th. Terrible aches, hot flashes, headache, insomnia, very light cough, no taste or smell (which lingered), and awful indigestion. Got tested 2 days later and by the 4th day I felt completely fine, but unfortunately got a positive covid-19 diagnosis. 
My household and I have been in strict quarantine despite our symptoms since after testing positive and we finally tested negative a little over a week ago! 
All my symptoms are gone except the indigestion and insomnia. Not sure if the two are related, but they started around the same time. When I say indigestion I mean, literally running to the bathroom about 15-20 minutes (and it’s going downwards instead of up) after eating or drinking a small portion of food and the worst acid reflux ever. The insomnia has gotten worse, like very very medically bad. It’s like my body will not let me sleep. 
My theory is maybe the virus rerouted my prior gut health and set everything out of wack? Dispute probiotics, improving diet, making sure I get enough sun for circadian rhythm, otc meds of all sorts, I’m at wits end and feel miserable. Please, please help</t>
        </is>
      </c>
      <c r="D4423" t="n">
        <v>1</v>
      </c>
      <c r="E4423" t="n">
        <v>15</v>
      </c>
      <c r="F4423">
        <f>HYPERLINK("https://www.reddit.com/r/COVID19positive/comments/i9vsdq/finally_beat_covid_but_my_body_is_acting/")</f>
        <v/>
      </c>
      <c r="G4423" t="inlineStr">
        <is>
          <t>2020-08-14 15:27:41</t>
        </is>
      </c>
      <c r="H4423" t="inlineStr">
        <is>
          <t>Tested Positive - Me</t>
        </is>
      </c>
    </row>
    <row r="4424">
      <c r="A4424" t="inlineStr">
        <is>
          <t>i9wb9f</t>
        </is>
      </c>
      <c r="B4424" t="inlineStr">
        <is>
          <t>Coworker tested positive but I tested negative on the same day</t>
        </is>
      </c>
      <c r="C4424" t="inlineStr">
        <is>
          <t>I heard it can take a few days for enough of the virus to show up in a test. So even though I'm negative on the day the test was taken, am I okay to be around other people such as roommates now?</t>
        </is>
      </c>
      <c r="D4424" t="n">
        <v>1</v>
      </c>
      <c r="E4424" t="n">
        <v>3</v>
      </c>
      <c r="F4424">
        <f>HYPERLINK("https://www.reddit.com/r/COVID19positive/comments/i9wb9f/coworker_tested_positive_but_i_tested_negative_on/")</f>
        <v/>
      </c>
      <c r="G4424" t="inlineStr">
        <is>
          <t>2020-08-14 15:58:37</t>
        </is>
      </c>
      <c r="H4424" t="inlineStr">
        <is>
          <t>Tested Positive - Friends</t>
        </is>
      </c>
    </row>
    <row r="4425">
      <c r="A4425" t="inlineStr">
        <is>
          <t>i9wuue</t>
        </is>
      </c>
      <c r="B4425" t="inlineStr">
        <is>
          <t>Has anyone started to feel better but then get worse?</t>
        </is>
      </c>
      <c r="C4425" t="inlineStr">
        <is>
          <t>I’m wondering if anyone out there, especially those with mild cases (at least in the first couple days) start feeling better and then get worse? 
Wednesday I started showing symptoms - sore throat, mad congestion, headaches, brain fog - Thursday same thing but developed almost like a buzzing inside my chest + bit of a cough - today (Friday) I feel okay? A little congested, and a bit of a headache as the day went on but no cough, no buzzing feeling, no sore throat, no aches, no fever. 
Should I expect to wake up tomorrow or in the couple of days feeling like garbage again? Or is there anyone out there that felt like trash for a couple days and that was it? 
Not sure how to feel about it..</t>
        </is>
      </c>
      <c r="D4425" t="n">
        <v>1</v>
      </c>
      <c r="E4425" t="n">
        <v>11</v>
      </c>
      <c r="F4425">
        <f>HYPERLINK("https://www.reddit.com/r/COVID19positive/comments/i9wuue/has_anyone_started_to_feel_better_but_then_get/")</f>
        <v/>
      </c>
      <c r="G4425" t="inlineStr">
        <is>
          <t>2020-08-14 16:31:06</t>
        </is>
      </c>
      <c r="H4425" t="inlineStr">
        <is>
          <t>Tested Positive - Me</t>
        </is>
      </c>
    </row>
    <row r="4426">
      <c r="A4426" t="inlineStr">
        <is>
          <t>i9x6ba</t>
        </is>
      </c>
      <c r="B4426" t="inlineStr">
        <is>
          <t>I need info</t>
        </is>
      </c>
      <c r="C4426" t="inlineStr">
        <is>
          <t>Our family tested positive 3 weeks ago
My dad was doing ok but after the 10th day of the infection his oxygen level started to drop fast so we had to hospitalize him and he’s been at the hospital for more than a week
He’s currently on cpap and his SpO2 with it fluctuates between 78-91%, but in the early morning his oxygen drops to 30-40% and his temperature rises
I wanna know any of you know of such case and could give me information about how long his hospital stay will be and how fast will he recover from this
Ps. He’s obese and he’s had an MI in the previous year</t>
        </is>
      </c>
      <c r="D4426" t="n">
        <v>1</v>
      </c>
      <c r="E4426" t="n">
        <v>5</v>
      </c>
      <c r="F4426">
        <f>HYPERLINK("https://www.reddit.com/r/COVID19positive/comments/i9x6ba/i_need_info/")</f>
        <v/>
      </c>
      <c r="G4426" t="inlineStr">
        <is>
          <t>2020-08-14 16:50:21</t>
        </is>
      </c>
      <c r="H4426" t="inlineStr">
        <is>
          <t>Tested Positive - Family</t>
        </is>
      </c>
    </row>
    <row r="4427">
      <c r="A4427" t="inlineStr">
        <is>
          <t>i9x7oq</t>
        </is>
      </c>
      <c r="B4427" t="inlineStr">
        <is>
          <t>Anecdotal evidence of still being infectious post-10 day current CDC guideline?</t>
        </is>
      </c>
      <c r="C4427" t="inlineStr">
        <is>
          <t>Hi, everyone! I am bummed to be here and so sorry that you're all here as well. Hope everyone is keeping their head up today, and best wishes to those who are still struggling through this. 
I am wondering if anyone suspects a case of transmission AFTER the 10-day period during which CDC says is the only time you are contagious? 
Here's my quick story: Woke up with minimal symptoms on 7/10. Was a little worried, but then the symptoms passed quickly, so I didn't think much of it. Partner (who lives separately; we both live alone) came down with quite bad symptoms around 7/14, so we began to worry. Both of us got tested and were positive. My case continued to be mild, while partner had a pretty hard time. We both eventually felt better (though not 100%) after 2 weeks or so, during which we did not see each other or anyone else.
On 8/5, I had minimal symptoms again. Similar to how COVID felt for me the first time... burning sensation in nose, congestion, super minor cough, no fever or aches. Had plans with partner to hang out that evening and we considered canceling but decided to keep the plans. Swapped a lot of germs. On 8/7 partner comes down with headache, aches, eye pain (similar to his original experience). I got a second test on 8/7 and it was still positive.
Does anyone think it's possible that I "re-infected" him? Presumably, he should have antibodies from already fighting the virus himself. Could it be possible that exchanging germs with me caused his viral load to increase enough that it triggered a relapse in him too? Or is it more likely that we both experienced unrelated relapses only days apart? That seems almost too coincidental...
I feel really bad for potentially infecting him twice :( but I'm getting pretty lonely, and he's one of the only people I can theoretically hang out with (per CDC) since he's already gotten the virus himself. 
Any thoughts or experiences on this issue that people are willing share would be most welcome! Thank you so much, and stay strong, everyone.</t>
        </is>
      </c>
      <c r="D4427" t="n">
        <v>1</v>
      </c>
      <c r="E4427" t="n">
        <v>9</v>
      </c>
      <c r="F4427">
        <f>HYPERLINK("https://www.reddit.com/r/COVID19positive/comments/i9x7oq/anecdotal_evidence_of_still_being_infectious/")</f>
        <v/>
      </c>
      <c r="G4427" t="inlineStr">
        <is>
          <t>2020-08-14 16:52:40</t>
        </is>
      </c>
      <c r="H4427" t="inlineStr">
        <is>
          <t>Tested Positive - Me</t>
        </is>
      </c>
    </row>
    <row r="4428">
      <c r="A4428" t="inlineStr">
        <is>
          <t>i9xleo</t>
        </is>
      </c>
      <c r="B4428" t="inlineStr">
        <is>
          <t>Am I a potential "long hauler?"</t>
        </is>
      </c>
      <c r="C4428" t="inlineStr">
        <is>
          <t>I'll start by saying I'm a 22F with severe asthma. I have been feeling just generally unwell since late March. Right before getting sick, my brother returned home from college in southern California and my boyfriend was working with someone who was presumed positive with all the classic COVID symptoms. About a week after while my mom, brother, boyfriend and I were under quarantine where we live in northern California, all of us started developing symptoms which included a low grade fever, chest tightness, shortness of breath, and mild cold like symptoms like congestion and headaches. However, after my family started to get better, I got worse. I spent the whole month of April with horribly painful and aggresive GI issues that multiple medicines couldn't help. I have slowly gotten over that, but the one thing that won't go away for me is the shortness of breath. Over the last few weeks, my boyfriend has been experiencing the same GI issues I had along with my chest tightness and shortness of breath. I finally saw a lung specialist yesterday and after discussing everything with them, she said it's likely that I had COVID at the time and since I have asthma, I'm just taking a long time to get better. Since I couldn't get a test in March or April, my first test wasn't until the very end of May. I've had two more negative tests since then as well. Has anybody else experienced anything like this? Am I doomed to be short of breath forever? I need some hope. Thank you to anyone who took the time to read this.</t>
        </is>
      </c>
      <c r="D4428" t="n">
        <v>1</v>
      </c>
      <c r="E4428" t="n">
        <v>2</v>
      </c>
      <c r="F4428">
        <f>HYPERLINK("https://www.reddit.com/r/COVID19positive/comments/i9xleo/am_i_a_potential_long_hauler/")</f>
        <v/>
      </c>
      <c r="G4428" t="inlineStr">
        <is>
          <t>2020-08-14 17:15:59</t>
        </is>
      </c>
      <c r="H4428" t="inlineStr">
        <is>
          <t>Presumed Positive - From Doctor</t>
        </is>
      </c>
    </row>
    <row r="4429">
      <c r="A4429" t="inlineStr">
        <is>
          <t>i9yjja</t>
        </is>
      </c>
      <c r="B4429" t="inlineStr">
        <is>
          <t>Ex husbands family got my son for his weekend visitation with known positive tests. Didn’t bring home or even inform me.</t>
        </is>
      </c>
      <c r="C4429" t="inlineStr">
        <is>
          <t>So, my son has been going every other weekend to his dads house for visitation. His dad is not reliable and pops in and out of his life. My son is only 6. When corona hit, his father eventually got off the street and supposedly the shit and moved back into his mothers home. At first they wouldn’t let him due to his erratic behavior. I was worried about exposure to the virus but once the initial stay home orders were lifted, I began to let my son go for visitation every other weekend. I don’t trust his father to watch after him on his own for obvious reasons but he is allowed supervised visitations in our papers. I believed he would be safe and he was able to play with his first cousins, something I cannot provide him as an only child myself. So this past weekend he goes for his visit leaving on Thursday night and he returns home Monday afternoon. We left our apartment in the city and went to where we set up our swimming pool. It’s on the land that belongs to my boyfriend of the last 4 years. We stayed there a few nights, swimming during the day and enjoying the last official week of his extended summer. I wasn’t home when my ex dropped off our son. I actually have a permanent restraining order against him and try to never have direct contact with him due to the domestic violence and harassment I experienced at his hands.  I arrived home about an hour after he was dropped off and casen came upstairs shortly after. Before we left, my father came upstairs (we live in the apartment above our family’s restaurant which is also adjacent to his home) asking if Casen still felt bad. I said he hadn’t mentioned a word about feeling badly. This was all that was relayed to me. I also noticed Casens appetite was low. Then Wednesday night, my mother’s instinct kicked in and I had the thought that he might be getting sick. He was just a little more subdued, he fell asleep early, woke up with a dry sore throat in the middle of the night, and he sounded slightly congested. We actually had planned to return home Wednesday night but he had fallen asleep as I gathered our bags. The next day my mother contacts me saying it was urgent. She had discovered that my ex’s sisters have tested positive. I asked my son and he said, oh yea Aunt Mindy has the corona virus. Aunt morgan just got over it. My heart sank. Morgan does live outside the house and mindy lives in Washington state. Her husband is in the army and they have been home visiting. I was livid!  First my child should not have even gone if one aunt had a confirmed case. Not until they had all been tested. I should have been told!  Then when the second aunt tested positive during his visit, he should have immediately been brought home and me notified of the possible infection. They sent their own father away that Saturday but not my child?!?  At first I believed they had not even bothered to mention it to us at all but I leaned this morning that my ex did tell my father. He is 80 but in pretty good health. Still I’m worried about him contracting the virus. I had left a note the night before explaining the possible exposure and letting him know we would be going to get him tested that morning. My father is also  a blooming idiot and he cane upstairs almost pissed at me. He said that my ex had assured him they were not around the aunt at all. This I do believe but Casen was still around her two children and she had been active in that home up until being diagnosed. So anyway, he tested positive today. They didn’t test me but I’m presumed. They only do a limited amount of same day tests so I think they were out for the day. They told me to get tested if I show symptoms but I have already been nauseated since Thursday morning. That was before I knew of the exposure so I couldn’t just chalk it up to my nerves. At the time I believed it to be heartburn as I was out of my medicine. I didn’t have the regular acid reflux tho and it has persisted all day after taking my medicine last night. Now the grandmother is sick and pop (the one sent away) has tested positive as well. On the way home from the doctor I got a pressure/pain in the middle of my chest that scared me badly. It grew stronger and then went away but seemed to be coming back. I was also very worn out from it all and had to come in and lay down. I haven’t had the pain since I woke up. I’ll post more as our story progresses. Thanks to anyone who actually read all of this. I really needed to vent and just get it all out. I’m very worried I exposed my boyfriend and by extension his elderly mother. He goes to her home daily but obviously has stopped until he knows if he was infected. Thankfully we went away on that semi vacation and in effect isolated ourselves for a few days. Well from everyone but my boyfriend. I am going to go clean his home to try and prevent him from catching this. He is older than me by 14 years and disabled. He was in a lot of pain so he stayed inside and mostly away from us the last two days we were down. Thursday was actually his 50th birthday. Obviously it got a bit ruined. Now I have to figure out how we will survive these two weeks of isolation. I was already on unemployment but was hoping to be able to get my business back up and running soon. My weekly amount is only $95 without the extension and that doesn’t pay our bills much less buy us food. I should be drawing the full  $235 based on my income but I am waiting on them to process my proof of income and update my claim. It’s been 20 weeks. I resubmitted my Info over two weeks ago now but cannot get a response on when or if it will be processed. I need to purchase a pulse ox and a new thermometer and get us liquids and food so we can survive but I used the last $20 I had to get us to the doctor today. I still owe $250 on my car payment that was due on the 12th and my insurance will be cancelled tomorrow if I don’t pay $120.  As much as I hate to do it, it looks like I’ll have to ask my family to pitch in on food or we won’t make it. Life was looking bleak as it was and now we have covid-19.  At least our congress took three weeks off to think about all of us living in these dire conditions. Maybe we won’t starve to death by the time they return. Prayers are appreciated. Thank you.</t>
        </is>
      </c>
      <c r="D4429" t="n">
        <v>1</v>
      </c>
      <c r="E4429" t="n">
        <v>24</v>
      </c>
      <c r="F4429">
        <f>HYPERLINK("https://www.reddit.com/r/COVID19positive/comments/i9yjja/ex_husbands_family_got_my_son_for_his_weekend/")</f>
        <v/>
      </c>
      <c r="G4429" t="inlineStr">
        <is>
          <t>2020-08-14 18:18:41</t>
        </is>
      </c>
      <c r="H4429" t="inlineStr">
        <is>
          <t>Tested Positive - Family</t>
        </is>
      </c>
    </row>
    <row r="4430">
      <c r="A4430" t="inlineStr">
        <is>
          <t>i9yo2l</t>
        </is>
      </c>
      <c r="B4430" t="inlineStr">
        <is>
          <t>Any vitamin recommendations?</t>
        </is>
      </c>
      <c r="C4430" t="inlineStr">
        <is>
          <t>Hi everyone. I was exposed to covid last weekend, got tested this previous Wednesday, and got back positive results today. Any recommendations on what vitamins I could take to boost my immune system and hopefully experience as little symptoms as possible? As of right now I just have a mild cough/sore throat along with a diminished sense of taste.  Thanks!!</t>
        </is>
      </c>
      <c r="D4430" t="n">
        <v>1</v>
      </c>
      <c r="E4430" t="n">
        <v>9</v>
      </c>
      <c r="F4430">
        <f>HYPERLINK("https://www.reddit.com/r/COVID19positive/comments/i9yo2l/any_vitamin_recommendations/")</f>
        <v/>
      </c>
      <c r="G4430" t="inlineStr">
        <is>
          <t>2020-08-14 18:27:18</t>
        </is>
      </c>
      <c r="H4430" t="inlineStr">
        <is>
          <t>Tested Positive - Me</t>
        </is>
      </c>
    </row>
    <row r="4431">
      <c r="A4431" t="inlineStr">
        <is>
          <t>i9yu4b</t>
        </is>
      </c>
      <c r="B4431" t="inlineStr">
        <is>
          <t>What happens if you submit yourself to a hospital if can't breathe right from covid-19 complications?</t>
        </is>
      </c>
      <c r="C4431" t="inlineStr">
        <is>
          <t>I recently drove my mom to the hospital because she said that for a sec she couldn't breathe good, she recently recovered 3 weeks ago but she didn't sleep good, she slept 10 hrs a week I think because she just keeps worrying about our family. She got worse and today she told me if I could drive her to the hospital, during the ride she looked fine but am just worrying a lot and might think that she'll stay in the hospital for a week if she gets worse.</t>
        </is>
      </c>
      <c r="D4431" t="n">
        <v>1</v>
      </c>
      <c r="E4431" t="n">
        <v>3</v>
      </c>
      <c r="F4431">
        <f>HYPERLINK("https://www.reddit.com/r/COVID19positive/comments/i9yu4b/what_happens_if_you_submit_yourself_to_a_hospital/")</f>
        <v/>
      </c>
      <c r="G4431" t="inlineStr">
        <is>
          <t>2020-08-14 18:38:45</t>
        </is>
      </c>
      <c r="H4431" t="inlineStr">
        <is>
          <t>Tested Positive - Family</t>
        </is>
      </c>
    </row>
    <row r="4432">
      <c r="A4432" t="inlineStr">
        <is>
          <t>i9zlin</t>
        </is>
      </c>
      <c r="B4432" t="inlineStr">
        <is>
          <t>Never a fever or cough</t>
        </is>
      </c>
      <c r="C4432" t="inlineStr">
        <is>
          <t>I’ve taken the IBB antibody test and came back negative
Never got the nasal swab
Feb 1 is when it began in a very mild manner, but it never disappeared.
32m
160 lbs
San francisco
Symptoms I’ve noticed: 
1: ongoing menthol/tingling/frostbite sensation in my throat and nose since feb 1 that can extend to my feet and hands and face when body is depleted of minerals or energy, and it sometimes retreats and becomes almost unnoticeable
2: a “heaviness” in my head and chest, the sensation is as if my organs and brain were operating in a denser gravity field, blood feels thick.
3: fatigue
4: occasional confusion
These are the main symptoms and I’ve noticed these actions effect the severity of them:
A: 10k steps leads to a multi day worsening. Even light exercise like walking 5 miles increases the tingling and dense feeling in my organs.
B: improper diet increases symptoms
C: caffeine increases symptoms harshly
D: lack of sleep increases symptoms
I’m a bit nervous that I have a chronic disease, and I fear that I won’t be able to rid myself of these seemingly permanent symptoms.
Though the synthetic antibodies do seem promising. If I do indeed have the virus present in my body, perhaps an infusion of these synthetic antibodies would lead to such a reduction in viral load that I would have some long term reprieve. 
Anyone familiar with the symptomology I’ve described?</t>
        </is>
      </c>
      <c r="D4432" t="n">
        <v>1</v>
      </c>
      <c r="E4432" t="n">
        <v>3</v>
      </c>
      <c r="F4432">
        <f>HYPERLINK("https://www.reddit.com/r/COVID19positive/comments/i9zlin/never_a_fever_or_cough/")</f>
        <v/>
      </c>
      <c r="G4432" t="inlineStr">
        <is>
          <t>2020-08-14 19:32:22</t>
        </is>
      </c>
      <c r="H4432" t="inlineStr">
        <is>
          <t>Presumed Positive - From Doctor</t>
        </is>
      </c>
    </row>
    <row r="4433">
      <c r="A4433" t="inlineStr">
        <is>
          <t>i9zope</t>
        </is>
      </c>
      <c r="B4433" t="inlineStr">
        <is>
          <t>I don’t know what to do</t>
        </is>
      </c>
      <c r="C4433" t="inlineStr">
        <is>
          <t>I was diagnosed on July 8th.  I’m still having quite a bit of fatigue and the occasional intestinal flare ups.  But I’m starting with new symptoms.  For example today I’ve done nothing strenuous but within the last our three aching in my shoulders, neck and moving up the back of my head enough pain that it usually results in a headache.  Anyone else experience these types of symptoms?</t>
        </is>
      </c>
      <c r="D4433" t="n">
        <v>1</v>
      </c>
      <c r="E4433" t="n">
        <v>3</v>
      </c>
      <c r="F4433">
        <f>HYPERLINK("https://www.reddit.com/r/COVID19positive/comments/i9zope/i_dont_know_what_to_do/")</f>
        <v/>
      </c>
      <c r="G4433" t="inlineStr">
        <is>
          <t>2020-08-14 19:38:31</t>
        </is>
      </c>
      <c r="H4433" t="inlineStr">
        <is>
          <t>Tested Positive - Me</t>
        </is>
      </c>
    </row>
    <row r="4434">
      <c r="A4434" t="inlineStr">
        <is>
          <t>ia0nkj</t>
        </is>
      </c>
      <c r="B4434" t="inlineStr">
        <is>
          <t>Positive</t>
        </is>
      </c>
      <c r="C4434" t="inlineStr">
        <is>
          <t>I’m so incredibly sad. It feels like a bad dream. I’m 23 and overweight so I’m worried I will get a severe case of it. It feels like a bad cold right now. I started to feel off on Wednesday. A family member I live with is positive so the doctor said I more than likely have it given my symptoms.</t>
        </is>
      </c>
      <c r="D4434" t="n">
        <v>1</v>
      </c>
      <c r="E4434" t="n">
        <v>13</v>
      </c>
      <c r="F4434">
        <f>HYPERLINK("https://www.reddit.com/r/COVID19positive/comments/ia0nkj/positive/")</f>
        <v/>
      </c>
      <c r="G4434" t="inlineStr">
        <is>
          <t>2020-08-14 20:48:56</t>
        </is>
      </c>
      <c r="H4434" t="inlineStr">
        <is>
          <t>Presumed Positive - From Test</t>
        </is>
      </c>
    </row>
    <row r="4435">
      <c r="A4435" t="inlineStr">
        <is>
          <t>ia2he9</t>
        </is>
      </c>
      <c r="B4435" t="inlineStr">
        <is>
          <t>HELP. Doctors won't perform life-saving surgery on COVID positive patient with ruptured intestine.</t>
        </is>
      </c>
      <c r="C4435" t="inlineStr">
        <is>
          <t>Hi everyone,
My uncle and his whole household of 8 tested positive for COVID-19 almost one month ago. My uncle is the only person who suffered a severe case of COVID and was rushed to the hospital about three weeks ago. He is overweight, has diabetes, and smokes, so he's high risk. He's been in the hospital  ever since, and his condition has only been getting worse.
We found out today that his large intestine burst and he needs surgery or he'll die. The doctors are all saying that they don't want to perform the surgery because they're all afraid of potentially contracting COVID themselves. I understand that there's a national shortage of PPE for medical professionals, but this is a matter of life and death.  We asked if we could get him transferred to another hospital that would be willing to do the surgery and they said that no doctor would be able to.
Is there anything that we can do to get him the surgery that he needs? Any legal action we can take? He's an incredibly hardworking man taking care of his wife and two kids, and he's the breadwinner of the family. No one knows what to do. Please help.</t>
        </is>
      </c>
      <c r="D4435" t="n">
        <v>1</v>
      </c>
      <c r="E4435" t="n">
        <v>3</v>
      </c>
      <c r="F4435">
        <f>HYPERLINK("https://www.reddit.com/r/COVID19positive/comments/ia2he9/help_doctors_wont_perform_lifesaving_surgery_on/")</f>
        <v/>
      </c>
      <c r="G4435" t="inlineStr">
        <is>
          <t>2020-08-14 23:19:21</t>
        </is>
      </c>
      <c r="H4435" t="inlineStr">
        <is>
          <t>Tested Positive - Family</t>
        </is>
      </c>
    </row>
    <row r="4436">
      <c r="A4436" t="inlineStr">
        <is>
          <t>ia2opq</t>
        </is>
      </c>
      <c r="B4436" t="inlineStr">
        <is>
          <t>Covid gives three month immunity after infection according to the CDC</t>
        </is>
      </c>
      <c r="C4436" t="inlineStr">
        <is>
          <t>I am at 4+ months post infection with severe illness in March.  Last week, I felt a milder case of Covid-19 symptoms, with gastric distress, shortness of breath, fevers.  Today, I had a new symptom  for me.  A stabbing pain in the temple.  And then I read the CDC gives a three month window of immunity after infection.  Possibly, I got infected again but the symptoms are milder this time around.  I need better masks.</t>
        </is>
      </c>
      <c r="D4436" t="n">
        <v>1</v>
      </c>
      <c r="E4436" t="n">
        <v>154</v>
      </c>
      <c r="F4436">
        <f>HYPERLINK("https://www.reddit.com/r/COVID19positive/comments/ia2opq/covid_gives_three_month_immunity_after_infection/")</f>
        <v/>
      </c>
      <c r="G4436" t="inlineStr">
        <is>
          <t>2020-08-14 23:37:36</t>
        </is>
      </c>
      <c r="H4436" t="inlineStr">
        <is>
          <t>Presumed Positive - From Doctor</t>
        </is>
      </c>
    </row>
    <row r="4437">
      <c r="A4437" t="inlineStr">
        <is>
          <t>ia3879</t>
        </is>
      </c>
      <c r="B4437" t="inlineStr">
        <is>
          <t>Phlegm/Mucus</t>
        </is>
      </c>
      <c r="C4437" t="inlineStr">
        <is>
          <t>Does anyone else have phlegm/mucus crackling feeling when they exhale I feel like it’s deep inside my chest idk if it’s residual mucus in my lungs but I try to make myself cough and nothing comes out it’s been going on for weeks any idea please help! &amp;amp; what can I do if anyone went through this to get rid of it ! Thanks 🙏🏼</t>
        </is>
      </c>
      <c r="D4437" t="n">
        <v>1</v>
      </c>
      <c r="E4437" t="n">
        <v>14</v>
      </c>
      <c r="F4437">
        <f>HYPERLINK("https://www.reddit.com/r/COVID19positive/comments/ia3879/phlegmmucus/")</f>
        <v/>
      </c>
      <c r="G4437" t="inlineStr">
        <is>
          <t>2020-08-15 00:29:27</t>
        </is>
      </c>
      <c r="H4437" t="inlineStr">
        <is>
          <t>Tested Positive - Me</t>
        </is>
      </c>
    </row>
    <row r="4438">
      <c r="A4438" t="inlineStr">
        <is>
          <t>ia6bmz</t>
        </is>
      </c>
      <c r="B4438" t="inlineStr">
        <is>
          <t>diarrhea remedy suggestions</t>
        </is>
      </c>
      <c r="C4438" t="inlineStr">
        <is>
          <t>Our family has had mild Covid but my teenage daughter has had diarrhea for over a week. It’s not everyday. This is her only Covid symptom. 
Has anyone had it for over a week? What remedy do you suggest to help?</t>
        </is>
      </c>
      <c r="D4438" t="n">
        <v>1</v>
      </c>
      <c r="E4438" t="n">
        <v>11</v>
      </c>
      <c r="F4438">
        <f>HYPERLINK("https://www.reddit.com/r/COVID19positive/comments/ia6bmz/diarrhea_remedy_suggestions/")</f>
        <v/>
      </c>
      <c r="G4438" t="inlineStr">
        <is>
          <t>2020-08-15 05:16:41</t>
        </is>
      </c>
      <c r="H4438" t="inlineStr">
        <is>
          <t>Presumed Positive - From Doctor</t>
        </is>
      </c>
    </row>
    <row r="4439">
      <c r="A4439" t="inlineStr">
        <is>
          <t>ia6svw</t>
        </is>
      </c>
      <c r="B4439" t="inlineStr">
        <is>
          <t>Hearing problems in one ear, feels "full"</t>
        </is>
      </c>
      <c r="C4439" t="inlineStr">
        <is>
          <t>I was tested positive a few weeks ago, and had fairly mild symptoms (headache, sore throat, chills and a low fever). Now one of my ears feels "full", like it's got water in it, and everything sounds muffled on that side.
Is this a covid-19 thing or do I just have a clogged up ear?</t>
        </is>
      </c>
      <c r="D4439" t="n">
        <v>1</v>
      </c>
      <c r="E4439" t="n">
        <v>8</v>
      </c>
      <c r="F4439">
        <f>HYPERLINK("https://www.reddit.com/r/COVID19positive/comments/ia6svw/hearing_problems_in_one_ear_feels_full/")</f>
        <v/>
      </c>
      <c r="G4439" t="inlineStr">
        <is>
          <t>2020-08-15 05:51:20</t>
        </is>
      </c>
      <c r="H4439" t="inlineStr">
        <is>
          <t>Tested Positive - Me</t>
        </is>
      </c>
    </row>
    <row r="4440">
      <c r="A4440" t="inlineStr">
        <is>
          <t>ia6va4</t>
        </is>
      </c>
      <c r="B4440" t="inlineStr">
        <is>
          <t>22 M Tested Positive and Negative??? Help</t>
        </is>
      </c>
      <c r="C4440" t="inlineStr">
        <is>
          <t>Last night I went to the ER and they did a rapid test on me and it was negative (4:50am) and the day before at (3:00pm) I had done one at CVS. I just got my CVS results back and they’re positive...So basically my results were positive because it was earlier when I took the self administered test, then negative because it was done later. So what do I go based off of?</t>
        </is>
      </c>
      <c r="D4440" t="n">
        <v>1</v>
      </c>
      <c r="E4440" t="n">
        <v>24</v>
      </c>
      <c r="F4440">
        <f>HYPERLINK("https://www.reddit.com/r/COVID19positive/comments/ia6va4/22_m_tested_positive_and_negative_help/")</f>
        <v/>
      </c>
      <c r="G4440" t="inlineStr">
        <is>
          <t>2020-08-15 05:56:04</t>
        </is>
      </c>
      <c r="H4440" t="inlineStr">
        <is>
          <t>Tested Positive - Me</t>
        </is>
      </c>
    </row>
    <row r="4441">
      <c r="A4441" t="inlineStr">
        <is>
          <t>ia7045</t>
        </is>
      </c>
      <c r="B4441" t="inlineStr">
        <is>
          <t>Should I get my heart checked out?</t>
        </is>
      </c>
      <c r="C4441" t="inlineStr">
        <is>
          <t>22 year old healthy M, no pre existing conditions. Early July I tested positive for covid. I had a mild case with loss of smell, cough and minor shortness of breath/chest tightness. It all resolved in a few weeks and I tested negative. I got my lungs checked out by a pulmonologist and they are A-OK. 100% blood O2, good lung functionality, etc. No lingering symptoms that I can notice.
All over the news now I'm seeing that covid causes permanent heart damage &amp;amp; myocarditis even in mild cases, that healthy young athletes are dropping dead from heart attacks, etc. 
I'm looking to get back into running and working out but now I'm concerned I could... drop dead or something. Even though I have no symptoms at all and according to my Fitbit my resting heart rate is great (low 50's).
Is getting my heart checked out by a cardiologist even though I feel 100% normal overkill? What do y'all think?</t>
        </is>
      </c>
      <c r="D4441" t="n">
        <v>1</v>
      </c>
      <c r="E4441" t="n">
        <v>14</v>
      </c>
      <c r="F4441">
        <f>HYPERLINK("https://www.reddit.com/r/COVID19positive/comments/ia7045/should_i_get_my_heart_checked_out/")</f>
        <v/>
      </c>
      <c r="G4441" t="inlineStr">
        <is>
          <t>2020-08-15 06:04:54</t>
        </is>
      </c>
      <c r="H4441" t="inlineStr">
        <is>
          <t>Tested Positive - Me</t>
        </is>
      </c>
    </row>
    <row r="4442">
      <c r="A4442" t="inlineStr">
        <is>
          <t>ia7yyg</t>
        </is>
      </c>
      <c r="B4442" t="inlineStr">
        <is>
          <t>Need some tips/timeline</t>
        </is>
      </c>
      <c r="C4442" t="inlineStr">
        <is>
          <t>My Dad had cough and developed a fever so he went to the family physician who cleared him of covid and said that he just had a red throat. 
5 days later i had him tested for covid and he came back positive and thus far his symptoms have been fever &amp;amp; fatigue the fever persisted for 7 the doctor suggested that if it didn’t go away by the 7th day we should have him tested for other stuff but thankfully the fever has subsided.
Today is day 9 and he hasn’t shown any symptoms of troubled breathing his oxygen levels have always been between 93-97 spo2. Is it safe to assume that that dangerous period will pass by day 10 since his only symptom is tiredness and diarrhoea that just happened today.
On the flip side diarrhoea is a day 1-4 thing and if we were to go by the doctors hunch that the fever was something else and start the count from test results rather then the onset of symptoms this would be day 4.
Any tips on which one is the more likely scenario also if today is truly the 4th what should the day 5-10 timeline look like.
_________
P.S To anyone that responds thank you from the bottom of my heart.</t>
        </is>
      </c>
      <c r="D4442" t="n">
        <v>1</v>
      </c>
      <c r="E4442" t="n">
        <v>12</v>
      </c>
      <c r="F4442">
        <f>HYPERLINK("https://www.reddit.com/r/COVID19positive/comments/ia7yyg/need_some_tipstimeline/")</f>
        <v/>
      </c>
      <c r="G4442" t="inlineStr">
        <is>
          <t>2020-08-15 07:09:54</t>
        </is>
      </c>
      <c r="H4442" t="inlineStr">
        <is>
          <t>Tested Positive - Family</t>
        </is>
      </c>
    </row>
    <row r="4443">
      <c r="A4443" t="inlineStr">
        <is>
          <t>ia95zq</t>
        </is>
      </c>
      <c r="B4443" t="inlineStr">
        <is>
          <t>False positive?</t>
        </is>
      </c>
      <c r="C4443" t="inlineStr">
        <is>
          <t>I have no symptoms and have no clue how, but I have tested positive for COVID 19. Any of you deal with a false positive result? Is this even possible? When will I start to have symptoms, if at all?</t>
        </is>
      </c>
      <c r="D4443" t="n">
        <v>1</v>
      </c>
      <c r="E4443" t="n">
        <v>26</v>
      </c>
      <c r="F4443">
        <f>HYPERLINK("https://www.reddit.com/r/COVID19positive/comments/ia95zq/false_positive/")</f>
        <v/>
      </c>
      <c r="G4443" t="inlineStr">
        <is>
          <t>2020-08-15 08:20:32</t>
        </is>
      </c>
      <c r="H4443" t="inlineStr">
        <is>
          <t>Tested Positive</t>
        </is>
      </c>
    </row>
    <row r="4444">
      <c r="A4444" t="inlineStr">
        <is>
          <t>iab5h4</t>
        </is>
      </c>
      <c r="B4444" t="inlineStr">
        <is>
          <t>Interesting case, am I the only one?</t>
        </is>
      </c>
      <c r="C4444" t="inlineStr">
        <is>
          <t>I guess I’ll give you the entire story. I don’t post often, just sort of a Reddit lurker in general, so I apologize if my etiquette is bad. I’m a school teacher in South Alabama. I kinda of pushed COVID to the side. I’m 27, healthy, etc. I wear my masks, wash my hands often, all of that. I just didn’t think I would get it. Anyways, teachers reported back to school on the 3rd of August. Students reported back to school on the 12th. 
Tuesday, August 11 - It all started on the 11th, I woke up with a small lump on the side of my neck (just under the left side of my jaw). It was tender to the touch and made it slightly difficult to swallow. I assumed it was a swollen lymph node. I’ve had two before on my armpit area that were tender as well, but never on my neck so I assumed the difficulty swallowing was because of the placement (hopefully that made sense).
Wednesday, August 12 - I woke up feeling the same, swollen ‘lymph node’ still there, but I was ready to finally see my students. I didn’t have any other symptoms. I felt great throughout the day, got a little tired with having to repeat myself all day, but still felt good. 3:00 hits and I’m exhausted, told my boyfriend I was going straight to bed when I got home. I got home and crashed for about an hour before walking up feeling extremely hot. BF checked my temp and it was 101.5, so we immediately went to Urgent Care and called my principal. I was told it looked like strep, so they swapped me and it turned out negative. They swapped me for COVID and told me I would have results by Saturday. In the meantime I had ‘pharyngitis’ and was put on a z-pack.
Thursday, August 13 - I woke up with a fever, body aches, chills, and sharp pain when trying to swallow. I took Tylenol throughout the day, but my fever would spike again about an hour and a half after taking it. I really don’t remember much other than telling my mom and BF I was going to die. I could barely drink and all I ate was a cup of jello.
Friday, August 14 - woke to a fever of 103 (the highest yet) and my neck was extremely swollen and painful to touch. It was also red and hot. BF immediately called my Mom and they both decided to bring me to the ER. My resting HR was 133. Fever dropped to 101. It was hard to talk but I managed to explain the situation and concentrated my concern on my neck. They were more concerned about my throat at first - I tested positive for strep. They took a CT scan of my neck and discovered I was rapidly developing an abscess. We had a family friend neurosurgeon take a look at the report and if we had waited a couple more days there was a high chance that I would have gone septic. After a bag of IV fluids and three rounds of antibiotics/steroids I’m feeling MUCH better. Still tired. Neck and throat are still swollen and in pain. I’m so thankful I was brought to the hospital, I felt so stupid being there before they told me what was wrong.
Today, Saturday, August 15 - 9:30am I got my results. COVID Positive.
TL;DR I was diagnosed with Strep and COVID which somehow caused an abscess to develop in my neck.</t>
        </is>
      </c>
      <c r="D4444" t="n">
        <v>1</v>
      </c>
      <c r="E4444" t="n">
        <v>21</v>
      </c>
      <c r="F4444">
        <f>HYPERLINK("https://www.reddit.com/r/COVID19positive/comments/iab5h4/interesting_case_am_i_the_only_one/")</f>
        <v/>
      </c>
      <c r="G4444" t="inlineStr">
        <is>
          <t>2020-08-15 10:10:10</t>
        </is>
      </c>
      <c r="H4444" t="inlineStr">
        <is>
          <t>Tested Positive - Me</t>
        </is>
      </c>
    </row>
    <row r="4445">
      <c r="A4445" t="inlineStr">
        <is>
          <t>iabmps</t>
        </is>
      </c>
      <c r="B4445" t="inlineStr">
        <is>
          <t>doctor says allergies but how did i give my mom allergies? didnt know those were contagious</t>
        </is>
      </c>
      <c r="C4445" t="inlineStr">
        <is>
          <t>its been 11 days since ive been feeling sick im goin to  the cardiologist to get checked out because my body has been feeling very off i can do normal things feel 100%. no heart issues but if i decide to smoke its like i can feel it putting to much stress heart beating heard head pressures. and then boom like having covid or "allergies" all over again super body fatigue,fever basically till i drink pedialyte. really i just dont know whats going on</t>
        </is>
      </c>
      <c r="D4445" t="n">
        <v>1</v>
      </c>
      <c r="E4445" t="n">
        <v>11</v>
      </c>
      <c r="F4445">
        <f>HYPERLINK("https://www.reddit.com/r/COVID19positive/comments/iabmps/doctor_says_allergies_but_how_did_i_give_my_mom/")</f>
        <v/>
      </c>
      <c r="G4445" t="inlineStr">
        <is>
          <t>2020-08-15 10:35:42</t>
        </is>
      </c>
      <c r="H4445" t="inlineStr">
        <is>
          <t>Presumed Positive - From Doctor</t>
        </is>
      </c>
    </row>
    <row r="4446">
      <c r="A4446" t="inlineStr">
        <is>
          <t>iaburc</t>
        </is>
      </c>
      <c r="B4446" t="inlineStr">
        <is>
          <t>Is CRP 84 mg/L COVID?</t>
        </is>
      </c>
      <c r="C4446" t="inlineStr">
        <is>
          <t>My mom had a bit of a fever this morning and she just got the results for the CRP test and it says it’s quite high. Is that necessarily COVID?</t>
        </is>
      </c>
      <c r="D4446" t="n">
        <v>1</v>
      </c>
      <c r="E4446" t="n">
        <v>4</v>
      </c>
      <c r="F4446">
        <f>HYPERLINK("https://www.reddit.com/r/COVID19positive/comments/iaburc/is_crp_84_mgl_covid/")</f>
        <v/>
      </c>
      <c r="G4446" t="inlineStr">
        <is>
          <t>2020-08-15 10:47:48</t>
        </is>
      </c>
      <c r="H4446" t="inlineStr">
        <is>
          <t>Presumed Positive - From Test</t>
        </is>
      </c>
    </row>
    <row r="4447">
      <c r="A4447" t="inlineStr">
        <is>
          <t>iad6ds</t>
        </is>
      </c>
      <c r="B4447" t="inlineStr">
        <is>
          <t>11th day from the first symptoms</t>
        </is>
      </c>
      <c r="C4447" t="inlineStr">
        <is>
          <t>I'm at the 11th day now, amd pretty much scared that i might have to face a third phase, with cytokine storm.  
&amp;amp;#x200B;
I feel the same right now, and my spo2 seems a little better, it was averaging 93-94 and i have around 95-96 now.  
&amp;amp;#x200B;
Am I getting better? Can this be a misleading sign?</t>
        </is>
      </c>
      <c r="D4447" t="n">
        <v>1</v>
      </c>
      <c r="E4447" t="n">
        <v>9</v>
      </c>
      <c r="F4447">
        <f>HYPERLINK("https://www.reddit.com/r/COVID19positive/comments/iad6ds/11th_day_from_the_first_symptoms/")</f>
        <v/>
      </c>
      <c r="G4447" t="inlineStr">
        <is>
          <t>2020-08-15 11:58:19</t>
        </is>
      </c>
      <c r="H4447" t="inlineStr">
        <is>
          <t>Tested Positive - Family</t>
        </is>
      </c>
    </row>
    <row r="4448">
      <c r="A4448" t="inlineStr">
        <is>
          <t>iadasp</t>
        </is>
      </c>
      <c r="B4448" t="inlineStr">
        <is>
          <t>feeling exhausted - heart palpitations - mental confusion - i'm very scared</t>
        </is>
      </c>
      <c r="C4448" t="inlineStr">
        <is>
          <t>first of all, sorry for my bad english, i'm from Brazil.
so here is what i'm experiencing for the last 6 days:
in the first days i felt very exhausted and my body was very hot but didn't had fever
having palpitations all the time, feels like heart skipped a beat or beat twice very fast. went to the doctor and he said it's "anxiety".
can't workout anymore, used to workout early morning every single day. last time i went to the gym was 3 days ago and i felt very bad.
can't stand up much or i feel dizzy and my heart rate spikes
also i'm forgetting alot of things and get confused every time doing simple tasks
it's very hard to get tested here. they'll only test you if you're on heavy symptoms. 
doctor prescribed  azithromycin, 500mg  for 5 days.
so this isn't "just a flu" after all. i hope you all get better. if you did not get infected yet, protect yourself and don't let any margin of error because the virus is everywhere.</t>
        </is>
      </c>
      <c r="D4448" t="n">
        <v>1</v>
      </c>
      <c r="E4448" t="n">
        <v>18</v>
      </c>
      <c r="F4448">
        <f>HYPERLINK("https://www.reddit.com/r/COVID19positive/comments/iadasp/feeling_exhausted_heart_palpitations_mental/")</f>
        <v/>
      </c>
      <c r="G4448" t="inlineStr">
        <is>
          <t>2020-08-15 12:04:45</t>
        </is>
      </c>
      <c r="H4448" t="inlineStr">
        <is>
          <t>Presumed Positive - From Doctor</t>
        </is>
      </c>
    </row>
    <row r="4449">
      <c r="A4449" t="inlineStr">
        <is>
          <t>iag1f8</t>
        </is>
      </c>
      <c r="B4449" t="inlineStr">
        <is>
          <t>I don't know what to even think anymore.</t>
        </is>
      </c>
      <c r="C4449" t="inlineStr">
        <is>
          <t>Back in May during the height of the quarantine my wife got pretty sick with what we suspected at the time was Covid.  Once her test came back though it was negative.  She had all of the classic symptoms that started off with a slight cough and sore throat one day that became a fever and general fatigue that knocked her out of commission for a few days.  This was followed by a dry cough for about two weeks and noticeable shortness of breath while doing things like going up the stairs.  We kept track of her o2 levels with a cheap monitor from Amazon and they went down but didn't dip below 94 (she started at 98-99).  During all of this I really didn't have any noticeable symptoms other than a slightly irritated throat and a strange low grade fever (99-100 degrees) that came and went over the course of the week (and the only reason that I really even noticed it was because I was checking my temperature when she did).  I decided not to get tested because the tests were still somewhat hard to come by and I didn't really have any major symptoms outside of feeling a little warm in the face sometimes.  We had pretty much only been leaving the house individually to grab some groceries every couple of weeks at that point in time.  We figured that maybe we were just unlucky and she had caught some other respiratory illness while social distancing during a global pandemic (I had always thought in the back of my head that her test results were inaccurate based on the symptoms though).
Well flash forward to this week and I felt a little warm one night so I took my temperature and noticed that I was running a fever of 100 degrees.  I moved myself into our spare bedroom and then had two solid days of a pretty good fever and chills all while feeling like I had been run over by a truck.  By the third day I was feeling somewhat back to normal, just a little bit tired and worn down.  While this was all going on I learned that some people I had played hockey with the weekend before were starting to show symptoms as well and tested positive (in hindsight it was pretty dumb of me to be playing a team sport right now but I figured there was a somewhat decent chance that I had already had it and justified it in my head because I was back to work anyways and faced daily exposure there).
So today I finally get my test results back and they show up as... negative.
Basically, I'm just super confused at this point.  Given my recent known exposure and symptoms I'm almost 100% sure it's a false negative this time (but who really knows I guess).  So far my wife luckily hasn't shown any symptoms yet this round (I've been staying away from her but it isn't like we are living on separate wings of a mansion).  Is it possible that I had such a mild case the first time that I either didn't produce any antibodies to prevent a future infection or lost them over time?  It is almost like my body knew about the virus already but couldn't stop the initial infection and once things got going I was able to bounce back somewhat quickly?  Maybe that prevented me from having a positive test result?  I haven't had any breathing issues or cough yet and feel pretty much back to normal already thankfully.  I've also been running myself down from working 12+ hour days for the last couple of weeks so maybe that left me more susceptible?
Such a strange virus with more questions than answers at this point.  I'm almost hopeful that it was something completely different from Covid because it doesn't look good for long term immunity otherwise and we aren't getting rid of this thing anytime soon.  I'm trying to convince my wife to go and get an antibody test once we are through this round of isolation but she doesn't like needles (and it sounds like those are even less accurate than the diagnostic tests).
This got longer than I intended but wanted to share my experience since reading about everyone else has helped me.  Stay safe out there everyone and healing vibes to those still battling.</t>
        </is>
      </c>
      <c r="D4449" t="n">
        <v>1</v>
      </c>
      <c r="E4449" t="n">
        <v>8</v>
      </c>
      <c r="F4449">
        <f>HYPERLINK("https://www.reddit.com/r/COVID19positive/comments/iag1f8/i_dont_know_what_to_even_think_anymore/")</f>
        <v/>
      </c>
      <c r="G4449" t="inlineStr">
        <is>
          <t>2020-08-15 14:40:19</t>
        </is>
      </c>
      <c r="H4449" t="inlineStr">
        <is>
          <t>Presumed Positive - From Test</t>
        </is>
      </c>
    </row>
    <row r="4450">
      <c r="A4450" t="inlineStr">
        <is>
          <t>iah1fp</t>
        </is>
      </c>
      <c r="B4450" t="inlineStr">
        <is>
          <t>Presumed to have COVID in March, but just now getting heart palpitations?</t>
        </is>
      </c>
      <c r="C4450" t="inlineStr">
        <is>
          <t>I am a healthy 28 year old male suspected to have had COVID in mid March, but the testing criteria in my area did not allow me to get a test at the time. I had the typical symptoms: fatigue, chills, trouble breathing, but it wasn't too serious. All of my symptoms went away in a couple weeks.
Fast forward 5 months, and I am very suddenly having frequent, sometimes jarring, heart palpitations. I can almost always feel my heart beating in my chest. I frequently feel a "fluttering" feeling along with a sensation similar to when you go down a sudden drop on a roller coaster. It's very unsettling. My heart rate and blood pressure have remained mostly normal.
What are the chances this is COVID related? Has anyone else here experienced something similar? Any advice or next steps?</t>
        </is>
      </c>
      <c r="D4450" t="n">
        <v>1</v>
      </c>
      <c r="E4450" t="n">
        <v>14</v>
      </c>
      <c r="F4450">
        <f>HYPERLINK("https://www.reddit.com/r/COVID19positive/comments/iah1fp/presumed_to_have_covid_in_march_but_just_now/")</f>
        <v/>
      </c>
      <c r="G4450" t="inlineStr">
        <is>
          <t>2020-08-15 15:39:21</t>
        </is>
      </c>
      <c r="H4450" t="inlineStr">
        <is>
          <t>Presumed Positive - From Doctor</t>
        </is>
      </c>
    </row>
    <row r="4451">
      <c r="A4451" t="inlineStr">
        <is>
          <t>iah42z</t>
        </is>
      </c>
      <c r="B4451" t="inlineStr">
        <is>
          <t>Husband and I have COVID. His test came back positive, assuming I'm positive too.</t>
        </is>
      </c>
      <c r="C4451" t="inlineStr">
        <is>
          <t>My husband got tested, I wasn't showing symptoms at that point. His test came back positive, I now have the same symptoms as him. 
We have been sleeping a lot. Like 14-16 hour long sleeps with 4-5 hour naps too. 
He hasn't been able to eat much, I'm still hungry lots though.
Mostly lack of energy (going up and down the stairs tires me out insanely) and stuffy nose. Lack of smell/taste.
The first night was pretty shit, when I found out he tested positive which i think triggered some anxiety and therefore some irregular breathing. Also, phantom smells. 
He's on the better end of it now, I'm just near the beginning.
I have an international flight in 2.5 weeks so will need a negative test result or I won't be going anywhere!</t>
        </is>
      </c>
      <c r="D4451" t="n">
        <v>1</v>
      </c>
      <c r="E4451" t="n">
        <v>4</v>
      </c>
      <c r="F4451">
        <f>HYPERLINK("https://www.reddit.com/r/COVID19positive/comments/iah42z/husband_and_i_have_covid_his_test_came_back/")</f>
        <v/>
      </c>
      <c r="G4451" t="inlineStr">
        <is>
          <t>2020-08-15 15:43:51</t>
        </is>
      </c>
      <c r="H4451" t="inlineStr">
        <is>
          <t>Tested Positive</t>
        </is>
      </c>
    </row>
    <row r="4452">
      <c r="A4452" t="inlineStr">
        <is>
          <t>iahdve</t>
        </is>
      </c>
      <c r="B4452" t="inlineStr">
        <is>
          <t>Help! Symptoms coming back</t>
        </is>
      </c>
      <c r="C4452" t="inlineStr">
        <is>
          <t>Originally tested positive July 21st. Been home and off work since. Seemed to have recovered about 95%. Retested because I need a negative test to return to work. Got a negative result on Thursday 8/13 but today woke with temp at 98.9 and currently (3:55pm) 100.5. I’ve got ice packs on me. Yesterday my lower back started hurting and all of a sudden I’m coughing again and nausea. Could this be a relapse? I’m so scared. I don’t want to go through this again. I’ve got to tell work I’m negative but with the return of symptoms I’m afraid they’re going to think I’m lying. Idk that might just be in my head. Help!</t>
        </is>
      </c>
      <c r="D4452" t="n">
        <v>1</v>
      </c>
      <c r="E4452" t="n">
        <v>44</v>
      </c>
      <c r="F4452">
        <f>HYPERLINK("https://www.reddit.com/r/COVID19positive/comments/iahdve/help_symptoms_coming_back/")</f>
        <v/>
      </c>
      <c r="G4452" t="inlineStr">
        <is>
          <t>2020-08-15 16:00:37</t>
        </is>
      </c>
      <c r="H4452" t="inlineStr">
        <is>
          <t>Tested Positive - Me</t>
        </is>
      </c>
    </row>
    <row r="4453">
      <c r="A4453" t="inlineStr">
        <is>
          <t>iahvzt</t>
        </is>
      </c>
      <c r="B4453" t="inlineStr">
        <is>
          <t>Got Covid in April, still having lingering taste/smell issues - what can I do?</t>
        </is>
      </c>
      <c r="C4453" t="inlineStr">
        <is>
          <t>I got SARS-CoV-2 around April and am cured now. I lost my sense of taste/smell for a while, but then it came back (kinda). I'm left with a few issues after recovery: my sense of smell has been greatly reduced. My mucus has become chronically watery in texture and I always feel the constant presence of it in the back of my throat now. 
I also have developed a weird taste problem. For example, particular foods (like chicken) taste odd -- I don't know what kind of taste it is either, it's just subtly unpleasant, yet bearable enough when I'm hungry. The only consolation is that sweet drinks/candies taste fine, though a lot of the finer qualities of the taste are reduced. In fact, I used to be really sensitive to taste but now I need to add a ton of salt to everything. I eat less now. In fact, I feel like it's easier to resist eating now since foods don't taste great enough to make up for the inconvenience.
Young people like me can get away from the worst of this virus, but it seems it will change our bodies in some way even if doesn't kill us. This sucks.</t>
        </is>
      </c>
      <c r="D4453" t="n">
        <v>1</v>
      </c>
      <c r="E4453" t="n">
        <v>11</v>
      </c>
      <c r="F4453">
        <f>HYPERLINK("https://www.reddit.com/r/COVID19positive/comments/iahvzt/got_covid_in_april_still_having_lingering/")</f>
        <v/>
      </c>
      <c r="G4453" t="inlineStr">
        <is>
          <t>2020-08-15 16:31:43</t>
        </is>
      </c>
      <c r="H4453" t="inlineStr">
        <is>
          <t>Tested Positive - Family</t>
        </is>
      </c>
    </row>
    <row r="4454">
      <c r="A4454" t="inlineStr">
        <is>
          <t>iair7j</t>
        </is>
      </c>
      <c r="B4454" t="inlineStr">
        <is>
          <t>Presumed reinfection accounts?</t>
        </is>
      </c>
      <c r="C4454" t="inlineStr">
        <is>
          <t>Can you post your presumed reinfection accounts please</t>
        </is>
      </c>
      <c r="D4454" t="n">
        <v>1</v>
      </c>
      <c r="E4454" t="n">
        <v>3</v>
      </c>
      <c r="F4454">
        <f>HYPERLINK("https://www.reddit.com/r/COVID19positive/comments/iair7j/presumed_reinfection_accounts/")</f>
        <v/>
      </c>
      <c r="G4454" t="inlineStr">
        <is>
          <t>2020-08-15 17:26:01</t>
        </is>
      </c>
      <c r="H4454" t="inlineStr">
        <is>
          <t>Tested Positive</t>
        </is>
      </c>
    </row>
    <row r="4455">
      <c r="A4455" t="inlineStr">
        <is>
          <t>iaj10g</t>
        </is>
      </c>
      <c r="B4455" t="inlineStr">
        <is>
          <t>Mental fog</t>
        </is>
      </c>
      <c r="C4455" t="inlineStr">
        <is>
          <t>I started showing symptoms only a few days ago when I had a spike in my temperature(~101°F)... then the severe headaches came in. Luckily those symptoms only lasted about 2 days, but then the mental fog set in. I noticed this when I started “getting better” and was playing video games that I sucked really bad compared to before the symptoms. I was consistently last place. Eventually I had to stop out of frustration, but clearly something was wrong. I knew I was still somehow sick.
As weird as it may sound, the mental fog is actually quite a familiar feeling. I was concussed when I was in middle school and had extreme trouble remembering where my next class was so I was sent home. With COVID-19 I have a familiar sensation of cognitive decline. Luckily, the mental fog isn’t there all the time. It shows up without warning and goes away if I sleep, but there’s only so much sleep that I can handle. There are times when I just sit there and stare at the ceiling with absolutely zero thoughts running through my head and that takes up about an hour of my day until I notice. It’s terrifying to me that there isn’t much info on how the virus interacts with the brain. I just want to know when and if I’ll be back to 100%. I’m in my 20’s and I statistically wasn’t supposed to show symptoms whatsoever and yet here I am with a semi-functioning brain.</t>
        </is>
      </c>
      <c r="D4455" t="n">
        <v>1</v>
      </c>
      <c r="E4455" t="n">
        <v>15</v>
      </c>
      <c r="F4455">
        <f>HYPERLINK("https://www.reddit.com/r/COVID19positive/comments/iaj10g/mental_fog/")</f>
        <v/>
      </c>
      <c r="G4455" t="inlineStr">
        <is>
          <t>2020-08-15 17:43:31</t>
        </is>
      </c>
      <c r="H4455" t="inlineStr">
        <is>
          <t>Presumed Positive - From Doctor</t>
        </is>
      </c>
    </row>
    <row r="4456">
      <c r="A4456" t="inlineStr">
        <is>
          <t>iaj5yx</t>
        </is>
      </c>
      <c r="B4456" t="inlineStr">
        <is>
          <t>Direct exposure, all the symptoms, but tested negative</t>
        </is>
      </c>
      <c r="C4456" t="inlineStr">
        <is>
          <t>Hi, 
So yesterday, I started getting this dry cough and started to generally not feel well, and that concerned me. Later into the night, I was coughing more, had a hard time breathing and a tightness in my chest. It felt worse when I laid down.
This morning, I woke up feeling the same, if not worse. I went to an urgent care who gave me an immediate covid test. I thought I would get the results in 24-48 hours but she goes "oh no, wait here and we'll have an answer for you in 15-20 minutes". 
45 minutes later... Results came back negative. 
The doctor said given my exposure and symptoms (accute fever, cough, difficulty breathing, chest pain, muscle aches) he's said to treat this as a "presumed positive" as it's possible that it was a"false negative" because those particular COVID tests are only 80% accurate, or it may have been too early to get an accurate test.
Now I don't know what to believe, or what to do. I feel like dogshit. Help please 😔</t>
        </is>
      </c>
      <c r="D4456" t="n">
        <v>1</v>
      </c>
      <c r="E4456" t="n">
        <v>2</v>
      </c>
      <c r="F4456">
        <f>HYPERLINK("https://www.reddit.com/r/COVID19positive/comments/iaj5yx/direct_exposure_all_the_symptoms_but_tested/")</f>
        <v/>
      </c>
      <c r="G4456" t="inlineStr">
        <is>
          <t>2020-08-15 17:52:40</t>
        </is>
      </c>
      <c r="H4456" t="inlineStr">
        <is>
          <t>Presumed Positive - From Doctor</t>
        </is>
      </c>
    </row>
    <row r="4457">
      <c r="A4457" t="inlineStr">
        <is>
          <t>iajiwj</t>
        </is>
      </c>
      <c r="B4457" t="inlineStr">
        <is>
          <t>Things that make you laugh - COVID POSITIVE</t>
        </is>
      </c>
      <c r="C4457" t="inlineStr">
        <is>
          <t>1) Announcing your family’s positive results by text to your best friend and finding out you sent it to a random acquaintance by mistake
2) Watching your dumbass 17 year old son who infected you, refuse to get out of his car and talk to you, because he’s worried about being exposed to the virus.</t>
        </is>
      </c>
      <c r="D4457" t="n">
        <v>1</v>
      </c>
      <c r="E4457" t="n">
        <v>22</v>
      </c>
      <c r="F4457">
        <f>HYPERLINK("https://www.reddit.com/r/COVID19positive/comments/iajiwj/things_that_make_you_laugh_covid_positive/")</f>
        <v/>
      </c>
      <c r="G4457" t="inlineStr">
        <is>
          <t>2020-08-15 18:16:04</t>
        </is>
      </c>
      <c r="H4457" t="inlineStr">
        <is>
          <t>Tested Positive - Me</t>
        </is>
      </c>
    </row>
    <row r="4458">
      <c r="A4458" t="inlineStr">
        <is>
          <t>iajtt9</t>
        </is>
      </c>
      <c r="B4458" t="inlineStr">
        <is>
          <t>Tested positive with mild symptoms, just got cleared, really anxious about going back to school</t>
        </is>
      </c>
      <c r="C4458" t="inlineStr">
        <is>
          <t>A couple days in of moving into my new place with my roommates, I got a runny nose and sore throat. I thought maybe it was because of all the dust and dirt in the new house, and all my roommates weren't taking it seriously and kept reassuring me it was just a cold. The next day I completely loss my taste and smell and knew something was up. This is my first year in college and being on my own so I freaked out and immediately called my mom, who is a nurse, and she drove me back home to get tested. Test result was positive. I recovered really fast though, and on my 3rd day in isolation i regained my sense of smell and taste. I know I'm really lucky, but my mental health has seriously deteriorated, i'm so anxious about going back and possibly reinfecting others, and I can't help but read all these stories about the covid long haulers and symptoms reappearing, making it worse for myself. 
I can't really tell people in my life about how i'm feeling because I'm the first person to get it out of all my friends in family, and for most of them I'm the only person they know that has tested positive.  I feel very alienated and guilty, even though I did everything right. I get that I'm young and it may seem like to others that  I was being reckless, but I wasn't.  It's scary to think about how many people around my age may have it, because they're still going out and not being careful, but since their symptoms are probably mild they think it's just a cold like I did. My mom has been very understanding and helpful, but my dad and I got into a screaming match the other day because my mom and I were talking about me going back after 10 days of isolation (per the cdc, my doctor, and my school's nurse). My dad came into my room telling me that i put everyone at risk, that i was being irresponsible, and that I would have to quarantine for another 7 days to make sure I don't infect anyone. I told him that I was just going by what both the school nurse and doctor told me, and the CDC guidelines. He said he didn't care, and i asked, "are you a doctor?" unfortunately he said yes because he has a PHD, to which I rephrased "are you a medical doctor" and he told me to shut up and went back to saying that I'm irresponsible and stupid. 
i can't stop thinking about his words even though it happened 2 nights ago. I don't even know where i'm going with this, I'm just venting at this point, and I doubt anyone has read this far into my sob-story. I keep trying to reassure myself that because I had never even developed a cough or fever and feel fine, that I'm one of the lucky ones. But there's always the "what if" that creeps back into my mind. I'm really terrified that I'll infect someone, but a part of me wants to go back to school on time and take my 1 in person class to feel normal again. When I asked the nurse about my chances of being infectious, she said that in my situation "there's no evidence to back that up", meaning there's currently no evidence to back that I am infectious right now. 
I guess what I'm looking for is some insight from people who feel the same way that I do, were in a similar situation, or just some advice and words of comfort. I really wish I could talk to my friends but I feel so ashamed. I've been telling myself, "how can you be mad at someone for getting coronavirus during a coronavirus pandemic!" to feel better, but it hasn't been working</t>
        </is>
      </c>
      <c r="D4458" t="n">
        <v>1</v>
      </c>
      <c r="E4458" t="n">
        <v>8</v>
      </c>
      <c r="F4458">
        <f>HYPERLINK("https://www.reddit.com/r/COVID19positive/comments/iajtt9/tested_positive_with_mild_symptoms_just_got/")</f>
        <v/>
      </c>
      <c r="G4458" t="inlineStr">
        <is>
          <t>2020-08-15 18:36:23</t>
        </is>
      </c>
      <c r="H4458" t="inlineStr">
        <is>
          <t>Tested Positive - Me</t>
        </is>
      </c>
    </row>
    <row r="4459">
      <c r="A4459" t="inlineStr">
        <is>
          <t>iakf7p</t>
        </is>
      </c>
      <c r="B4459" t="inlineStr">
        <is>
          <t>Allergic reaction for weeks?</t>
        </is>
      </c>
      <c r="C4459" t="inlineStr">
        <is>
          <t>23 Year old male, no prior health issues. Think I may have had COVID in March, wasn't tested.
I've had severe hives paired with bloodshot eyes, and a tight, itchy throat (sort of feels swollen?) for the past 3-4 weeks.
I've been tested for COVID twice in the past 2 weeks -- negative both times, as well as a full viral panel which I tested negative for everything else (strep, mono, HIV, lymes, etc.) I'm currently waiting on my allergy tests results, but have never had allergy issues in the past. The hives and swollen throat feeling definitely seem to be worse at night for some reason. I've been monitoring my o2 as it's consistently been in the 96-98 range.
I was given prednisone for four days but it didn't seem to do anything, also z-pack to deal with any potential bacterial infection. For the past few days I've been taking Flonase in the AM and Zyrtec in PM, to not much effect.
Doesn't help that my anxiety kicks in when the symptoms get intense! Anyone else experiencing anything similar?</t>
        </is>
      </c>
      <c r="D4459" t="n">
        <v>1</v>
      </c>
      <c r="E4459" t="n">
        <v>2</v>
      </c>
      <c r="F4459">
        <f>HYPERLINK("https://www.reddit.com/r/COVID19positive/comments/iakf7p/allergic_reaction_for_weeks/")</f>
        <v/>
      </c>
      <c r="G4459" t="inlineStr">
        <is>
          <t>2020-08-15 19:16:54</t>
        </is>
      </c>
      <c r="H4459" t="inlineStr">
        <is>
          <t>Presumed Positive - From Test</t>
        </is>
      </c>
    </row>
    <row r="4460">
      <c r="A4460" t="inlineStr">
        <is>
          <t>iakn00</t>
        </is>
      </c>
      <c r="B4460" t="inlineStr">
        <is>
          <t>These symptoms are playing games 😒</t>
        </is>
      </c>
      <c r="C4460" t="inlineStr">
        <is>
          <t>For two days I had upper back pain and now I only have lower/middle back pain/aches. This virus is taunting us</t>
        </is>
      </c>
      <c r="D4460" t="n">
        <v>1</v>
      </c>
      <c r="E4460" t="n">
        <v>5</v>
      </c>
      <c r="F4460">
        <f>HYPERLINK("https://www.reddit.com/r/COVID19positive/comments/iakn00/these_symptoms_are_playing_games/")</f>
        <v/>
      </c>
      <c r="G4460" t="inlineStr">
        <is>
          <t>2020-08-15 19:31:27</t>
        </is>
      </c>
      <c r="H4460" t="inlineStr">
        <is>
          <t>Tested Positive - Me</t>
        </is>
      </c>
    </row>
    <row r="4461">
      <c r="A4461" t="inlineStr">
        <is>
          <t>iala0r</t>
        </is>
      </c>
      <c r="B4461" t="inlineStr">
        <is>
          <t>Sister tested positive. Whole family and sister’s partner tested negative. We all live together.</t>
        </is>
      </c>
      <c r="C4461" t="inlineStr">
        <is>
          <t>My sister tested positive a week ago. After we found out she had covid, she self isolated. We all got tested and no one in my family + her partner (whom she slept beside everyday and kissed and whatnot) tested positive. We all live in the same house and barely go out (except for essentials like food and stuff). We don’t know where she might’ve gotten it from. We thought it might’ve been a false positive or maybe a mistake in the lab so she got tested again and tested positive. How are we all negative and she’s positive, especially her partner? Are we all just immune?</t>
        </is>
      </c>
      <c r="D4461" t="n">
        <v>1</v>
      </c>
      <c r="E4461" t="n">
        <v>6</v>
      </c>
      <c r="F4461">
        <f>HYPERLINK("https://www.reddit.com/r/COVID19positive/comments/iala0r/sister_tested_positive_whole_family_and_sisters/")</f>
        <v/>
      </c>
      <c r="G4461" t="inlineStr">
        <is>
          <t>2020-08-15 20:16:43</t>
        </is>
      </c>
      <c r="H4461" t="inlineStr">
        <is>
          <t>Tested Positive - Family</t>
        </is>
      </c>
    </row>
    <row r="4462">
      <c r="A4462" t="inlineStr">
        <is>
          <t>ialba6</t>
        </is>
      </c>
      <c r="B4462" t="inlineStr">
        <is>
          <t>Bizarre leg numbness and burning?</t>
        </is>
      </c>
      <c r="C4462" t="inlineStr">
        <is>
          <t>Hello! My wife contracted covid somehow end of July (rarely leaves the house, masks when she does) about a week before I did. It’s hit her hard (extreme fatigue, horrible back pain, pain behind the eyes, deep chest cough). She is still not on the mend. 
Anyway, My test came back negative - though I presumed myself positive and have been at home with her the whole time. 
I’ve been ok. Except starting last night (aug 14) my chest starting BURNING like I ate the sun. Some slight pressure but not horrible. And as of about 30 minutes ago, my legs have gone numb from my knees down. Feet are tingling. 
I am full on about to have a panic attack since our symptoms are so different. I’ve not met anyone else with the burning or numbness I’m feeling. Is anyone else experiencing similar issues??
Ps, sending you all love and wishing you a speedy recovery.</t>
        </is>
      </c>
      <c r="D4462" t="n">
        <v>1</v>
      </c>
      <c r="E4462" t="n">
        <v>25</v>
      </c>
      <c r="F4462">
        <f>HYPERLINK("https://www.reddit.com/r/COVID19positive/comments/ialba6/bizarre_leg_numbness_and_burning/")</f>
        <v/>
      </c>
      <c r="G4462" t="inlineStr">
        <is>
          <t>2020-08-15 20:19:17</t>
        </is>
      </c>
      <c r="H4462" t="inlineStr">
        <is>
          <t>Presumed Positive - From Test</t>
        </is>
      </c>
    </row>
    <row r="4463">
      <c r="A4463" t="inlineStr">
        <is>
          <t>iaotdh</t>
        </is>
      </c>
      <c r="B4463" t="inlineStr">
        <is>
          <t>Covid and travelling - Am I overly worrying?</t>
        </is>
      </c>
      <c r="C4463" t="inlineStr">
        <is>
          <t>Hi all, thanks for all the support from this group.  It has been a huge emotional help since I got sick, and I've been isolating with lingering symptoms for so long, I don't really know what it's really like out there.
My sister texted me today saying she is going to a airbnb to the beach and needs us to watch her dog for a few days.  She promises it is a private beach and there won't be anyone around.
I'm dealing with long-term symptoms from a case back in march and have good and bad days with breathing and fatigue, but I've also been almost completely quarantined since I got sick months ago.  I've been really worried about this illness, long-term complications, and immunity, and I also live with my elderly dad in his 70s, who may or may not have had an asymptomatic case when I got sick.  My sister never believed I was sick and thought it was all nerves/anxiety, and doesn't believe I have long-term symptoms or any kind of complications.  Most people who recover have been able to get back to their normal routine, so it's hard for some people to digest it.
I really don't feel comfortable with her traveling during a pandemic, and I also don't feel comfortable with myself or my dad leaving the house to walk her dog every day, and potentially running into people who don't believe in using masks and get me re-exposed, or carry the virus back to my dad.  I'm also worried she might pick something up when she goes there and bring it back to us when she comes to get the dog.
I really want to try to talk her out of doing this, but I don't know if it is worth potentially causing a fight.
Typing this up made me feel ridiculous for how much I am worrying about it, but I've also been very careful through this disease to self-isolate and avoid potential re-infection.  The news and increased infection rates have gotten me really scared, so I don't know what to think.</t>
        </is>
      </c>
      <c r="D4463" t="n">
        <v>1</v>
      </c>
      <c r="E4463" t="n">
        <v>3</v>
      </c>
      <c r="F4463">
        <f>HYPERLINK("https://www.reddit.com/r/COVID19positive/comments/iaotdh/covid_and_travelling_am_i_overly_worrying/")</f>
        <v/>
      </c>
      <c r="G4463" t="inlineStr">
        <is>
          <t>2020-08-16 01:20:36</t>
        </is>
      </c>
      <c r="H4463" t="inlineStr">
        <is>
          <t>Tested Positive - Me</t>
        </is>
      </c>
    </row>
    <row r="4464">
      <c r="A4464" t="inlineStr">
        <is>
          <t>iap8bk</t>
        </is>
      </c>
      <c r="B4464" t="inlineStr">
        <is>
          <t>My 88-year-old dad is positive. Extreme fatigue, nausea and loss of taste and smell. What can I expect?</t>
        </is>
      </c>
      <c r="C4464" t="inlineStr">
        <is>
          <t>My 88-year-old dad, who loves life even though he is aged care, has tested positive. His symptoms are extreme fatigue, loss of taste and smell, nausea, and one bout of vomiting the first night. It’s been four days with those symptoms.  No cough or temp. What can I expect? When does the coughing and temp set in? If you get the nausea/vomit symptoms do you usually get the SOB symptoms? I’m told 2 out of 3 in nursing homes survive (in Australia). The anxiety in me wants to try and work out what to expect and what other people’s experiences have been.</t>
        </is>
      </c>
      <c r="D4464" t="n">
        <v>1</v>
      </c>
      <c r="E4464" t="n">
        <v>10</v>
      </c>
      <c r="F4464">
        <f>HYPERLINK("https://www.reddit.com/r/COVID19positive/comments/iap8bk/my_88yearold_dad_is_positive_extreme_fatigue/")</f>
        <v/>
      </c>
      <c r="G4464" t="inlineStr">
        <is>
          <t>2020-08-16 02:02:42</t>
        </is>
      </c>
      <c r="H4464" t="inlineStr">
        <is>
          <t>Tested Positive - Family</t>
        </is>
      </c>
    </row>
    <row r="4465">
      <c r="A4465" t="inlineStr">
        <is>
          <t>iappwx</t>
        </is>
      </c>
      <c r="B4465" t="inlineStr">
        <is>
          <t>Fuck my boss</t>
        </is>
      </c>
      <c r="C4465" t="inlineStr">
        <is>
          <t>Backstory: I work retail and generally do to how I work (mostly with suits and in a small area) social distancing is hard however I've tried my best and obviously always wear a mask. My boss knows this and despite this when I came into contact with an infected person at dinner (they found out the next day) he insisted I still return to work. Obviously I said I am isolating and that my college has told me I HAVE to get tested before theyll let me do anything else with regards to school. I got a test done and then called my boss letting him know I would be into work as I am waiting for test results he proceeded to argue with me that I needed to come into work and since it's "all around us anyway" i probably am not even infected. I didn't listen as by the time my results came in yesterday the store was closed. Later today when the store opens I'm calling to tell him I am glad I didnt listen to him.</t>
        </is>
      </c>
      <c r="D4465" t="n">
        <v>1</v>
      </c>
      <c r="E4465" t="n">
        <v>20</v>
      </c>
      <c r="F4465">
        <f>HYPERLINK("https://www.reddit.com/r/COVID19positive/comments/iappwx/fuck_my_boss/")</f>
        <v/>
      </c>
      <c r="G4465" t="inlineStr">
        <is>
          <t>2020-08-16 02:49:16</t>
        </is>
      </c>
      <c r="H4465" t="inlineStr">
        <is>
          <t>Tested Positive - Me</t>
        </is>
      </c>
    </row>
    <row r="4466">
      <c r="A4466" t="inlineStr">
        <is>
          <t>iapy7r</t>
        </is>
      </c>
      <c r="B4466" t="inlineStr">
        <is>
          <t>Fever not breaking</t>
        </is>
      </c>
      <c r="C4466" t="inlineStr">
        <is>
          <t>Hi all, 
Anyone with a non-breaking fever? I have a relative whose fever is not breaking and ranges between 99.2 F to 100 F throughout the day. She was tested positive initially but after a month, was tested for antibodies (igg) which were 5+. It's been almost 2.5 months. She has reoccurring cough every 2-3 days (takes 2-3 hours for cough to settle down). Her oxygen saturation is always 97-98. All her tests are normal except ESR which is 3 4 points above the normal range and her xray is normal too.
Can anyone explain the reason or facing something similar?
Thanks.</t>
        </is>
      </c>
      <c r="D4466" t="n">
        <v>1</v>
      </c>
      <c r="E4466" t="n">
        <v>9</v>
      </c>
      <c r="F4466">
        <f>HYPERLINK("https://www.reddit.com/r/COVID19positive/comments/iapy7r/fever_not_breaking/")</f>
        <v/>
      </c>
      <c r="G4466" t="inlineStr">
        <is>
          <t>2020-08-16 03:10:52</t>
        </is>
      </c>
      <c r="H4466" t="inlineStr">
        <is>
          <t>Tested Positive - Family</t>
        </is>
      </c>
    </row>
    <row r="4467">
      <c r="A4467" t="inlineStr">
        <is>
          <t>iarsk3</t>
        </is>
      </c>
      <c r="B4467" t="inlineStr">
        <is>
          <t>Full circle completed and I feel great!</t>
        </is>
      </c>
      <c r="C4467" t="inlineStr">
        <is>
          <t>Day 1, fever 38 C, no worries. Isolating, why take risk?
Day 3, fever is coming back. Is this it? Weakness, shingles... Boss agrees and I start working from home.
Day 6, wife has mild muscle aches and loss of taste.
Day 8, antibody test negative, awaiting results from PCR test. Wife is asymptomatic again.
Day 11, PCR test came back POSITIVE. Fck.
Day 13, fever subsides, feeling very weak.
Day 20, slightly better, occasional shingle here and there...
Day 34, felling good, another PCR test.
Day 36, PCR test POSITIVE again. All symptoms came rushing back. Long haul?
Day 40, I feel great but isolation is getting heavier than before.
Day 45, another PCR.
Day 46, PCR test came NEGATIVE. Hooray!
Day 47, applied for plasma donation.
Day 52, plasma appointment scheduled.
Day 64, antibody tests are great, I'm good to go.
Day 65, donated plasma, feeling a little dizzy and at the same time feeling great. I can have another go in two weeks...
&amp;amp;#x200B;
Keep your spirits high, we are going to win this.</t>
        </is>
      </c>
      <c r="D4467" t="n">
        <v>1</v>
      </c>
      <c r="E4467" t="n">
        <v>41</v>
      </c>
      <c r="F4467">
        <f>HYPERLINK("https://www.reddit.com/r/COVID19positive/comments/iarsk3/full_circle_completed_and_i_feel_great/")</f>
        <v/>
      </c>
      <c r="G4467" t="inlineStr">
        <is>
          <t>2020-08-16 05:49:11</t>
        </is>
      </c>
      <c r="H4467" t="inlineStr">
        <is>
          <t>Tested Positive - Me</t>
        </is>
      </c>
    </row>
    <row r="4468">
      <c r="A4468" t="inlineStr">
        <is>
          <t>iasung</t>
        </is>
      </c>
      <c r="B4468" t="inlineStr">
        <is>
          <t>What’re the real chances of having a heart attack from this.</t>
        </is>
      </c>
      <c r="C4468" t="inlineStr">
        <is>
          <t>I’m a 24 year old female who is on day 12. I’m a nurse who is supposed to return to work this week. I have exhausted all time off as this is a new job but am trying to get more. I am so tired and sleepy all day, I have tight chest with intermittent pain, and my heart rate is 72 when sleeping, 90 when awake and sitting up, and 130 walking around. My friends boyfriend died in his sleep due to this and had no symptoms. I am having a hard time living with that fact thinking it could happen to me.....I’m so scared. Any words of wisdom? Anyone of a similar age have their story?
I want to get some tests run in the near future obviously.</t>
        </is>
      </c>
      <c r="D4468" t="n">
        <v>1</v>
      </c>
      <c r="E4468" t="n">
        <v>19</v>
      </c>
      <c r="F4468">
        <f>HYPERLINK("https://www.reddit.com/r/COVID19positive/comments/iasung/whatre_the_real_chances_of_having_a_heart_attack/")</f>
        <v/>
      </c>
      <c r="G4468" t="inlineStr">
        <is>
          <t>2020-08-16 07:04:03</t>
        </is>
      </c>
      <c r="H4468" t="inlineStr">
        <is>
          <t>Tested Positive - Me</t>
        </is>
      </c>
    </row>
    <row r="4469">
      <c r="A4469" t="inlineStr">
        <is>
          <t>iasvj7</t>
        </is>
      </c>
      <c r="B4469" t="inlineStr">
        <is>
          <t>Is being 50 plus Covid infected with Diabetes and Hypertension basically a death sentence?</t>
        </is>
      </c>
      <c r="C4469" t="inlineStr">
        <is>
          <t>My Dad tested positive. Its Day 3 of symptoms which are mild so far but in our country we have option to get him admitted while mild. So we are not sure what to do. If he is expected to become sever, we rather have him in a hospital where he can receive better care. The flip side is he can get exposes to higher loads in hospital setting so we sometimes think he should not get admitted. It's so difficult to decide when his life is on the line.</t>
        </is>
      </c>
      <c r="D4469" t="n">
        <v>1</v>
      </c>
      <c r="E4469" t="n">
        <v>17</v>
      </c>
      <c r="F4469">
        <f>HYPERLINK("https://www.reddit.com/r/COVID19positive/comments/iasvj7/is_being_50_plus_covid_infected_with_diabetes_and/")</f>
        <v/>
      </c>
      <c r="G4469" t="inlineStr">
        <is>
          <t>2020-08-16 07:05:35</t>
        </is>
      </c>
      <c r="H4469" t="inlineStr">
        <is>
          <t>Tested Positive - Family</t>
        </is>
      </c>
    </row>
    <row r="4470">
      <c r="A4470" t="inlineStr">
        <is>
          <t>iasyyf</t>
        </is>
      </c>
      <c r="B4470" t="inlineStr">
        <is>
          <t>I tested negative a few days after testing positive</t>
        </is>
      </c>
      <c r="C4470" t="inlineStr">
        <is>
          <t>Several days ago, I posted on here venting about testing positive 4 months after already having the virus. A few days after that recent positive covid test result, I tested again to rule out a false positive. Today, I got my result back and tested NEGATIVE. 
&amp;amp;#x200B;
I'm relieved, but I'm still a little skeptical even though I had no real symptoms. False negatives are more common than false positives, so I will try to be more aware if I do develop any symptoms. The only possible symptoms I had felt like seasonal allergies and that's all they probably were.
&amp;amp;#x200B;
&amp;amp;#x200B;
&amp;amp;#x200B;
\*I had to add a flair in order to post this so that was the closest fit</t>
        </is>
      </c>
      <c r="D4470" t="n">
        <v>1</v>
      </c>
      <c r="E4470" t="n">
        <v>2</v>
      </c>
      <c r="F4470">
        <f>HYPERLINK("https://www.reddit.com/r/COVID19positive/comments/iasyyf/i_tested_negative_a_few_days_after_testing/")</f>
        <v/>
      </c>
      <c r="G4470" t="inlineStr">
        <is>
          <t>2020-08-16 07:11:28</t>
        </is>
      </c>
      <c r="H4470" t="inlineStr">
        <is>
          <t>Presumed Positive - From Test</t>
        </is>
      </c>
    </row>
    <row r="4471">
      <c r="A4471" t="inlineStr">
        <is>
          <t>iate4s</t>
        </is>
      </c>
      <c r="B4471" t="inlineStr">
        <is>
          <t>anyone else have fluctuating fever?</t>
        </is>
      </c>
      <c r="C4471" t="inlineStr">
        <is>
          <t>I get my results in later today. The highest my fever has ever been was 103.6. Yesterday it was 98.7, then 99.5, then this morning it was 100.6. This is probably the 5th day. My symptoms now are just sore throat, yellow phlegm, a cough with dull pain in the back of my chest, and a sharp pain in my back but that could be from my job. My headache went away so thats good! I dont have loss of taste or smell either. I just wish the fever would break and go away!</t>
        </is>
      </c>
      <c r="D4471" t="n">
        <v>1</v>
      </c>
      <c r="E4471" t="n">
        <v>9</v>
      </c>
      <c r="F4471">
        <f>HYPERLINK("https://www.reddit.com/r/COVID19positive/comments/iate4s/anyone_else_have_fluctuating_fever/")</f>
        <v/>
      </c>
      <c r="G4471" t="inlineStr">
        <is>
          <t>2020-08-16 07:36:54</t>
        </is>
      </c>
      <c r="H4471" t="inlineStr">
        <is>
          <t>Presumed Positive - From Test</t>
        </is>
      </c>
    </row>
    <row r="4472">
      <c r="A4472" t="inlineStr">
        <is>
          <t>iatpxl</t>
        </is>
      </c>
      <c r="B4472" t="inlineStr">
        <is>
          <t>Has anyone's taste gone back to normal?</t>
        </is>
      </c>
      <c r="C4472" t="inlineStr">
        <is>
          <t>Hi guys, so I was most likely positive around the beginning of May, along with my dad and his fiancée. We all had very mild symptoms, and I was the only one who entirely lost the senses of taste and smell. That lasted for about two weeks, and although it didn't come back 100% it didn't bother me that much. But at the beginning of July food started to taste weird for me, mostly sweet food. It's not unbearable but it definitely is annoying, and I avoid it. I am also the only one to be experiencing this in my family.
My question is, has anyone that has had this weird taste issues recovered from it? Thanks!</t>
        </is>
      </c>
      <c r="D4472" t="n">
        <v>1</v>
      </c>
      <c r="E4472" t="n">
        <v>3</v>
      </c>
      <c r="F4472">
        <f>HYPERLINK("https://www.reddit.com/r/COVID19positive/comments/iatpxl/has_anyones_taste_gone_back_to_normal/")</f>
        <v/>
      </c>
      <c r="G4472" t="inlineStr">
        <is>
          <t>2020-08-16 07:56:20</t>
        </is>
      </c>
      <c r="H4472" t="inlineStr">
        <is>
          <t>Presumed Positive - From Test</t>
        </is>
      </c>
    </row>
    <row r="4473">
      <c r="A4473" t="inlineStr">
        <is>
          <t>iauq3b</t>
        </is>
      </c>
      <c r="B4473" t="inlineStr">
        <is>
          <t>Has anyone been the subject of harassment due to testing positive?</t>
        </is>
      </c>
      <c r="C4473" t="inlineStr">
        <is>
          <t>Someone close to me tested positive despite not having left their house except for a quick errand, always with a mask, always keeping distance, always washing their hands. We still don't know when or how they could have gotten infected. They're asymptomatic and did not at all suspect they could have it. 
After testing positive, their institution promptly alerted those whom with this person had contact these past few days so that they could quarantine and get tested. However, others have been frantically trying to figure out this person's identity, texting them nonstop and going as far as posting on social media that they should reveal themselves or else they're selfish (even though those involved were already contacted). One of the health professionals involved in the testing process actually revealed my friend's identity without their consent so everybody knows who the positive case was.
I understand their concern, but those who might have been exposed where already contacted. This person is under no obligation to reveal their identity if preventive measures were already put in place without the need to disclose personal information. It just makes a stressful situation even more tense. 
Has anyone experienced anything like this in their workplace/school?</t>
        </is>
      </c>
      <c r="D4473" t="n">
        <v>1</v>
      </c>
      <c r="E4473" t="n">
        <v>18</v>
      </c>
      <c r="F4473">
        <f>HYPERLINK("https://www.reddit.com/r/COVID19positive/comments/iauq3b/has_anyone_been_the_subject_of_harassment_due_to/")</f>
        <v/>
      </c>
      <c r="G4473" t="inlineStr">
        <is>
          <t>2020-08-16 08:55:44</t>
        </is>
      </c>
      <c r="H4473" t="inlineStr">
        <is>
          <t>Tested Positive - Friends</t>
        </is>
      </c>
    </row>
    <row r="4474">
      <c r="A4474" t="inlineStr">
        <is>
          <t>iav7el</t>
        </is>
      </c>
      <c r="B4474" t="inlineStr">
        <is>
          <t>[UPDATE] A little step!!! (My dad)</t>
        </is>
      </c>
      <c r="C4474" t="inlineStr">
        <is>
          <t>His kidneys are starting to work a liiiitle bit better. Also, his lungs are a little bit  better, too.
He contracted a viral infection (I don't know how to call that *Sorry*),  while being in the hospital, but he's reacting to the treatment the doctors are giving him!!! 
His White blood cell level is going down (I was told it's a good thing)
Doctors told us  not to take this as a sign he'll survive this fight, but they have also told us he hasn't taken a step backwards since his first step!!!! I miss him so much, but I'm glad he's being  well treated.
He's in a induced coma, so he doesn't feel anything while being intubated. 
I'm SO proud of my dad. He's such a fighter!!!! 💪🏻💙</t>
        </is>
      </c>
      <c r="D4474" t="n">
        <v>1</v>
      </c>
      <c r="E4474" t="n">
        <v>24</v>
      </c>
      <c r="F4474">
        <f>HYPERLINK("https://www.reddit.com/r/COVID19positive/comments/iav7el/update_a_little_step_my_dad/")</f>
        <v/>
      </c>
      <c r="G4474" t="inlineStr">
        <is>
          <t>2020-08-16 09:21:53</t>
        </is>
      </c>
      <c r="H4474" t="inlineStr">
        <is>
          <t>Tested Positive - Family</t>
        </is>
      </c>
    </row>
    <row r="4475">
      <c r="A4475" t="inlineStr">
        <is>
          <t>iawuq1</t>
        </is>
      </c>
      <c r="B4475" t="inlineStr">
        <is>
          <t>Mild Case + What I Did</t>
        </is>
      </c>
      <c r="C4475" t="inlineStr">
        <is>
          <t>Hi everyone! This subreddit SUPER helped me through my anxiety when I tested positive. I feel very lucky that I had a really mild case, and I wanted to share an optimistic post for those dealing with a recent positive. 
You don't know how this will go, but a positive mindset will help a lot. I cried and moped the first night, and the next day made a plan to do everything I could. A lot of my situation may be luck, but I'm outlining and sharing everything that I did in case it helps with your recovery.
**Background + Symptoms**
I woke up with a post-nasal drip and slightly dry throat and got tested *that* day for "peace of mind". It came back positive. If you think you may have the slightest symptom and are speculating whether or not you have it - PLEASE JUST GO GET THE TEST. 
I did not go out the full week before testing positive, and the only person I saw before that tested negative multiple times, so my guess is I got it through the mail or Postmates drop off?
Symptoms: sore/dry throat, some nausea, complete loss of appetite, but no cough/fever.
2.5 weeks after my positive test, I got 2 negative tests back!!! 
I'm late 20s female, typically eat healthily and mostly plant-based/vegan but definitely not a perfect diet. I was doing some yoga and at-home workouts beforehand but am not super athletic. However, I'm also the type of person who gets a cold 1-2 times a year. 
**Vitamins + Supplements** (mostly bc they were recommended on this subreddit)
* Daily multi, Vitamin D3, Zinc, Liposomal Vitamin C, Quercetin, Probiotic 
* Whole Foods Wellness Formula (I had some lying around and took it for the first 4 days until I ran out)
* ZzzQuil and Melatonin to aid in sleep - the first few nights the anxiety tortured me as soon as the sun set, and I knew a lack of sleep would make me more sick. I took ZzzQuil for the first 5 nights then switched to Melatonin
* Doxycycline antibiotic - this I was prescribed by Apostrophe for my acne, but after looking on this subreddit, saw it was used as a therapy for other SARS strains and continued to use it. This may have been key to my recovery
* I **did not** use cough syrup/NyQuil despite my sore throat - I read an [article](https://www.latimes.com/science/story/2020-04-30/why-you-should-avoid-cough-syrup-if-you-think-youve-got-the-coronavirus) of dextromethorphan increasing covid viral proliferation in the cells of African green monkeys which freaked me out so I didn't take any risks
**Sore Throat**
* Gargled a hydrogen peroxide mouth wash (Peroxyl) nightly - I think this helped a lot! Others have recommended it, suggesting it reduces the viral load
* Gargled warm salt water daily
* Again, I did not use cough syrup or anything with dextromethorphan!!
* Throat coat tea (works great!) and fresh ginger/lemon tea frequently and added honey to soothe throat
**Food + Appetite**
* When I was first tested positive, I noticed a complete lack of appetite, but I know food/nutrition/gut health is key to recovery so I made a plan to eat 3 small meals + 2 smoothies a day
* I had a friend drop off groceries for me, plus ordered on Amazon fresh. I got some cans of soup/lentils as back up in the event I would be too sick to cook
* Smoothies/soups go down easily when you have mild nausea and no appetite, I also think this really helped in my recovery
   * *Smoothies* \- 2x a day with half veg/greens (some combination of cucumber, kale, spinach, parsley, some ginger, beets, frozen broccoli) and half fruits (frozen mango, pineapple, berries, or banana). I happen to put collagen powder, flax meal, and sometimes Amazing Greens mushroom powder in my smoothies, but I don't think those specifically made a difference.
   * *Soups* \- meal prepped a bunch of these after I found out I was sick and stuck them in the freezer. I prepared for worst-case scenario of me not being able to cook
* ...I don't think this is necessary.... but I also had a a bottle of kombucha every day (which is not something I typically do), but I figured I may as well look forward to a little treat daily :) 
**Anxiety**
* Do not underestimate the power of a good, long, hot shower at the end of the day. Hygiene is crucial to feeling like a human being. Brush your teeth, put on underwear, wear some mascara if you're into that.
   * I put eucalyptus essential oil in my hot showers and would take deep breaths (counting to 8, holding for 8, exhaling for 8 multiple times), which I think was just more of me checking in on myself than anything medical
* Keep your house semi-clean if possible, too. Not only will you feel better with clean bedsheets and dishes, apparently this kind of thing also helps with reducing the viral load. Also forgive yourself when things do end up getting messy, that's fine too.
* Not eating and not sleeping will make it worse, please do everything you can to do eat and sleep!
* Find a show you can truly, easily, shamelessly binge watch. Once it becomes night and negative thoughts creep in, a distraction becomes essential! I personally watched *You* (I would also recommend playing Animal Crossing). I would take my ZzzQuil or Melatonin while watching TV, 30-45 min before the episode would be over.
* I took photos of the back of my throat with a bright light and my phone, which helped me monitor progress. There was pretty intense bubbly inflammation at one point, but it was nice to refer back to once it started going down
* I didn't tell *every*one. Obviously anyone I had seen in the past month, my work (I work from home), and my family. Sometimes people found out, and it made me feel more like "a sick person" having to report to a bunch of people on my health. It's also a mental game, and I didn't want to be treated like a sick person, so I didn't tell everyone
   * Those who I did know and trust, I called and FaceTimed constantly. My brother and I talked on the phone 5-6 times a day, which helped me feel a lot less alone
I have not worked out at all during this recovery period. Because I've read other cases of it triggering inflammation in the heart/lungs, I probably won't pick up working out. I want to start doing nightly walks, because its super hot during the day right now.
I hope this helps! I am wishing you a smooth recovery, no worsening symptoms, and that you regain your health quickly!!!</t>
        </is>
      </c>
      <c r="D4475" t="n">
        <v>1</v>
      </c>
      <c r="E4475" t="n">
        <v>9</v>
      </c>
      <c r="F4475">
        <f>HYPERLINK("https://www.reddit.com/r/COVID19positive/comments/iawuq1/mild_case_what_i_did/")</f>
        <v/>
      </c>
      <c r="G4475" t="inlineStr">
        <is>
          <t>2020-08-16 10:51:17</t>
        </is>
      </c>
      <c r="H4475" t="inlineStr">
        <is>
          <t>Tested Positive - Me</t>
        </is>
      </c>
    </row>
    <row r="4476">
      <c r="A4476" t="inlineStr">
        <is>
          <t>iawxpe</t>
        </is>
      </c>
      <c r="B4476" t="inlineStr">
        <is>
          <t>likelihood of covid?</t>
        </is>
      </c>
      <c r="C4476" t="inlineStr">
        <is>
          <t>a family member of mine had to do an at-home test (everlywell test) required and sent by her college on Wednesday and got her results today, Sunday, saying she is positive. she had been checking her temperature every day since the test out of paranoia and had never been above 98.6 F, plus she has had no symptoms at all. our family is planning to do a drive thru test today for all of us, including her, in case hers is a false positive or if we have become infected. 
are at-home test kits reliable? how worried should we be?</t>
        </is>
      </c>
      <c r="D4476" t="n">
        <v>1</v>
      </c>
      <c r="E4476" t="n">
        <v>3</v>
      </c>
      <c r="F4476">
        <f>HYPERLINK("https://www.reddit.com/r/COVID19positive/comments/iawxpe/likelihood_of_covid/")</f>
        <v/>
      </c>
      <c r="G4476" t="inlineStr">
        <is>
          <t>2020-08-16 10:55:40</t>
        </is>
      </c>
      <c r="H4476" t="inlineStr">
        <is>
          <t>Tested Positive - Family</t>
        </is>
      </c>
    </row>
    <row r="4477">
      <c r="A4477" t="inlineStr">
        <is>
          <t>iax1o5</t>
        </is>
      </c>
      <c r="B4477" t="inlineStr">
        <is>
          <t>Anyone else peeing a lot?</t>
        </is>
      </c>
      <c r="C4477" t="inlineStr">
        <is>
          <t>Female, on day 12. Day 9 I had the same issue. I'm having to pee every 30 mins - an hour. No burning or pain. I'm actually peeing, quite a bit too. So i dont think its a uti. Diarrhea hasn't been this bad in awhile.</t>
        </is>
      </c>
      <c r="D4477" t="n">
        <v>1</v>
      </c>
      <c r="E4477" t="n">
        <v>3</v>
      </c>
      <c r="F4477">
        <f>HYPERLINK("https://www.reddit.com/r/COVID19positive/comments/iax1o5/anyone_else_peeing_a_lot/")</f>
        <v/>
      </c>
      <c r="G4477" t="inlineStr">
        <is>
          <t>2020-08-16 11:01:21</t>
        </is>
      </c>
      <c r="H4477" t="inlineStr">
        <is>
          <t>Presumed Positive - From Doctor</t>
        </is>
      </c>
    </row>
    <row r="4478">
      <c r="A4478" t="inlineStr">
        <is>
          <t>iax71f</t>
        </is>
      </c>
      <c r="B4478" t="inlineStr">
        <is>
          <t>Just tested positive, took test 4 days ago.</t>
        </is>
      </c>
      <c r="C4478" t="inlineStr">
        <is>
          <t>No symptoms, feeling my same old self except for a little paranoia about long term affects of the virus. I'm 26 male and very healthy. No diseases or medication. Will self isolate for a week.</t>
        </is>
      </c>
      <c r="D4478" t="n">
        <v>1</v>
      </c>
      <c r="E4478" t="n">
        <v>3</v>
      </c>
      <c r="F4478">
        <f>HYPERLINK("https://www.reddit.com/r/COVID19positive/comments/iax71f/just_tested_positive_took_test_4_days_ago/")</f>
        <v/>
      </c>
      <c r="G4478" t="inlineStr">
        <is>
          <t>2020-08-16 11:08:54</t>
        </is>
      </c>
      <c r="H4478" t="inlineStr">
        <is>
          <t>Tested Positive - Me</t>
        </is>
      </c>
    </row>
    <row r="4479">
      <c r="A4479" t="inlineStr">
        <is>
          <t>iaxo82</t>
        </is>
      </c>
      <c r="B4479" t="inlineStr">
        <is>
          <t>The low back pain is unbearable</t>
        </is>
      </c>
      <c r="C4479" t="inlineStr">
        <is>
          <t>My fever has broken this morning although I do believe I feel it creeping back up. I just began to show symptoms Friday night. My legs and hips and basically all over has been incredibly achy with the fever. I toss and I turn and I cannot get Comfortable or stay asleep for very long. This morning I wake up feeling better except the low back pain. It’s excruciating!  I can’t lay down, I can’t stand up, it hurts constantly. Across my lower back, deep inside, and it catches my breath it’s so intense. I don’t think it’s my kidneys as it’s too low. Is this a normal symptom. Has anyone else had this awful unbearable pain?</t>
        </is>
      </c>
      <c r="D4479" t="n">
        <v>1</v>
      </c>
      <c r="E4479" t="n">
        <v>10</v>
      </c>
      <c r="F4479">
        <f>HYPERLINK("https://www.reddit.com/r/COVID19positive/comments/iaxo82/the_low_back_pain_is_unbearable/")</f>
        <v/>
      </c>
      <c r="G4479" t="inlineStr">
        <is>
          <t>2020-08-16 11:34:34</t>
        </is>
      </c>
      <c r="H4479" t="inlineStr">
        <is>
          <t>Presumed Positive - From Doctor</t>
        </is>
      </c>
    </row>
    <row r="4480">
      <c r="A4480" t="inlineStr">
        <is>
          <t>iay2a9</t>
        </is>
      </c>
      <c r="B4480" t="inlineStr">
        <is>
          <t>Did not believe I would be positive</t>
        </is>
      </c>
      <c r="C4480" t="inlineStr">
        <is>
          <t>40 y/o mother of 2. I got tested because my kids were sick - took one for the team. Found out 5 days after I tested that I’m positive. Tested 4 days after my child first exhibited symptoms.  They have had constant 99.7 temp. One has cough and runny nose. The other no really symptoms. Makes me feel validated that my sore throat (which has been worse with allergies) and need to nap ( I love naps anyway) are actually symptoms of coronavirus. I also get geographic tongue normally and it is hurting right now. No loss of smell or taste though. More tired than usual - have hypothyroidism but take levothryoxin for that. Highest temp was 101.7 day before I tested. Seemed like a fluke - was in a hot room for too long. Type A+ blood. Husband has no symptoms - did not test - he is Type 0 + and believes he is too healthy to have it :/.  Hope it doesn’t get any worse. Seems we are far enough along to not get worse symptoms?</t>
        </is>
      </c>
      <c r="D4480" t="n">
        <v>1</v>
      </c>
      <c r="E4480" t="n">
        <v>10</v>
      </c>
      <c r="F4480">
        <f>HYPERLINK("https://www.reddit.com/r/COVID19positive/comments/iay2a9/did_not_believe_i_would_be_positive/")</f>
        <v/>
      </c>
      <c r="G4480" t="inlineStr">
        <is>
          <t>2020-08-16 11:55:24</t>
        </is>
      </c>
      <c r="H4480" t="inlineStr">
        <is>
          <t>Tested Positive - Me</t>
        </is>
      </c>
    </row>
    <row r="4481">
      <c r="A4481" t="inlineStr">
        <is>
          <t>iayyvv</t>
        </is>
      </c>
      <c r="B4481" t="inlineStr">
        <is>
          <t>Nurse who tried her best to stay healthy.</t>
        </is>
      </c>
      <c r="C4481" t="inlineStr">
        <is>
          <t>Healthy female 25yr Wisconsin. 
Not quite sure what to call day 1. Started August off with a mild cough, not unusual as I have asthma. Felt great the beginning of the month other than that. 
8/11/2020- Terrible migraine along with aura, vertigo and general fatigue (normal - get these about 4x a year) which lasted until 8/13. Cough progressively worsened, body wide muscle aches along with complete lack of appetite. Also began taking 4+ hour long afternoon naps... the kind that you have no choice over. 
At this point I was still in denial thinking I had overworked myself. Luckily, I had been staying at home this whole time, other than a trip to my workplace to get a migraine IV where all PPE was worn. 
Evening of 8/14 felt a lot worse. Couldn’t move, talk, or take a deep breath without having a coughing fit. Along with a band like pressure around my chest. Decided to take my temp. Which ended up ranging from 101 - 102.3. Took some Advil and went to bed hoping that I would wake up feeling better. 
8/15 - Woke up feeling not great. Temp Stanley in the 101s. Attempted to schedule a telehealth visit with my clinic to be evaluated for testing... they couldn’t get me in until end of the day on Sunday. Ended up calling another urgent care and then driving there to be seen and tested. 
At urgent care I was told I didn’t have a temp, but was COVID tested. Once the NP came and saw me, she noted that my heart rate was in the 140s while resting with a very high blood pressure and respiration’s in the high 20s-30s. We discussed taking albuterol for the SOB, and why I held off due to my heart rate. After listening to my lungs and heart she stated that I was “burning up” and that I needed to be on a monitor for my heart. I was then sent to the ER. 
The ER staff was great, was tested for bacterial pneumonia, pulmonary embolism, and endocarditis. Given fluids, toradol, and zofran. Sent home to rest, try to push fluids, quarantine, and to come back if I get any worse. I cannot day enough great things about the clinic and ER staff. 
After coming home, I was still febrile at 101. But attempted to eat and nap. Later that evening, the nausea returned and everything that I had consumed was vomited up. Highest temp through the night was 102.7. Woke up in a puddle of sweat. Gross. 
8/16 - Same symptoms as yesterday, no vomiting yet, but have only consumed water and liquid Advil. Temps still in the 101s even with the antipyretic. Made myself shower while I was awake. Hoping my results come in tomorrow. 
Any suggestions to make this easier on myself/ loved ones? I don’t know if it’s worse for me, or if it’s worse for them not being able to help me. 
Sorry for the rambling.</t>
        </is>
      </c>
      <c r="D4481" t="n">
        <v>1</v>
      </c>
      <c r="E4481" t="n">
        <v>13</v>
      </c>
      <c r="F4481">
        <f>HYPERLINK("https://www.reddit.com/r/COVID19positive/comments/iayyvv/nurse_who_tried_her_best_to_stay_healthy/")</f>
        <v/>
      </c>
      <c r="G4481" t="inlineStr">
        <is>
          <t>2020-08-16 12:45:49</t>
        </is>
      </c>
      <c r="H4481" t="inlineStr">
        <is>
          <t>Presumed Positive - From Doctor</t>
        </is>
      </c>
    </row>
    <row r="4482">
      <c r="A4482" t="inlineStr">
        <is>
          <t>iaz6ux</t>
        </is>
      </c>
      <c r="B4482" t="inlineStr">
        <is>
          <t>Weird “filter” on sense of smell</t>
        </is>
      </c>
      <c r="C4482" t="inlineStr">
        <is>
          <t>I tested positive back on June 14. All symptoms have gone away, however, my sense of smell is still altered. For about a month afterwards I couldn’t smell anything at all. Now I can smell most things with a few exceptions. When I am able to smell something I have a strange scent mixed in with what I’m smelling, almost like a filter over my nose. I can’t describe the smell as it is nothing I’ve ever smelled before. Anyone else experienced this?</t>
        </is>
      </c>
      <c r="D4482" t="n">
        <v>1</v>
      </c>
      <c r="E4482" t="n">
        <v>6</v>
      </c>
      <c r="F4482">
        <f>HYPERLINK("https://www.reddit.com/r/COVID19positive/comments/iaz6ux/weird_filter_on_sense_of_smell/")</f>
        <v/>
      </c>
      <c r="G4482" t="inlineStr">
        <is>
          <t>2020-08-16 12:57:55</t>
        </is>
      </c>
      <c r="H4482" t="inlineStr">
        <is>
          <t>Tested Positive - Me</t>
        </is>
      </c>
    </row>
    <row r="4483">
      <c r="A4483" t="inlineStr">
        <is>
          <t>iazime</t>
        </is>
      </c>
      <c r="B4483" t="inlineStr">
        <is>
          <t>ANYONE ELSE HAD THE BLOATING?</t>
        </is>
      </c>
      <c r="C4483" t="inlineStr">
        <is>
          <t>Am waiting for my test tomorrow.
However, I have had around two weeks of weird gastric symptoms. Diarrhea, flatulence, crazy amount of bloating, no matter how little I eat. No appetite and non-specific abdominal pains and sometimes nausea. Scales reading highest weight of my whole life, though I’m eating virtually nothing (presuming this is water weight as I’m very bloated). Uncomfortable after a few bites of food.
Anyway, I assumed this was IBS or something till Thursday night when I suddenly developed the worst fever I’ve ever had (about two weeks after mild gastric stuff started). Headache and muscle pains too. Fever seems to have gone already, but fatigue and gastric stuff still here. Didn’t assume this was anything at all COVID related till my boyfriend suddenly seems to have it too. Dr thinks this could be an atypical presentation of COVID. Don’t have the cough.
Any similar experiences please? Particularly the bloating? Thanks!</t>
        </is>
      </c>
      <c r="D4483" t="n">
        <v>1</v>
      </c>
      <c r="E4483" t="n">
        <v>24</v>
      </c>
      <c r="F4483">
        <f>HYPERLINK("https://www.reddit.com/r/COVID19positive/comments/iazime/anyone_else_had_the_bloating/")</f>
        <v/>
      </c>
      <c r="G4483" t="inlineStr">
        <is>
          <t>2020-08-16 13:15:51</t>
        </is>
      </c>
      <c r="H4483" t="inlineStr">
        <is>
          <t>Presumed Positive - From Doctor</t>
        </is>
      </c>
    </row>
    <row r="4484">
      <c r="A4484" t="inlineStr">
        <is>
          <t>ib1ptf</t>
        </is>
      </c>
      <c r="B4484" t="inlineStr">
        <is>
          <t>My friend's dad has coronavirus. Should I stay at home?</t>
        </is>
      </c>
      <c r="C4484" t="inlineStr">
        <is>
          <t>My friend that I'm seeing almost everyday called me today and told me that her father is in hospital and was tested positive for coronavirus. Her father is sick since a week and my friend was sick as well but it was 2 weeks ago and she was sick only for a few days. I haven't seen her when she was sick. I started to get sick at the same time as her tho, I was coughing from time to time and I had a mild headache. My ANOTHER friend (who also was in contact with the friend with sick dad) got sick as well at the same time and it was worse for her but she's healthy now too. We don't know what to do tbh. I feel healthy now, everyone else who was in contect with my friend feels fine as well. Should we self quarantine?</t>
        </is>
      </c>
      <c r="D4484" t="n">
        <v>1</v>
      </c>
      <c r="E4484" t="n">
        <v>9</v>
      </c>
      <c r="F4484">
        <f>HYPERLINK("https://www.reddit.com/r/COVID19positive/comments/ib1ptf/my_friends_dad_has_coronavirus_should_i_stay_at/")</f>
        <v/>
      </c>
      <c r="G4484" t="inlineStr">
        <is>
          <t>2020-08-16 15:18:16</t>
        </is>
      </c>
      <c r="H4484" t="inlineStr">
        <is>
          <t>Tested Positive - Friends</t>
        </is>
      </c>
    </row>
    <row r="4485">
      <c r="A4485" t="inlineStr">
        <is>
          <t>ib1taj</t>
        </is>
      </c>
      <c r="B4485" t="inlineStr">
        <is>
          <t>Long termer update</t>
        </is>
      </c>
      <c r="C4485" t="inlineStr">
        <is>
          <t>So from experience on this sub, when reading about the long termers, you don’t hear much about people getting better. I’m here to update you on my own situation, and show you the light at the end of the proverbial tunnel. I was real sick and now I’m betterish? 6 or whatever months later. 
Buckle up this is a long ass post &amp;amp; Im trying to add all the random important details. 
I got sick late February, I went to a concert at a popular venue with a friend. A friend from NYC was visiting her that weekend. I got sick, and then I never got better. 
My symptoms were a complete spectrum of random. I had horrible, unusually sweaty extremities. Like, “sorry I need a towel to wipe my hands”, sweaty. I was literally unable to eat. I lost 20 lbs. The only thing I could choke down was smoothies. And then I had what I would call “adrenaline surges”. I would shake, be unable to walk. My heart would race when I stood up to use the restroom. I had to sit down in the shower because I got tunnel vision. I went from being a very active 28 year old, to spending my 29th birthday on the couch, continually apologizing to my partner for my lack of ability/enthusiasm. My periods became unusually heavy. I’m not married, we have two kids together, &amp;amp; I can confidently say when we do make the; “in sickness and in health” vow, my partner will hold his end of the line.
And then I underwent a battery of medical tests to try to figure out what was happening. CT scans, ultrasounds, blood tests, everything. Everything came back as normal. 
So medical tests suck to begin with, but when you’re visibly sick, and unable to eat, and every test comes back as normal or fine, you start to question your own sanity. Every single doctor told me in a loving concerned voice, maybe this is just your anxiety. But I knew this wasn’t anxiety. I have an intimate relationship with panic attacks and this ain’t it baby. In a weird way I would get my hopes up before my appointments that maybe this scan would show the cancer or whatever was wrong with me and we would finally be able to move forward. But it wasn’t cancer thank the lord baby Jesus. 
I finally had someone who walked through my medical history with me, and got nitty gritty no holds bar, and then actually believed my symptoms. 
So turns out I have a preexisting condition (EDS-hypermobility) that often leads to a thing called POTS. I’m thankful to have friends in high places who were able to ask me things my primary doctor wouldn’t, like hey, can you do any weird things with your hands/elbows???. My heart rate, confirmed by my Fitbit, would jump from 80 to 130/150 every time I stood up for extended periods. That is what has causing my inability to eat/nausea, and my slew of other symptoms everytime I tried to function in a normal human type of way. I’m not trying to say that every long termer has POTS, but COVID is a vascular disease, and the relationship is interesting.
Anyways now my hair is falling out in clumps (sorry  alyssa milano ain’t lying). I totally stopped consuming alcohol &amp;amp; caffeine, added a ton of hydration and salt to my diet and have seen a -15 beats per minute drop in resting heart rate. My palms don’t sweat anymore and I can stand up the entire time I’m showering. I’m not 100%. I’d say I’m about at 70% of what I once was. But better than 0?!. I feel like I’m actually getting better, which is amazing and inspiring and I encourage you to find what works for you. 
Also I encourage you to pressure your doctors to believe you, which is obviously harder said than done. Because this shit fucks people up, and continues to fuck people up. Hopefully the medical society will
start to understand the long term effects so you won’t have to go though 3+ CT scans to be told condescendingly it’s all in your head. 
Love y’all. Hang tight.</t>
        </is>
      </c>
      <c r="D4485" t="n">
        <v>1</v>
      </c>
      <c r="E4485" t="n">
        <v>19</v>
      </c>
      <c r="F4485">
        <f>HYPERLINK("https://www.reddit.com/r/COVID19positive/comments/ib1taj/long_termer_update/")</f>
        <v/>
      </c>
      <c r="G4485" t="inlineStr">
        <is>
          <t>2020-08-16 15:23:27</t>
        </is>
      </c>
      <c r="H4485" t="inlineStr">
        <is>
          <t>Tested Positive - Me</t>
        </is>
      </c>
    </row>
    <row r="4486">
      <c r="A4486" t="inlineStr">
        <is>
          <t>ib21px</t>
        </is>
      </c>
      <c r="B4486" t="inlineStr">
        <is>
          <t>How can I prevent getting my family sick?</t>
        </is>
      </c>
      <c r="C4486" t="inlineStr">
        <is>
          <t>I went on a trip and it turned out that someone there was sick. I isolated as soon as I got home bring all my luggage to my bedroom with me. I live with my mum who has COPD. I've developed a cough, fever and body aches. It's been 3 days since symptoms began, my doctor presumes its covid and I feel like I have a usual chest virus right now.
We share a bathroom and that is my main concern. I sanitise my hands and put on a mask before I leave my room and wash my hands vigoursly. My mum has been giving me room service by leaving food and drinks outside my room. Is there still a big risk that she'll get it too? She's not showing any symptoms so far.</t>
        </is>
      </c>
      <c r="D4486" t="n">
        <v>1</v>
      </c>
      <c r="E4486" t="n">
        <v>9</v>
      </c>
      <c r="F4486">
        <f>HYPERLINK("https://www.reddit.com/r/COVID19positive/comments/ib21px/how_can_i_prevent_getting_my_family_sick/")</f>
        <v/>
      </c>
      <c r="G4486" t="inlineStr">
        <is>
          <t>2020-08-16 15:37:28</t>
        </is>
      </c>
      <c r="H4486" t="inlineStr">
        <is>
          <t>Presumed Positive - From Doctor</t>
        </is>
      </c>
    </row>
    <row r="4487">
      <c r="A4487" t="inlineStr">
        <is>
          <t>ib332a</t>
        </is>
      </c>
      <c r="B4487" t="inlineStr">
        <is>
          <t>My parents are knowingly at a family gathering with a covid+ family member.</t>
        </is>
      </c>
      <c r="C4487" t="inlineStr">
        <is>
          <t>Hello everyone,
This is a vent post. I had covid for five weeks between May-June. I finally went back to work at the beginning of July. I was very fortunate in that I did not have to be hospitalized, and I did not have any severe symptoms. I practiced social distancing but my partner is a cop so it’s very hard to avoid. We both got sick and recovered. My parents knew all about it, as well as my symptoms and my current lasting issues.
Maybe a week and a half ago my cousin tested positive. My mom just let me know that they’re spending the day over at his house today with my aunt. He’s had no negative test, his doctor simply told him to go home and that he wasn’t contagious after 5 days (???).
My parents are older, in their 60s and 70s, with some health problems. I’m really upset that they would knowingly go over there and spend a day around him, with no masks (my mom sent me a photo of him), when he JUST tested positive, and they know all about my experience with it. My mom’s reasoning was “we wanted to say goodbye to him before he goes to college.”
They’re not anti-virus people or anti-maskers. I don’t understand the logic. I’m really freaking out here, I’m 27 and healthy and I had some really difficult symptoms, and I’m freaking out worrying about my parents getting sick. Why would they take this risk?
Can anyone relate or help me to calm down? Thanks to everyone.</t>
        </is>
      </c>
      <c r="D4487" t="n">
        <v>1</v>
      </c>
      <c r="E4487" t="n">
        <v>122</v>
      </c>
      <c r="F4487">
        <f>HYPERLINK("https://www.reddit.com/r/COVID19positive/comments/ib332a/my_parents_are_knowingly_at_a_family_gathering/")</f>
        <v/>
      </c>
      <c r="G4487" t="inlineStr">
        <is>
          <t>2020-08-16 16:39:32</t>
        </is>
      </c>
      <c r="H4487" t="inlineStr">
        <is>
          <t>Tested Positive - Me</t>
        </is>
      </c>
    </row>
    <row r="4488">
      <c r="A4488" t="inlineStr">
        <is>
          <t>ib3uxy</t>
        </is>
      </c>
      <c r="B4488" t="inlineStr">
        <is>
          <t>Help understanding the test</t>
        </is>
      </c>
      <c r="C4488" t="inlineStr">
        <is>
          <t>My grandfather had something we ASSUME was covid like 3 months ago. He was very sick for a couple of weeks and has been slowly getting better. My grandmother never had anything wrong and she lives with him with minimal safety precautions for herself.
&amp;amp;#x200B;
Today my sister thought it would be cute (since hes doing so much better) to perform a Fortress Igg Igm test to see if he had it for sure, but when we ran the test with the drop of blood, all 3 of the lines came back positive.
This apparently means the virus is active and the body is fighting against it, but neither he or my grandmothr have been exposed outside of their homes, no visits, everything coming in is being desinfected by alcohol, etc. and he looks so well and healthy.
&amp;amp;#x200B;
Can the virus come in, make you sick and then go dormant again?
What is the efficiency of these tests in figuring out if he really did had covid or something else?</t>
        </is>
      </c>
      <c r="D4488" t="n">
        <v>1</v>
      </c>
      <c r="E4488" t="n">
        <v>5</v>
      </c>
      <c r="F4488">
        <f>HYPERLINK("https://www.reddit.com/r/COVID19positive/comments/ib3uxy/help_understanding_the_test/")</f>
        <v/>
      </c>
      <c r="G4488" t="inlineStr">
        <is>
          <t>2020-08-16 17:28:10</t>
        </is>
      </c>
      <c r="H4488" t="inlineStr">
        <is>
          <t>Presumed Positive - From Test</t>
        </is>
      </c>
    </row>
    <row r="4489">
      <c r="A4489" t="inlineStr">
        <is>
          <t>ib4dj9</t>
        </is>
      </c>
      <c r="B4489" t="inlineStr">
        <is>
          <t>The dreaded positive results</t>
        </is>
      </c>
      <c r="C4489" t="inlineStr">
        <is>
          <t>Quick background: I work for a large hospital here in CA and work in ordering/supplying the hospital. My area got turned into a Covid+ floor to keep everyone together to prevent risk of spread. *I won't go into it but I can very easily tell to first hand I've seen countless nurses and hospital staff fully dawn PPE and cross the dreaded red line of clean/dirty back and forth*
Day 1: tired and stuffy nose.  Nothing out of normal since I get awful spring/summer allergies and my job is quite physical.
Day 2: still same feelings but now loss of smell! *I stuck my nose in coffee, dirty socks, anything I knew had a stink(even my 2 year olds diaper bin) still nothing!
Got tested day 2 
Day 4: positive results 😫
Thankfully no other symptoms and my wife/son and I have space to be apart so they hopefully doesn't get this... My two year old just wants his dada and its hard to explain that we need to try and be a little apart. 
I have an amazing wife/partner and she's got this! Still kills me to be sidelined but I know so many others have it worse and hope this is my extent of this.  
Just spewing this so it gets out of my head and now I get to join another reddit group (yay) hahaha. Will update</t>
        </is>
      </c>
      <c r="D4489" t="n">
        <v>1</v>
      </c>
      <c r="E4489" t="n">
        <v>5</v>
      </c>
      <c r="F4489">
        <f>HYPERLINK("https://www.reddit.com/r/COVID19positive/comments/ib4dj9/the_dreaded_positive_results/")</f>
        <v/>
      </c>
      <c r="G4489" t="inlineStr">
        <is>
          <t>2020-08-16 18:00:57</t>
        </is>
      </c>
      <c r="H4489" t="inlineStr">
        <is>
          <t>Tested Positive - Me</t>
        </is>
      </c>
    </row>
    <row r="4490">
      <c r="A4490" t="inlineStr">
        <is>
          <t>ib4xkg</t>
        </is>
      </c>
      <c r="B4490" t="inlineStr">
        <is>
          <t>Positive College Student</t>
        </is>
      </c>
      <c r="C4490" t="inlineStr">
        <is>
          <t>Hi everyone, 
I just joined this sub because I tested positive today (well, my test was yesterday). I am a F20 junior at a state university in the US and I just want to talk a bit about what I have experienced so far today with my positive test. 
Let me preface this by saying that while I am a college student, I don't party AT all, I don't even drink or smoke because I am not into it, so I wouldn't have got covid by being unwise and not taking the necessary precautions. In fact, I have been completely isolated in my home with my parents since March when my university shut down for the first outbreaks. I hadn't been in any building that isn't my house until coming to campus yesterday to move in. I know my family has been extra cautious, if not the most cautious out of anyone I know because my mom has cancer and a compromised immune system, so we figured if we got it we'd know soon because she would probably get it first.
I moved into my campus apartment yesterday and had to take a nasopharyngeal test before I got my keys, but my results didn't come back for 24 hours. By then I had already exposed my roommates so now they both have to quarantine for 14 days as well which I feel absolutely awful about because both of their original move-in tests were negative. Now I have been moved from my apartment to the dorm for covid positive students to isolate, which, if you have to reserve an entire dorm building just for positive covid students... should you really be having school? To top it off this building is not air conditioned, feels like a prison cell (dubbed "covid jail"), and has communal bathrooms. If I didn't have covid before, I sure do now. 
So far I don't think I have any symptoms, but it's hard to tell because I have environmental allergies, and I have been crying most of today mostly out of worry for my family and my friends I unknowingly exposed. 
Here are a few things I'd like to discuss if anyone has similar experiences:
\- Any fellow students here? How are your universities handling on-campus isolation?
\- Does anyone know of a stage four cancer patient having covid and being asymptomatic, and turning out okay? If you know otherwise, I would prefer if you kept the bad news to yourself please :/
\- Why is my university only holding me in "covid jail" for 10 days, won't let me get a test anywhere else as a second opinion, and won't test me before I leave here? It just seems like I'd still have it by then.
\- My biggest question throughout all of this... Why did my university completely shutdown and go online for classes last semester when there were barely any cases in the US and none in my state, but it's okay to go back when 60-70 students have tested positive moving into university housing EVERY DAY for the last two weeks???</t>
        </is>
      </c>
      <c r="D4490" t="n">
        <v>1</v>
      </c>
      <c r="E4490" t="n">
        <v>8</v>
      </c>
      <c r="F4490">
        <f>HYPERLINK("https://www.reddit.com/r/COVID19positive/comments/ib4xkg/positive_college_student/")</f>
        <v/>
      </c>
      <c r="G4490" t="inlineStr">
        <is>
          <t>2020-08-16 18:36:47</t>
        </is>
      </c>
      <c r="H4490" t="inlineStr">
        <is>
          <t>Tested Positive - Me</t>
        </is>
      </c>
    </row>
    <row r="4491">
      <c r="A4491" t="inlineStr">
        <is>
          <t>ib54oz</t>
        </is>
      </c>
      <c r="B4491" t="inlineStr">
        <is>
          <t>After a week, feeling better but mom isn’t</t>
        </is>
      </c>
      <c r="C4491" t="inlineStr">
        <is>
          <t>My (18F) symptoms have improved drastically and I did get a positive test result back, but luckily I’ve only gotten better. I’m worried about my mom (38F) because she was told that she’s at higher risk due to her age and her weight. She seemed to get better but she’s now again feeling nauseous, very weak, having trouble breathing, overall seeming worse than before. Kaiser sent her some medication but it literally only made her worse so she stopped taking it but I’m at loss for what to do next. Pls can anyone let me know your remedies or put my mind at ease.</t>
        </is>
      </c>
      <c r="D4491" t="n">
        <v>1</v>
      </c>
      <c r="E4491" t="n">
        <v>5</v>
      </c>
      <c r="F4491">
        <f>HYPERLINK("https://www.reddit.com/r/COVID19positive/comments/ib54oz/after_a_week_feeling_better_but_mom_isnt/")</f>
        <v/>
      </c>
      <c r="G4491" t="inlineStr">
        <is>
          <t>2020-08-16 18:49:30</t>
        </is>
      </c>
      <c r="H4491" t="inlineStr">
        <is>
          <t>Tested Positive</t>
        </is>
      </c>
    </row>
    <row r="4492">
      <c r="A4492" t="inlineStr">
        <is>
          <t>ib5x8t</t>
        </is>
      </c>
      <c r="B4492" t="inlineStr">
        <is>
          <t>Tested positive again after three months with minimal symptoms?</t>
        </is>
      </c>
      <c r="C4492" t="inlineStr">
        <is>
          <t>I tested positive back back in May for Covid and have had pretty light symptoms since, like a light cold and a temporary loss of taste but not much else. I went and tested again today after a three whole months and my results were positive again. Has this happened to anyone else? I don’t know if I’ve had it this entire time or I managed to catch it again because I’m staying with my sister who has a more severe case due to her asthma, but I really thought after you develop antibodies you shouldn’t be able to catch it again. Could this be a case of a false positive and I should get a second test done to confirm? Any help would be appreciated</t>
        </is>
      </c>
      <c r="D4492" t="n">
        <v>1</v>
      </c>
      <c r="E4492" t="n">
        <v>8</v>
      </c>
      <c r="F4492">
        <f>HYPERLINK("https://www.reddit.com/r/COVID19positive/comments/ib5x8t/tested_positive_again_after_three_months_with/")</f>
        <v/>
      </c>
      <c r="G4492" t="inlineStr">
        <is>
          <t>2020-08-16 19:41:39</t>
        </is>
      </c>
      <c r="H4492" t="inlineStr">
        <is>
          <t>Tested Positive - Me</t>
        </is>
      </c>
    </row>
    <row r="4493">
      <c r="A4493" t="inlineStr">
        <is>
          <t>ib6e9d</t>
        </is>
      </c>
      <c r="B4493" t="inlineStr">
        <is>
          <t>Relentless headache and migraines. Desperate for relief. Constant headache/migraines since 7/26</t>
        </is>
      </c>
      <c r="C4493" t="inlineStr">
        <is>
          <t>I tested positive on 7/29, exposed on 7/19 showing symptoms on 7/26.  I’ve been to the ER twice, once for low oxygen, and once more last Friday for the migraine and a lingering pain in my upper right lung.  The ER was no help and treated me like a drug seeker.  I was not there seeking narcotics, but apparently that was the doctors consensus.  It was humiliating and dehumanizing.  Thankfully, the head CT and chest X-ray didn’t show anything, but that doesn’t take away from the fact that I’m miserable.  My respiratory symptoms are getting better.  I get shortness of breath extremely easily, but cough is becoming mild.  Fatigue is still moderate.  The headaches and migraines are making life unbearable.  They are crippling.  I’ve tried all the over the counter medicines (ibuprofen, Tylenol, naproxen, aspirin), and even tried some old Tylenol-3 I had out of desperation, they didn’t help and may have made it worse so I didn’t take it again.  I’ve doused my head with peppermint oils and headache balm, and I’m not a big essential oil person.  I’ve tried ice packs, epsom hot baths.  I’m the poster child for hydration.  I have always drank copious amounts of water and have still been drinking electrolytes since onset of symptoms, so I know it’s not dehydration.  I was prescribed butalbital acetaminophen/caffeine, but didn’t realize that it had caffeine in it until after I took it.  It not only make me feel horrible it didn’t help the migraine. The prescription had a different name which I can’t recall, which is why I didn’t realize it contained caffeine.  I have hashimotos, and when I developed that I developed a strong intolerance to caffeine, not sure if it was from my thyroid disorder or the thyroid meds, but I cannot tolerate caffeine anymore.  I am just hoping someone has some advice or could share their experience.  If you’ve had Covid (possibly post-covid?) headaches, how long did they last and did you find anything that helped?
I’m mentally breaking down.  I don’t even know if I’m still covid positive or if I’m post viral.  I don’t know if that matters.  I feel like I am experiencing covid brain fog because I feel like I’m not able to explain myself correctly anymore.  I just feel like it’s causing me to slip into a deep depression.  I want to bawl my eyes out but I know it’ll make my headache worse.  If you have any advice, experience you could share, words of encouragement or just join in to my pity party, I would appreciate it.  I feel really unlike myself and I’m scared this is going to last forever.  
TL;DR
Migraines are ruining my life.  Advice or shared experience with headaches/migraines lasting 3+ weeks appreciated.</t>
        </is>
      </c>
      <c r="D4493" t="n">
        <v>1</v>
      </c>
      <c r="E4493" t="n">
        <v>14</v>
      </c>
      <c r="F4493">
        <f>HYPERLINK("https://www.reddit.com/r/COVID19positive/comments/ib6e9d/relentless_headache_and_migraines_desperate_for/")</f>
        <v/>
      </c>
      <c r="G4493" t="inlineStr">
        <is>
          <t>2020-08-16 20:13:26</t>
        </is>
      </c>
      <c r="H4493" t="inlineStr">
        <is>
          <t>Tested Positive - Me</t>
        </is>
      </c>
    </row>
    <row r="4494">
      <c r="A4494" t="inlineStr">
        <is>
          <t>ib6mri</t>
        </is>
      </c>
      <c r="B4494" t="inlineStr">
        <is>
          <t>Looking to See if Anyone has had a similar experience</t>
        </is>
      </c>
      <c r="C4494" t="inlineStr">
        <is>
          <t>I was sick in March for a month, but I couldn't get tested then. I had the cough, fever, sore throat, fatigue, runny nose, etc. and I'm never sick for a month so I assumed that it was Covid. I couldn't get tested then.
I've been sick again since the beginning of July, it's been about 5 and a half weeks now. It's a similar vibe but some different symptoms. No cough this time, just a sore throat, fatigue, brain fog occasional headache and occasional queasiness. I've tested negative twice, but once again I'm never sick this long and the doctor said that it could be Covid or another virus. My gut tells me this is Covid.
It's kind of a mind fuck because every day one symptom will go away and then they will come back.
Does anyone else have a similar story? I really would just like to get an idea of what I'm in for. I'm going to plan on getting a third test. Has anyone had this for over a month and recovered? Would love to hear a story that gives me some hope.</t>
        </is>
      </c>
      <c r="D4494" t="n">
        <v>1</v>
      </c>
      <c r="E4494" t="n">
        <v>8</v>
      </c>
      <c r="F4494">
        <f>HYPERLINK("https://www.reddit.com/r/COVID19positive/comments/ib6mri/looking_to_see_if_anyone_has_had_a_similar/")</f>
        <v/>
      </c>
      <c r="G4494" t="inlineStr">
        <is>
          <t>2020-08-16 20:30:25</t>
        </is>
      </c>
      <c r="H4494" t="inlineStr">
        <is>
          <t>Presumed Positive - From Doctor</t>
        </is>
      </c>
    </row>
    <row r="4495">
      <c r="A4495" t="inlineStr">
        <is>
          <t>ib6v8w</t>
        </is>
      </c>
      <c r="B4495" t="inlineStr">
        <is>
          <t>America.. land of the Mass Graves</t>
        </is>
      </c>
      <c r="C4495" t="inlineStr">
        <is>
          <t>I had coronavirus twice... both confirmed positives. 
I’m so upset how this pandemic is being handled. 
I honestly have nothing good to say. It’s so unsettling and disturbing to me that this is where my country is at.
Wtf.</t>
        </is>
      </c>
      <c r="D4495" t="n">
        <v>1</v>
      </c>
      <c r="E4495" t="n">
        <v>48</v>
      </c>
      <c r="F4495">
        <f>HYPERLINK("https://www.reddit.com/r/COVID19positive/comments/ib6v8w/america_land_of_the_mass_graves/")</f>
        <v/>
      </c>
      <c r="G4495" t="inlineStr">
        <is>
          <t>2020-08-16 20:47:16</t>
        </is>
      </c>
      <c r="H4495" t="inlineStr">
        <is>
          <t>Tested Positive - Me</t>
        </is>
      </c>
    </row>
    <row r="4496">
      <c r="A4496" t="inlineStr">
        <is>
          <t>ib76lk</t>
        </is>
      </c>
      <c r="B4496" t="inlineStr">
        <is>
          <t>I’m scared and don’t know what to do. How to enter a house where everyone was tested positive? (They are in COVID care center now and not at home) - Please help. I don’t know where else to go or who to ask.</t>
        </is>
      </c>
      <c r="C4496" t="inlineStr">
        <is>
          <t>Background: I lost my father to COVID 19, six days ago. Now my sister and mom whole lived with him are positive and in a COVID care center in India. They were admitted three days ago. I travelled back home from Chicago to US and I have self quarantined myself for a while. 
Question: Everything in the house is polluted - car, clothes, books, everything. I don’t know what to do. Honestly I don’t. I can afford to live in the hotel that I have quarantined myself in for the next few days. Here’s what I am considering:
Get the house sanitized tomorrow (thankfully I know a team of people who can get this done for us professionally- disinfect, sanitize and fumigate surfaces). I will wear a PPE key and go In day after tomorrow to Discard as many items as possible. Gather as many non essentials and lock them up in one of the rooms for ‘X’ days.
Is this right? What should I do? Where do I start? How did you do this?
I’m afraid that I will get infected and also that if I don’t get this done before my mom and sister come home they might have a relapse. Please help. I don’t know where else to go or who to ask.</t>
        </is>
      </c>
      <c r="D4496" t="n">
        <v>1</v>
      </c>
      <c r="E4496" t="n">
        <v>6</v>
      </c>
      <c r="F4496">
        <f>HYPERLINK("https://www.reddit.com/r/COVID19positive/comments/ib76lk/im_scared_and_dont_know_what_to_do_how_to_enter_a/")</f>
        <v/>
      </c>
      <c r="G4496" t="inlineStr">
        <is>
          <t>2020-08-16 21:10:06</t>
        </is>
      </c>
      <c r="H4496" t="inlineStr">
        <is>
          <t>Tested Positive - Family</t>
        </is>
      </c>
    </row>
    <row r="4497">
      <c r="A4497" t="inlineStr">
        <is>
          <t>ib7hwi</t>
        </is>
      </c>
      <c r="B4497" t="inlineStr">
        <is>
          <t>Most symptoms of covid 19 but negative test?</t>
        </is>
      </c>
      <c r="C4497" t="inlineStr">
        <is>
          <t>Has anyone experienced a lot of the covid 19 symptoms and ended up with a negative test result? My symptoms started Friday night (8/14) and have gotten drastically worse since. I had a rapid test done this morning that came back negative, but I was told to self isolate for 72 hours and then go be retested. I was hoping the test result would give me some answers but it just confused me instead. 
 My current symptoms- sore throat, congestion, terrible headache that’s lasted over 24 hours now, loss of most of my smell and taste, slight occasional cough, slight shortness of breath after doing simple tasks, muscle aches, muscle weakness, an on and off low-grade fever, hot and cold flashes, and really bad diarrhea.</t>
        </is>
      </c>
      <c r="D4497" t="n">
        <v>1</v>
      </c>
      <c r="E4497" t="n">
        <v>8</v>
      </c>
      <c r="F4497">
        <f>HYPERLINK("https://www.reddit.com/r/COVID19positive/comments/ib7hwi/most_symptoms_of_covid_19_but_negative_test/")</f>
        <v/>
      </c>
      <c r="G4497" t="inlineStr">
        <is>
          <t>2020-08-16 21:33:31</t>
        </is>
      </c>
      <c r="H4497" t="inlineStr">
        <is>
          <t>Presumed Positive - From Doctor</t>
        </is>
      </c>
    </row>
    <row r="4498">
      <c r="A4498" t="inlineStr">
        <is>
          <t>ib85cg</t>
        </is>
      </c>
      <c r="B4498" t="inlineStr">
        <is>
          <t>Getting a test tomorrow.</t>
        </is>
      </c>
      <c r="C4498" t="inlineStr">
        <is>
          <t>I’m 16 y/o living in the ol USA. Symptoms started suddenly in the evening on Thursday. Got the following symptoms in this order:
- Chills
- Fever (104F as of yesterday, almost normal with ibuprofen)
- Diarrea
- Intense GI issues
- Tiredness
- Muscle Aches
- Neck Stiffness
- Lower Back Pain
- Slight Cough (not consistent)
Was super sudden. Doctor told me to wait until Monday for a test as COVID takes time to colonize.</t>
        </is>
      </c>
      <c r="D4498" t="n">
        <v>1</v>
      </c>
      <c r="E4498" t="n">
        <v>3</v>
      </c>
      <c r="F4498">
        <f>HYPERLINK("https://www.reddit.com/r/COVID19positive/comments/ib85cg/getting_a_test_tomorrow/")</f>
        <v/>
      </c>
      <c r="G4498" t="inlineStr">
        <is>
          <t>2020-08-16 22:23:16</t>
        </is>
      </c>
      <c r="H4498" t="inlineStr">
        <is>
          <t>Presumed Positive - From Doctor</t>
        </is>
      </c>
    </row>
    <row r="4499">
      <c r="A4499" t="inlineStr">
        <is>
          <t>ib8ftf</t>
        </is>
      </c>
      <c r="B4499" t="inlineStr">
        <is>
          <t>Worried About My Husband</t>
        </is>
      </c>
      <c r="C4499" t="inlineStr">
        <is>
          <t>Longer read... Just looking to see if anyone has similar experience or some insight, because I feel really in the dark and without any answers, trying to remain positive because I know it could be so much worse and I don’t want to diminish that for others with family taking this virus hard. 
My husband tested positive last Friday, so a little over a week now. He made it through the weekend at home. I assumed I had it by then and was either asymptomatic or it would be mild. (My test came back negative eventually). 
By Tuesday he had been in and out of the ER for uncontrollable vomiting but had yet to have any terrible respiratory issues yet, mild cough. We were thankful for that because he has asthma. 
By Tuesday night into Wednesday his oxygen levels (according to his phone? A little light?) had been dropping and his coughing was getting worse.
He went to the ER and this time they admitted him for low oxygen.
My frustration is now this: him being sick, he isn’t exactly the most communicative and is resting a lot. I spent the entire next morning (Thursday) trying to reach him by his phone and his hospital room. They moved him into ICU overnight Wednesday and did not tell me until 3:30 that next day! The nurse that called was very nice but didn’t have many answers (did he show pneumonia in his lungs, how bad were his levels, what would be the progression up or down from there, etc). 
He has been in ICU since, and isn’t on a ventilator. They’re doing other things that I just don’t understand... something similar to a CPAP? Breathing treatments, breathing exercises? He’s on two experimental things, a plasma treatment and remdesivir.
I just can’t seem to get many answers, and I feel scared but want to be able to advocate for him if needed. I just want to hear from others and have hope that this is still a less severe case relatively.</t>
        </is>
      </c>
      <c r="D4499" t="n">
        <v>1</v>
      </c>
      <c r="E4499" t="n">
        <v>12</v>
      </c>
      <c r="F4499">
        <f>HYPERLINK("https://www.reddit.com/r/COVID19positive/comments/ib8ftf/worried_about_my_husband/")</f>
        <v/>
      </c>
      <c r="G4499" t="inlineStr">
        <is>
          <t>2020-08-16 22:46:48</t>
        </is>
      </c>
      <c r="H4499" t="inlineStr">
        <is>
          <t>Tested Positive - Family</t>
        </is>
      </c>
    </row>
    <row r="4500">
      <c r="A4500" t="inlineStr">
        <is>
          <t>ib8sbq</t>
        </is>
      </c>
      <c r="B4500" t="inlineStr">
        <is>
          <t>Came for a recheck</t>
        </is>
      </c>
      <c r="C4500" t="inlineStr">
        <is>
          <t>It is 21 days since, I became positive. Today I have come for a recheck
 Hope it comes negative, as I have no symptoms now.</t>
        </is>
      </c>
      <c r="D4500" t="n">
        <v>1</v>
      </c>
      <c r="E4500" t="n">
        <v>8</v>
      </c>
      <c r="F4500">
        <f>HYPERLINK("https://www.reddit.com/r/COVID19positive/comments/ib8sbq/came_for_a_recheck/")</f>
        <v/>
      </c>
      <c r="G4500" t="inlineStr">
        <is>
          <t>2020-08-16 23:15:53</t>
        </is>
      </c>
      <c r="H4500" t="inlineStr">
        <is>
          <t>Tested Positive</t>
        </is>
      </c>
    </row>
    <row r="4501">
      <c r="A4501" t="inlineStr">
        <is>
          <t>ib8srk</t>
        </is>
      </c>
      <c r="B4501" t="inlineStr">
        <is>
          <t>I tested positive in april. I’m having the same symptoms now.</t>
        </is>
      </c>
      <c r="C4501" t="inlineStr">
        <is>
          <t>My symptoms were congestion, scratchy throat, fever. I don’t think i have a fever now but I’ve been congested for a couple days and my throat is starting to get scratchy. Is it possible i got it again??</t>
        </is>
      </c>
      <c r="D4501" t="n">
        <v>1</v>
      </c>
      <c r="E4501" t="n">
        <v>10</v>
      </c>
      <c r="F4501">
        <f>HYPERLINK("https://www.reddit.com/r/COVID19positive/comments/ib8srk/i_tested_positive_in_april_im_having_the_same/")</f>
        <v/>
      </c>
      <c r="G4501" t="inlineStr">
        <is>
          <t>2020-08-16 23:16:51</t>
        </is>
      </c>
      <c r="H4501" t="inlineStr">
        <is>
          <t>Tested Positive - Me</t>
        </is>
      </c>
    </row>
    <row r="4502">
      <c r="A4502" t="inlineStr">
        <is>
          <t>iba51a</t>
        </is>
      </c>
      <c r="B4502" t="inlineStr">
        <is>
          <t>Just tested positive with no symptoms yet</t>
        </is>
      </c>
      <c r="C4502" t="inlineStr">
        <is>
          <t>I am still somewhat in disbelief after receiving the PCR results yesterday night which find me positive to Covid. My wife and two kids (1yo and 4yo) are all negative. Cant even fathom how is that possible, considering I haven't been exposed to people to which my wife hasn't been. We have been relatively cautious with social distancing, wearing masks and maintaining stricter hygiene, hanging out exclusively with our inner family (parents and siblings) who we shared a house with until recently. None of them is showing any symptoms as of right now. I have been doing grocery shopping for the family almost exclusively for the last few months, so I am suspecting maybe I got exposed that way... When I got the news, I was almost certain that it has to be some sort of a mistake, but after reading about the likelihood of a false positive, I am starting to slowly swallow the hard pill.
I did not sleep well last night, mostly because of anxiety and bad dreams/thoughts around analyzing the possible exposure and outcome, so I am feeling pretty tired and having less energy than usual.
I have isolated myself in a separate room, trying to distance myself from the wife and kids as much as the conditions allow (we live in a 2-bedroom apartment). Not sure how much of a difference this will make (considering I was kissing and cuddling all of them literally minutes before the tests came back) but I don't want to take any chances. 
Not sure what to expect at this point and how to prepare for whatever is coming next. I would appreciate any advice on how to approach this or tips from people who have been in a similar situation.</t>
        </is>
      </c>
      <c r="D4502" t="n">
        <v>1</v>
      </c>
      <c r="E4502" t="n">
        <v>11</v>
      </c>
      <c r="F4502">
        <f>HYPERLINK("https://www.reddit.com/r/COVID19positive/comments/iba51a/just_tested_positive_with_no_symptoms_yet/")</f>
        <v/>
      </c>
      <c r="G4502" t="inlineStr">
        <is>
          <t>2020-08-17 01:16:20</t>
        </is>
      </c>
      <c r="H4502" t="inlineStr">
        <is>
          <t>Tested Positive - Me</t>
        </is>
      </c>
    </row>
    <row r="4503">
      <c r="A4503" t="inlineStr">
        <is>
          <t>ibaa9r</t>
        </is>
      </c>
      <c r="B4503" t="inlineStr">
        <is>
          <t>F19 didn’t go out of the house since March still got covid just when we were about to move</t>
        </is>
      </c>
      <c r="C4503" t="inlineStr">
        <is>
          <t>Me and my sis f15 got tested positive just as we were about to move to Canada again after being out of the country for a year. My parents and my two other sisters tested negative so there’re leaving us here for a month lol. They figured it’s better for them to go now since they have a risk of getting it from us. 
Funny enough, we don’t have any symptoms, nothing at all. We feel completely normal. Ok, I don’t wanna jinx myself. 
I’m kinda happy though, I’ll get to travel alone for the first time in my life when we leave after a month. We’ll binge Hannibal on the big tv and I’ll finish my courses online. Setting goals now so this time doesn’t go to waste.</t>
        </is>
      </c>
      <c r="D4503" t="n">
        <v>1</v>
      </c>
      <c r="E4503" t="n">
        <v>12</v>
      </c>
      <c r="F4503">
        <f>HYPERLINK("https://www.reddit.com/r/COVID19positive/comments/ibaa9r/f19_didnt_go_out_of_the_house_since_march_still/")</f>
        <v/>
      </c>
      <c r="G4503" t="inlineStr">
        <is>
          <t>2020-08-17 01:30:01</t>
        </is>
      </c>
      <c r="H4503" t="inlineStr">
        <is>
          <t>Tested Positive</t>
        </is>
      </c>
    </row>
    <row r="4504">
      <c r="A4504" t="inlineStr">
        <is>
          <t>ibdms0</t>
        </is>
      </c>
      <c r="B4504" t="inlineStr">
        <is>
          <t>My five month COVID long haul story</t>
        </is>
      </c>
      <c r="C4504" t="inlineStr">
        <is>
          <t>I've been reading this forum for months and have found it to be helpful seeing that other people were experiencing the same thing that I was. I thought I would add my experience.
I originally got sick on March 13th. It was a slight sore throat and runny nose that got gradually worse. After five days I had a slight fever and a little bit of shortness of breath. I lost my sense of taste for a day. Those symptoms broke after eight days and I felt better over the next few weeks. After a few weeks the only symptom I had left was that I had to clear my throat all the time when I was exercising. I couldn't get tested at the time. I would call it a mild case initially.
By mid April I felt completely normal and could live my regular life. Then I went on a long, several mile hike and was sick the next day with the same symptoms I had in March. I started feeling better again but I had a burning lung feeling every time I walked for more than a minute. I was physically exhausted all the time. 
That got worse until the beginning of May. At that point any activity led to an intense burning feeling in my lungs and also a feeling like I was suffocating. My sinuses, eyes, throat and lungs were all extremely dry. I had intense thirst no matter how much I drank. I could barely cook for myself or walk out to my car. Any activity would set off this phenomenon. After four or five days I would start to feel a bit better but then I would trigger it again.
I had been doing phone visits with my doctor but once he realized how sick I was he told me to go to the emergency room. This was mid May. I got a CT scan of my lungs, a chest xray and an echocardiogram of my heart. All were normal. I tested positive for antibodies. I was diagnosed with exercise induced asthma, which isn't the same thing as regular asthma. It has the same symptoms but different causes. I was prescribed Albuterol for that which helped a bit.
I slowly got better through the rest of May and June but was bedridden the whole time. I had intense brain fog and insomnia so most of the time I just laid there like a lump.
In early July I started to feel better and thought that this was almost over. Then in the second half of July it came back. Then it started to get better again in early August.
I think I am pretty much over it now. The exercise induced asthma has gone away. The burning lung feeling has gone away. My mucus levels have almost but not quite returned to normal. I am intensely out of shape from being bedridden for two and a half months and am told that it will take from two and a half to seven months to get my body back to where it was in terms of conditioning. But I am able to start that process. I am able to do my laundry again. Yesterday I went grocery shopping for the first time since April. If I was in shape I think I could live normal life at this point.
I am posting this because I was hopeless for a long time, and felt so bad, but now I am getting my life back. I know that there are other long haulers here who aren't as far into it and need to know that eventually it will get better.</t>
        </is>
      </c>
      <c r="D4504" t="n">
        <v>1</v>
      </c>
      <c r="E4504" t="n">
        <v>43</v>
      </c>
      <c r="F4504">
        <f>HYPERLINK("https://www.reddit.com/r/COVID19positive/comments/ibdms0/my_five_month_covid_long_haul_story/")</f>
        <v/>
      </c>
      <c r="G4504" t="inlineStr">
        <is>
          <t>2020-08-17 05:56:53</t>
        </is>
      </c>
      <c r="H4504" t="inlineStr">
        <is>
          <t>Tested Positive</t>
        </is>
      </c>
    </row>
    <row r="4505">
      <c r="A4505" t="inlineStr">
        <is>
          <t>ibf5ex</t>
        </is>
      </c>
      <c r="B4505" t="inlineStr">
        <is>
          <t>Symptoms after flu</t>
        </is>
      </c>
      <c r="C4505" t="inlineStr">
        <is>
          <t>Symptoms after flu
I’ve been having some very uncomfortable symptoms since getting sick 4-5 months ago.
The past two weeks have been the worst.  My symptoms are:
1. Throbbing heavy head pressure when waking up (gets better as the day goes by but always there...makes me nauseous and feel like throwing up)
2. Stiff neck and shoulders when waking up (like I had just worked out)
3.  Facial tension and full ears when waking up (especially on the side I’ve slept on)
4.  Blood pooling into my knees and legs when laying down for long periods of time 
5. Extreme dizziness after eating a large meal (almost feel like passing out, I start losing my balance)
6.  If I stand up anytime I feel weak and fatigued, especially after eating, I begin to get extremely lightheaded, with heavy heavy head pressure and my heart rate spikes up extremely fast (only time I really deal with dramatic heart rate increase...forces me to run cold water on my eyes to relax my heart rate)
7.  Constantly feel like I’m on a boat or somewhat drunk (afraid time move too fast for fear of dizziness and nausea)
8.  Tachycardia and heart palpitations anytime I use the bathroom and defecate!
9.  Pain between shoulder blades in a specific spot.  (Any time I over exert myself I get pain right in between my shoulder blades and in my neck at the occipital nerves)
10. Moving my eyes too fast causing extreme head pressure in facial area (could happen even while I’m laying down) 
11.  Head feels like pulling sensation when eyes closed (like I’m on a rollercoaster, about to drop)
12.  “Overheating”...feeling extreme hot internally at random times of the day.  Heart palpitations ensue
All these symptoms have been on and off for the last 4-5 months.  There were weeks where I felt good! But now it’s come back so much worse in the last two weeks.  How long do these “flares” last?? 
My brain mri with contrast, CAT scan, chest x ray, blood work, vitals etc have all been unremarkable and normal.
Yet I’m constantly dealing with extreme head pressure, dizziness, nausea, imbalance etc.
My doctor has ordered an ecg and 24 hr heart monitor to track my blood pressure and heart but I’m thinking what I’m dealing with is neurological...
Doctors have told me I had inner ear infections, sinus problems...but I feel this is different.  Could it be Vestibular or autonomic dysfunction?? 
The only thing that seems to help is laying somewhat flat and wrapping a band around my head to relieve the pressure.  
Any advice would be great.  
Male
31 yrs old 
185 lbs 
5’8</t>
        </is>
      </c>
      <c r="D4505" t="n">
        <v>1</v>
      </c>
      <c r="E4505" t="n">
        <v>9</v>
      </c>
      <c r="F4505">
        <f>HYPERLINK("https://www.reddit.com/r/COVID19positive/comments/ibf5ex/symptoms_after_flu/")</f>
        <v/>
      </c>
      <c r="G4505" t="inlineStr">
        <is>
          <t>2020-08-17 07:28:43</t>
        </is>
      </c>
      <c r="H4505" t="inlineStr">
        <is>
          <t>Presumed Positive - From Doctor</t>
        </is>
      </c>
    </row>
    <row r="4506">
      <c r="A4506" t="inlineStr">
        <is>
          <t>ibfore</t>
        </is>
      </c>
      <c r="B4506" t="inlineStr">
        <is>
          <t>Negative test results, but still feeling bad</t>
        </is>
      </c>
      <c r="C4506" t="inlineStr">
        <is>
          <t>I was tested two ways, and just received Negative results. I’m happy, and I want to feel relieved. But I don’t. I still have all of the same symptoms Ive been dealing with for a week already. It’s Bronchitis and I know it has to run its course. I’m just so tired of feeling this way. Here’s hoping you all get relief soon, so you can go back to living your life again!</t>
        </is>
      </c>
      <c r="D4506" t="n">
        <v>1</v>
      </c>
      <c r="E4506" t="n">
        <v>3</v>
      </c>
      <c r="F4506">
        <f>HYPERLINK("https://www.reddit.com/r/COVID19positive/comments/ibfore/negative_test_results_but_still_feeling_bad/")</f>
        <v/>
      </c>
      <c r="G4506" t="inlineStr">
        <is>
          <t>2020-08-17 07:58:40</t>
        </is>
      </c>
      <c r="H4506" t="inlineStr">
        <is>
          <t>Presumed Positive - From Doctor</t>
        </is>
      </c>
    </row>
    <row r="4507">
      <c r="A4507" t="inlineStr">
        <is>
          <t>ibfyu5</t>
        </is>
      </c>
      <c r="B4507" t="inlineStr">
        <is>
          <t>Second day, feeling really awful</t>
        </is>
      </c>
      <c r="C4507" t="inlineStr">
        <is>
          <t>30:ish yo male from sweden, fit and low bf, no conditions what so ever. Slammed me right away with bone pains that are extreme, chest pains, spo2 94%, usually at 98%, fever at 101-103 with meds.
Will it get worse than this or is this what it's gonna be like? Just wanna know what to prepare for. Thank you</t>
        </is>
      </c>
      <c r="D4507" t="n">
        <v>1</v>
      </c>
      <c r="E4507" t="n">
        <v>7</v>
      </c>
      <c r="F4507">
        <f>HYPERLINK("https://www.reddit.com/r/COVID19positive/comments/ibfyu5/second_day_feeling_really_awful/")</f>
        <v/>
      </c>
      <c r="G4507" t="inlineStr">
        <is>
          <t>2020-08-17 08:13:18</t>
        </is>
      </c>
      <c r="H4507" t="inlineStr">
        <is>
          <t>Tested Positive - Me</t>
        </is>
      </c>
    </row>
    <row r="4508">
      <c r="A4508" t="inlineStr">
        <is>
          <t>ibg3ch</t>
        </is>
      </c>
      <c r="B4508" t="inlineStr">
        <is>
          <t>How Did You Handle Diarrhea?</t>
        </is>
      </c>
      <c r="C4508" t="inlineStr">
        <is>
          <t>For those of you who tested positive, what did you do about the constant diarrhea?  My husband is experiencing this right now. Doctor is pretty sure he has COVID-19. Test results should come back (hopefully) by Wednesday or at least sometime this week.
He's taking Tylenol (fever and chest pain) and Delsym (coughing) for now. I wanted to give him some of the anti-diarrhea medicine I have (Up&amp;amp;Up anti-diarrheal) but I just want to make sure this would be a good idea. 
Did any of you do something differently?
Thanks in advance.</t>
        </is>
      </c>
      <c r="D4508" t="n">
        <v>1</v>
      </c>
      <c r="E4508" t="n">
        <v>7</v>
      </c>
      <c r="F4508">
        <f>HYPERLINK("https://www.reddit.com/r/COVID19positive/comments/ibg3ch/how_did_you_handle_diarrhea/")</f>
        <v/>
      </c>
      <c r="G4508" t="inlineStr">
        <is>
          <t>2020-08-17 08:20:11</t>
        </is>
      </c>
      <c r="H4508" t="inlineStr">
        <is>
          <t>Presumed Positive - From Doctor</t>
        </is>
      </c>
    </row>
    <row r="4509">
      <c r="A4509" t="inlineStr">
        <is>
          <t>ibgmwp</t>
        </is>
      </c>
      <c r="B4509" t="inlineStr">
        <is>
          <t>Im tired of ambiguous guidelines</t>
        </is>
      </c>
      <c r="C4509" t="inlineStr">
        <is>
          <t>My brother is in university and is completely asymptomatic since being exposed last Sunday and testing positive on Wednesday. He has been told several different things regarding when it is safe to return! Some say 2 weeks after exposure, 2 weeks since positive test, 10 days since no symptoms , or a negative test. The school has literally just said to call local health officials and follow their guidelines and gave him a number. He has not been able to get through at all and no one has given a clear answer. Then i have my dad who is also currently asymptotic and would’ve been exposed last Sunday as well. Some people don’t get any symptoms for an entire two weeks! So how is two weeks a good thing to go off of?  He thinks by next Monday he should be good to go back to work but what if he starts getting symptoms after? Then I have myself who has had minor symptoms. I only felt ill for 3 days and yesterday and today I feel great. I at least have a starting point and end point of my symptoms and can go off of the “10 days no symptoms guidelines” but my other family members can’t. It’s all just very confusing. And then you would think a negative test would be the obvious solution to the confusion  but CDC comes out saying not to get tested again because you can test positive for up to 12 weeks. It’s so frustrating, we’re expected to go back to our lives of work and school but we get no confirmation of when It is actually safe to do so. I don’t want to infect other people, i don’t want my family to be responsible for spreading it. But just going off these “guidelines” we very well could. End rant.</t>
        </is>
      </c>
      <c r="D4509" t="n">
        <v>1</v>
      </c>
      <c r="E4509" t="n">
        <v>4</v>
      </c>
      <c r="F4509">
        <f>HYPERLINK("https://www.reddit.com/r/COVID19positive/comments/ibgmwp/im_tired_of_ambiguous_guidelines/")</f>
        <v/>
      </c>
      <c r="G4509" t="inlineStr">
        <is>
          <t>2020-08-17 08:49:22</t>
        </is>
      </c>
      <c r="H4509" t="inlineStr">
        <is>
          <t>Tested Positive</t>
        </is>
      </c>
    </row>
    <row r="4510">
      <c r="A4510" t="inlineStr">
        <is>
          <t>ibh6rg</t>
        </is>
      </c>
      <c r="B4510" t="inlineStr">
        <is>
          <t>Recovery?</t>
        </is>
      </c>
      <c r="C4510" t="inlineStr">
        <is>
          <t>Hello,
I am an ER nurse who tested positive may 22. My whole family tested positive after. My son has fingers that shake. He is negative for covid after 2 months. My mother went into adult respiratory distress syndrome, ended up tubed but has recovered and is now home with oxygen. I had bilateral Covid pneumonia and was also hospitalised. 
Mom  and I can compare symptoms. Do your hands and feet tingle? Are you still going back and forth with feeling cold and hot ? Is your hair falling out? Do you feel achy ? Joints hurt ? Is your skin still peeling? I am very thankful that she is home especially after 8 days on a ventilator. We can compare what symptoms we are still having . Next week I will be going on bi pap to help breathing at night and expand my lung volume. Which is 1/3 of what it was. I have a problem exhaling. Mom has a problem inhaling. 
I am feeling the overwhelming depression and isolation. Part of that is how I identify myself. I am a nurse first a person second. I have not been able to return to work. I hope the bi pap works and I am able to return to work. I am keeping things in perspective though. I celebrate each new thing I can do. Along with celebrating the nurse fashion trend of surgical caps, so when I do go back I can hide the fact that my hair is half of what it used to be. I would love a list of symptoms with what week they occurred to be posted   I tested negative in July the symptoms listed above are from After testing negative.</t>
        </is>
      </c>
      <c r="D4510" t="n">
        <v>1</v>
      </c>
      <c r="E4510" t="n">
        <v>10</v>
      </c>
      <c r="F4510">
        <f>HYPERLINK("https://www.reddit.com/r/COVID19positive/comments/ibh6rg/recovery/")</f>
        <v/>
      </c>
      <c r="G4510" t="inlineStr">
        <is>
          <t>2020-08-17 09:18:11</t>
        </is>
      </c>
      <c r="H4510" t="inlineStr">
        <is>
          <t>Tested Positive - Me</t>
        </is>
      </c>
    </row>
    <row r="4511">
      <c r="A4511" t="inlineStr">
        <is>
          <t>ibi8n2</t>
        </is>
      </c>
      <c r="B4511" t="inlineStr">
        <is>
          <t>To Covid long haulers</t>
        </is>
      </c>
      <c r="C4511" t="inlineStr">
        <is>
          <t>Maybe you should give LDN (low dose naltrexone) a try. It made a big difference for me. No more pain and brain fog completely gone. I'm not out of the woods yet but with strict pacing and LDN I'm slowly getting there.
&amp;amp;#x200B;
Good luck :)</t>
        </is>
      </c>
      <c r="D4511" t="n">
        <v>1</v>
      </c>
      <c r="E4511" t="n">
        <v>5</v>
      </c>
      <c r="F4511">
        <f>HYPERLINK("https://www.reddit.com/r/COVID19positive/comments/ibi8n2/to_covid_long_haulers/")</f>
        <v/>
      </c>
      <c r="G4511" t="inlineStr">
        <is>
          <t>2020-08-17 10:11:53</t>
        </is>
      </c>
      <c r="H4511" t="inlineStr">
        <is>
          <t>Tested Positive</t>
        </is>
      </c>
    </row>
    <row r="4512">
      <c r="A4512" t="inlineStr">
        <is>
          <t>ibihwe</t>
        </is>
      </c>
      <c r="B4512" t="inlineStr">
        <is>
          <t>COVID Quarantine, Season 3</t>
        </is>
      </c>
      <c r="C4512" t="inlineStr">
        <is>
          <t>Hi! I’m a veterinary technician who has been deemed essential throughout this whole mess. I had just gotten a new job when everything started getting serious stateside. I took 2 weeks off (borrowed PTO) to stay at home while my company figured out what measures they would take to keep us and our clients safe.
I went back to work and about a month later I tested positive for COVID. Apparently, my boss had it. I spent 2 weeks at home, then had a negative test. I never had any symptoms and my family never showed symptoms.
Here I am now, 3 months after that, with another positive test. This time, I’m symptomatic. Started as a very mild sore throat yesterday morning, then evolved into bad cold symptoms. Diarrhea, congestion, fatigue, headaches, brain fog, etc. Not sure what to expect next.
I’m so tired. I wear my mask religiously, change its filter, clean the mask itself, wash my hands, use hand sanitizer, wear gloves, social distance, follow all the recommendations. I only go to work and home and the grocery store as needed. I’m frustrated and so over this.
I think I just needed a place to rant among people who have been in the same situation. Thanks for listening.</t>
        </is>
      </c>
      <c r="D4512" t="n">
        <v>1</v>
      </c>
      <c r="E4512" t="n">
        <v>12</v>
      </c>
      <c r="F4512">
        <f>HYPERLINK("https://www.reddit.com/r/COVID19positive/comments/ibihwe/covid_quarantine_season_3/")</f>
        <v/>
      </c>
      <c r="G4512" t="inlineStr">
        <is>
          <t>2020-08-17 10:24:51</t>
        </is>
      </c>
      <c r="H4512" t="inlineStr">
        <is>
          <t>Tested Positive - Me</t>
        </is>
      </c>
    </row>
    <row r="4513">
      <c r="A4513" t="inlineStr">
        <is>
          <t>ibkeea</t>
        </is>
      </c>
      <c r="B4513" t="inlineStr">
        <is>
          <t>So my gran died of covid today, hows your day going?</t>
        </is>
      </c>
      <c r="C4513" t="inlineStr">
        <is>
          <t>It happened about 8 hours ago. Im feeling abit better and just watching memes</t>
        </is>
      </c>
      <c r="D4513" t="n">
        <v>1</v>
      </c>
      <c r="E4513" t="n">
        <v>12</v>
      </c>
      <c r="F4513">
        <f>HYPERLINK("https://www.reddit.com/r/COVID19positive/comments/ibkeea/so_my_gran_died_of_covid_today_hows_your_day_going/")</f>
        <v/>
      </c>
      <c r="G4513" t="inlineStr">
        <is>
          <t>2020-08-17 11:57:34</t>
        </is>
      </c>
      <c r="H4513" t="inlineStr">
        <is>
          <t>Tested Positive - Family</t>
        </is>
      </c>
    </row>
    <row r="4514">
      <c r="A4514" t="inlineStr">
        <is>
          <t>ibldg1</t>
        </is>
      </c>
      <c r="B4514" t="inlineStr">
        <is>
          <t>Didn’t get Covid from kissing a positive person</t>
        </is>
      </c>
      <c r="C4514" t="inlineStr">
        <is>
          <t>My daughter’s boyfriend tested on Wednesday for Covid as routine to go back to campus. My daughter and him hung out all day Wednesday and before that on Sunday and we find out his results are positive on Friday. Both my daughter and I get tested on Saturday and today the results come back as negative. It’s just baffling considering they were in very close proximity including kissing. Is it not as contagious as portrayed?</t>
        </is>
      </c>
      <c r="D4514" t="n">
        <v>1</v>
      </c>
      <c r="E4514" t="n">
        <v>8</v>
      </c>
      <c r="F4514">
        <f>HYPERLINK("https://www.reddit.com/r/COVID19positive/comments/ibldg1/didnt_get_covid_from_kissing_a_positive_person/")</f>
        <v/>
      </c>
      <c r="G4514" t="inlineStr">
        <is>
          <t>2020-08-17 12:46:53</t>
        </is>
      </c>
      <c r="H4514" t="inlineStr">
        <is>
          <t>Tested Positive - Friends</t>
        </is>
      </c>
    </row>
    <row r="4515">
      <c r="A4515" t="inlineStr">
        <is>
          <t>iblf0n</t>
        </is>
      </c>
      <c r="B4515" t="inlineStr">
        <is>
          <t>Another Long Hauler Account</t>
        </is>
      </c>
      <c r="C4515" t="inlineStr">
        <is>
          <t>I’m 28, no pre-existing conditions, healthy, in shape, worked out 4-5 days a week, cardio and weights, I work in healthcare and am on my feet for most of the day (walk b/w 5,000-8,000 steps/day at work)
So I was exposed June 22, symptomatic by the 26th with chest tightness, shortness of breath, and just overall didn’t feel right, left work early. Didn’t get tested until 2 days later. The next few days, prior to getting my positive result, my symptoms kind of intensified and I began to experience brain fog, significant fatigue, sinus pressure, diarrhea/loose stools and headaches. Never had a fever and I maybe coughed a handful of times. Test eventually came back + after like 7 or 8 days but I already knew I was +. Continued to quarantine from my wife, wore my mask at home for most of the day. 
After about 3 weeks I started to feel like I was recovering and getting better. I started working out again, cardio like jumping rope and some body weight exercises. After exercising I would feel like straight garbage so I stopped. 
Tachycardia started being more apparent, HR would go up to 140-150 from standing and walking. Resting HR (seated) was in the 90-100 range. Prior to infection I was a 55-60 resting HR kinda guy.
Week 4 I went in for a chest x ray and ekg and some blood work.
Chests x-Ray showed mild thickening of my lung walls and inflammation (this was after a week of prednisone which I actually stopped one day early because I was afraid that it was increasing my heart rate)
EKG showed sinus arrhythmia with early repolarization (had an EKG about 10 years prior to this, forgot why but it was normal)
Blood work came back with my Globular filtration rate (GFR) at 72 (normal is greater than 90, my electrolytes looked fine so i don’t think i was dehydrated) some monocytes were elevated but my MD seemed unconcerned overall, chalked up my low GFR to possible dehydration 
Week 5 was much of the same, tachycardia, fatigue, low activity tolerance, intermittent chest pain around my heart if I was active for a while, brain fog, stools started being more normal/formed. 
Cardiologist appointment is set so far ahead and I was so antsy at this point I decided to try going back to work (oh yeah this is all workers comp) I did 2 days normal duty and I fell apart by Friday, extreme fatigue and chest/heart pain on both of the days that I did work. 
Week 6 and this week (7), I have been on reduced Load at work and I still think I’m struggling to keep up. Getting out of bed is difficult and having the energy to make it to lunch is tough. I have also been dealing with more severe joint pain and a new kidney pain. I don’t have an appendix so it’s def not that but this morning I’ve had these waves of very sharp and intense R flank pain, i think it’s kidney pain, anterior and lateral, haven’t had pain in my back. Never had kidney stones so idk maybe I’m developing them but I don’t have any other symptoms of kidney stones. 
My worker’s comp doc has been pretty ok but I suspect she thinks I’m being overly anxious, same with my supervisors at work. I don’t think I’m overly anxious and don’t feel anxious, just very concerned. 
I am aware that I have likely deconditioned from the dramatic reduction in activity but I still don’t feel “right”. It’s clear that a lot of long haulers with even mild cases like mine, are dealing with a slew of new health problems. 
Just thought I’d share my story up til now. Stay strong y’all.</t>
        </is>
      </c>
      <c r="D4515" t="n">
        <v>1</v>
      </c>
      <c r="E4515" t="n">
        <v>15</v>
      </c>
      <c r="F4515">
        <f>HYPERLINK("https://www.reddit.com/r/COVID19positive/comments/iblf0n/another_long_hauler_account/")</f>
        <v/>
      </c>
      <c r="G4515" t="inlineStr">
        <is>
          <t>2020-08-17 12:49:14</t>
        </is>
      </c>
      <c r="H4515" t="inlineStr">
        <is>
          <t>Tested Positive - Me</t>
        </is>
      </c>
    </row>
    <row r="4516">
      <c r="A4516" t="inlineStr">
        <is>
          <t>ibm4zx</t>
        </is>
      </c>
      <c r="B4516" t="inlineStr">
        <is>
          <t>Steroid shots</t>
        </is>
      </c>
      <c r="C4516" t="inlineStr">
        <is>
          <t>Hi all,
My mom got steroid shots today along with some antibiotics. Has anyone here had an experience with this? If so, can you tell me how you felt afterwards. My mom hasn’t been eating and says she wants to give up so I’m just desperate for some help and what to expect.</t>
        </is>
      </c>
      <c r="D4516" t="n">
        <v>1</v>
      </c>
      <c r="E4516" t="n">
        <v>10</v>
      </c>
      <c r="F4516">
        <f>HYPERLINK("https://www.reddit.com/r/COVID19positive/comments/ibm4zx/steroid_shots/")</f>
        <v/>
      </c>
      <c r="G4516" t="inlineStr">
        <is>
          <t>2020-08-17 13:25:48</t>
        </is>
      </c>
      <c r="H4516" t="inlineStr">
        <is>
          <t>Tested Positive - Family</t>
        </is>
      </c>
    </row>
    <row r="4517">
      <c r="A4517" t="inlineStr">
        <is>
          <t>ibmnb4</t>
        </is>
      </c>
      <c r="B4517" t="inlineStr">
        <is>
          <t>Is it harassment to put a closed sign on my office after I test positive for COVID?</t>
        </is>
      </c>
      <c r="C4517" t="inlineStr">
        <is>
          <t>I thought it was supposed to be confidential, HIPPA protected, the name of whoever has tested positive for coronavirus. I told my boss yesterday I tested positive, doing the right thing I thought, told him where I had gone at work. Today one of my coworkers that went into the office (I along with several others that were in office last week are on mandatory quarantine), asked me via chat if I was okay. I told my boss I would still work from home (because I am loyal and try to do that right thing) so I was online and I said yes, why? She says, “oh there is a closed sign on your office”.  I then chatted my boss and said why wouldn’t you just lock the door so no one would get in? (No one else besides me would need to go in).  He said oh - we had to close your office, this other area, the bathroom, lunchroom, etc for deep cleaning. I am not an HR expert, but am mostly speaking as a manager and as someone that has feelings, don’t you think it would be harassing to me and target me as the positive case by just putting a closed sign on my office and no one else’s?  How does my boss not see that!?!</t>
        </is>
      </c>
      <c r="D4517" t="n">
        <v>1</v>
      </c>
      <c r="E4517" t="n">
        <v>6</v>
      </c>
      <c r="F4517">
        <f>HYPERLINK("https://www.reddit.com/r/COVID19positive/comments/ibmnb4/is_it_harassment_to_put_a_closed_sign_on_my/")</f>
        <v/>
      </c>
      <c r="G4517" t="inlineStr">
        <is>
          <t>2020-08-17 13:51:40</t>
        </is>
      </c>
      <c r="H4517" t="inlineStr">
        <is>
          <t>Tested Positive - Me</t>
        </is>
      </c>
    </row>
    <row r="4518">
      <c r="A4518" t="inlineStr">
        <is>
          <t>ibnk4p</t>
        </is>
      </c>
      <c r="B4518" t="inlineStr">
        <is>
          <t>Should i self isolate?</t>
        </is>
      </c>
      <c r="C4518" t="inlineStr">
        <is>
          <t>A few days ago they called me back to work and i accepted not knowing that someone has tested positive a week before. He worked on the first floor whilst me and a few more people work on the second one, my colleagues hung out with him quite a bit before he had any symptoms, (had coffee, smoking cigs, hugged, talked and all that) my question is should i be worried and self isolate? its been over a week and a half and nobody from the first or second floor is showing any kind of symptoms.  
The mask and gloves rule is not enforced at my workplace so nobody is wearing em including me.</t>
        </is>
      </c>
      <c r="D4518" t="n">
        <v>1</v>
      </c>
      <c r="E4518" t="n">
        <v>2</v>
      </c>
      <c r="F4518">
        <f>HYPERLINK("https://www.reddit.com/r/COVID19positive/comments/ibnk4p/should_i_self_isolate/")</f>
        <v/>
      </c>
      <c r="G4518" t="inlineStr">
        <is>
          <t>2020-08-17 14:38:34</t>
        </is>
      </c>
      <c r="H4518" t="inlineStr">
        <is>
          <t>Tested Positive - Friends</t>
        </is>
      </c>
    </row>
    <row r="4519">
      <c r="A4519" t="inlineStr">
        <is>
          <t>ibnykw</t>
        </is>
      </c>
      <c r="B4519" t="inlineStr">
        <is>
          <t>Partner tested positive mild symptoms.</t>
        </is>
      </c>
      <c r="C4519" t="inlineStr">
        <is>
          <t>Hello! My partner tested positive on Thursday just gone. Lost sense of smell and taste on Monday.
Basically she has a really mild fever. GI problems. And a dry cough started today. Body aches but it comes in waves.. She is 36 has a high BMI and pre diabetic. But overall isn't getting worse nor better. I am awaiting my test result also started showing really mild symptoms such as a non often dry cough really mild fever. Body aches and sore back. But the werid thing is and I was wondering I am classed in the UK as "clinically extemenrly vulnable" due to being on immunesupprents medication, and biological medication (which was stopped a few days ago I'm really not sure if that will refire my immune system up!
So basically all I am asking is is it normal to hsve really mild symtons that just linger? We're both expecting to get kinda worse.. But it's not happening (thank god) so my partner has around a week of symptoms me around 4 days.
So basically we both feel a bit run down but have deftianly felt worse in our lifetimes. Has anyone had this then gone worse or just got better? Especially with potentially to have a weakened immune system etc.
Hope this all makes sense!
Thanks</t>
        </is>
      </c>
      <c r="D4519" t="n">
        <v>1</v>
      </c>
      <c r="E4519" t="n">
        <v>5</v>
      </c>
      <c r="F4519">
        <f>HYPERLINK("https://www.reddit.com/r/COVID19positive/comments/ibnykw/partner_tested_positive_mild_symptoms/")</f>
        <v/>
      </c>
      <c r="G4519" t="inlineStr">
        <is>
          <t>2020-08-17 15:00:09</t>
        </is>
      </c>
      <c r="H4519" t="inlineStr">
        <is>
          <t>Tested Positive - Family</t>
        </is>
      </c>
    </row>
    <row r="4520">
      <c r="A4520" t="inlineStr">
        <is>
          <t>ibp3q9</t>
        </is>
      </c>
      <c r="B4520" t="inlineStr">
        <is>
          <t>Sister tested positive... we hung out 5 days before her positive test. What to do?</t>
        </is>
      </c>
      <c r="C4520" t="inlineStr">
        <is>
          <t>She developed fever, nausea, fatigue and a loss of smell and taste right after we hung out.
Fast forward to today it has been 10 days since we hung out. I have 0 symptoms.
I am flying in 2 weeks out of necessity and I'm worried about the whole situation.
I'm debating between self isolating for the full 14 days checking to make sure I don't develop symptoms in the next 4 days (bc its been 10 days since I last saw her) OR taking a formal test. Regardless of the outcome I legally have to quarantine for 14 days since exposure since I don't have symptoms.
I just don't know if theres any point to testing right now unless I develop symptoms. Thoughts?</t>
        </is>
      </c>
      <c r="D4520" t="n">
        <v>1</v>
      </c>
      <c r="E4520" t="n">
        <v>3</v>
      </c>
      <c r="F4520">
        <f>HYPERLINK("https://www.reddit.com/r/COVID19positive/comments/ibp3q9/sister_tested_positive_we_hung_out_5_days_before/")</f>
        <v/>
      </c>
      <c r="G4520" t="inlineStr">
        <is>
          <t>2020-08-17 16:02:17</t>
        </is>
      </c>
      <c r="H4520" t="inlineStr">
        <is>
          <t>Tested Positive - Family</t>
        </is>
      </c>
    </row>
    <row r="4521">
      <c r="A4521" t="inlineStr">
        <is>
          <t>ibpc1a</t>
        </is>
      </c>
      <c r="B4521" t="inlineStr">
        <is>
          <t>Did anyone else start experiencing symptoms 2-3 weeks before being hit by the worst of it (fever, chills, etc)?</t>
        </is>
      </c>
      <c r="C4521" t="inlineStr">
        <is>
          <t>Hi everyone!
I was just reflecting on my COVID journey and I realized I hadn’t heard about any one else who experienced symptoms 2-3 weeks before they got hit with the worst of the virus. 
Three weeks before I got fever and chills and symptoms that are typical of a virus I had abdominal pain (around my gallbladder area, even got tested for gallstones via ultrasound - nothing came up), joint pain, eye pain and blurriness and dizziness. 
Did anyone else experience a long incubation period? Anyone have any explanations? Most experiences I read about say it took a few days for most.</t>
        </is>
      </c>
      <c r="D4521" t="n">
        <v>1</v>
      </c>
      <c r="E4521" t="n">
        <v>5</v>
      </c>
      <c r="F4521">
        <f>HYPERLINK("https://www.reddit.com/r/COVID19positive/comments/ibpc1a/did_anyone_else_start_experiencing_symptoms_23/")</f>
        <v/>
      </c>
      <c r="G4521" t="inlineStr">
        <is>
          <t>2020-08-17 16:15:46</t>
        </is>
      </c>
      <c r="H4521" t="inlineStr">
        <is>
          <t>Tested Positive - Me</t>
        </is>
      </c>
    </row>
    <row r="4522">
      <c r="A4522" t="inlineStr">
        <is>
          <t>ibpjmk</t>
        </is>
      </c>
      <c r="B4522" t="inlineStr">
        <is>
          <t>Antibodies after 4 1/2 months</t>
        </is>
      </c>
      <c r="C4522" t="inlineStr">
        <is>
          <t>I made my first COVID-19 Convalescent Plasma donation at The American Red Cross this past Saturday. I got results indicating positive Covid-19 antibodies today. I was sick  March 22nd to April 6th. I can donate again September 12th. Hopefully those Antibodies help someone.</t>
        </is>
      </c>
      <c r="D4522" t="n">
        <v>1</v>
      </c>
      <c r="E4522" t="n">
        <v>13</v>
      </c>
      <c r="F4522">
        <f>HYPERLINK("https://www.reddit.com/r/COVID19positive/comments/ibpjmk/antibodies_after_4_12_months/")</f>
        <v/>
      </c>
      <c r="G4522" t="inlineStr">
        <is>
          <t>2020-08-17 16:28:25</t>
        </is>
      </c>
      <c r="H4522" t="inlineStr">
        <is>
          <t>Tested Positive</t>
        </is>
      </c>
    </row>
    <row r="4523">
      <c r="A4523" t="inlineStr">
        <is>
          <t>ibq78t</t>
        </is>
      </c>
      <c r="B4523" t="inlineStr">
        <is>
          <t>Guess I'm lucky.</t>
        </is>
      </c>
      <c r="C4523" t="inlineStr">
        <is>
          <t>I tested positive on the second of August, and so far nothing to report. Going back to work on the 19th, which I'm happy as hell about.
No symptoms, fever, cough. I work in health care, and was told that they will be conducting mandatory weekly testing. My son's 9th birthday is coming up, and I cannot afford to be broke and not make his day happy. Anyhow, if anyone wants me to keep them updated about the weekly testing, I will. If I test positive again, it's another 10 days of no work, no money and I don't even have permanent residence at this point other than my car. Wish you all the best!!!</t>
        </is>
      </c>
      <c r="D4523" t="n">
        <v>1</v>
      </c>
      <c r="E4523" t="n">
        <v>6</v>
      </c>
      <c r="F4523">
        <f>HYPERLINK("https://www.reddit.com/r/COVID19positive/comments/ibq78t/guess_im_lucky/")</f>
        <v/>
      </c>
      <c r="G4523" t="inlineStr">
        <is>
          <t>2020-08-17 17:06:55</t>
        </is>
      </c>
      <c r="H4523" t="inlineStr">
        <is>
          <t>Tested Positive - Me</t>
        </is>
      </c>
    </row>
    <row r="4524">
      <c r="A4524" t="inlineStr">
        <is>
          <t>ibq7ss</t>
        </is>
      </c>
      <c r="B4524" t="inlineStr">
        <is>
          <t>Mildly positive due to meds?</t>
        </is>
      </c>
      <c r="C4524" t="inlineStr">
        <is>
          <t>My dad just tested positive in the blood test. We talked with the lab that did the tests and said he mildly tested positive? We are waiting for the PCR test to check if he's really positive or the meds he takes affected the blood test. My cousin had the same results but her PCR test came back negative. Anyone know of a similar case? I'm really anxious because he has asthma and I have a Multiple Sclerosis diagnosis and on the 24th I was supossed to go to the neurologist to see if I have it depending on my spinal tap and mri results. Please help I really need some advice</t>
        </is>
      </c>
      <c r="D4524" t="n">
        <v>1</v>
      </c>
      <c r="E4524" t="n">
        <v>6</v>
      </c>
      <c r="F4524">
        <f>HYPERLINK("https://www.reddit.com/r/COVID19positive/comments/ibq7ss/mildly_positive_due_to_meds/")</f>
        <v/>
      </c>
      <c r="G4524" t="inlineStr">
        <is>
          <t>2020-08-17 17:07:54</t>
        </is>
      </c>
      <c r="H4524" t="inlineStr">
        <is>
          <t>Tested Positive - Family</t>
        </is>
      </c>
    </row>
    <row r="4525">
      <c r="A4525" t="inlineStr">
        <is>
          <t>ibrh97</t>
        </is>
      </c>
      <c r="B4525" t="inlineStr">
        <is>
          <t>17 days after first symptoms, dealing with extreme fatigue, brain fog, muscle weakness</t>
        </is>
      </c>
      <c r="C4525" t="inlineStr">
        <is>
          <t>Does anyone have any advice for someone suffering these symptoms? I got better on days 7 - 11 post first symptoms, and since day 12 have been dealing with the stuff mentioned in the title. 
Those are my only symptoms currently, so I don't think I still have COVID -- no shortness of breath, cough, etc...just the mental fatigue stuff. 
Anyone dealt with these symptoms? Are there any resources for learning about how long this might last? Does anyone know of anything I can do to improve? 
Thanks in advance.</t>
        </is>
      </c>
      <c r="D4525" t="n">
        <v>1</v>
      </c>
      <c r="E4525" t="n">
        <v>3</v>
      </c>
      <c r="F4525">
        <f>HYPERLINK("https://www.reddit.com/r/COVID19positive/comments/ibrh97/17_days_after_first_symptoms_dealing_with_extreme/")</f>
        <v/>
      </c>
      <c r="G4525" t="inlineStr">
        <is>
          <t>2020-08-17 18:26:06</t>
        </is>
      </c>
      <c r="H4525" t="inlineStr">
        <is>
          <t>Tested Positive - Me</t>
        </is>
      </c>
    </row>
    <row r="4526">
      <c r="A4526" t="inlineStr">
        <is>
          <t>ibtc29</t>
        </is>
      </c>
      <c r="B4526" t="inlineStr">
        <is>
          <t>I feel ashamed and don't want to face my coworkers.</t>
        </is>
      </c>
      <c r="C4526" t="inlineStr">
        <is>
          <t>In the past months since this started I've gone out to unnecessary places exactly 4 times- 3 tj Maxx and 1 dollar store. Everything else has been necessary purchases. I've hung out with 2 friends that have been super careful and cleaning everything and have worn a mask the entire time I was with them. I have been washing my hands constantly and trying my hardest not to touch my face. At work I wore a face shield with a mask.
I still got abnormal on my test. :( I still feel embarrassed and almost dirty. Anyone else?</t>
        </is>
      </c>
      <c r="D4526" t="n">
        <v>1</v>
      </c>
      <c r="E4526" t="n">
        <v>22</v>
      </c>
      <c r="F4526">
        <f>HYPERLINK("https://www.reddit.com/r/COVID19positive/comments/ibtc29/i_feel_ashamed_and_dont_want_to_face_my_coworkers/")</f>
        <v/>
      </c>
      <c r="G4526" t="inlineStr">
        <is>
          <t>2020-08-17 20:22:33</t>
        </is>
      </c>
      <c r="H4526" t="inlineStr">
        <is>
          <t>Presumed Positive - From Test</t>
        </is>
      </c>
    </row>
    <row r="4527">
      <c r="A4527" t="inlineStr">
        <is>
          <t>ibtlj2</t>
        </is>
      </c>
      <c r="B4527" t="inlineStr">
        <is>
          <t>Do I have Covid again?</t>
        </is>
      </c>
      <c r="C4527" t="inlineStr">
        <is>
          <t>I tested positive via rapid swab test on July 25. Lost my sense of taste, smell, etc, was tired and felt like shit. I quarantined for 14 days. On day 5, the lab test came back negative. I stayed quarantined until August 9. I’ve been back to work for 8 days, feeling fine and bam, today I develop a sore throat and a cough. I’m planning to get tested again tomorrow but fudge, if I have to call my boss tomorrow and tell her I have Covid again I’m gonna scream. Do you think I just haven’t cleared it yet, and it went dormant for two weeks and is now back?</t>
        </is>
      </c>
      <c r="D4527" t="n">
        <v>1</v>
      </c>
      <c r="E4527" t="n">
        <v>11</v>
      </c>
      <c r="F4527">
        <f>HYPERLINK("https://www.reddit.com/r/COVID19positive/comments/ibtlj2/do_i_have_covid_again/")</f>
        <v/>
      </c>
      <c r="G4527" t="inlineStr">
        <is>
          <t>2020-08-17 20:40:21</t>
        </is>
      </c>
      <c r="H4527" t="inlineStr">
        <is>
          <t>Tested Positive - Me</t>
        </is>
      </c>
    </row>
    <row r="4528">
      <c r="A4528" t="inlineStr">
        <is>
          <t>ibtnkh</t>
        </is>
      </c>
      <c r="B4528" t="inlineStr">
        <is>
          <t>When/How to start working out again?</t>
        </is>
      </c>
      <c r="C4528" t="inlineStr">
        <is>
          <t>22F. Tested positive about 8 days ago, came into contact with covid positive person 15 days ago. Had pretty mild symptoms, however definitely lost a lot of stamina. How should I go about working out again? What are some things I can do? Walk/jog on a tread? 
A bit defeated because I walked some incline yesterday for maybe 5 minutes and was out of breathe for a longggg time :( all this only sitting/lying around and eating has made me feel pretty shit about myself and really want to get back to working out.</t>
        </is>
      </c>
      <c r="D4528" t="n">
        <v>1</v>
      </c>
      <c r="E4528" t="n">
        <v>9</v>
      </c>
      <c r="F4528">
        <f>HYPERLINK("https://www.reddit.com/r/COVID19positive/comments/ibtnkh/whenhow_to_start_working_out_again/")</f>
        <v/>
      </c>
      <c r="G4528" t="inlineStr">
        <is>
          <t>2020-08-17 20:44:07</t>
        </is>
      </c>
      <c r="H4528" t="inlineStr">
        <is>
          <t>Tested Positive - Me</t>
        </is>
      </c>
    </row>
    <row r="4529">
      <c r="A4529" t="inlineStr">
        <is>
          <t>ibydn5</t>
        </is>
      </c>
      <c r="B4529" t="inlineStr">
        <is>
          <t>I probably have chronic fatigue now from having Corona in april. Slightest activity makes me crash for several days exhausted unable to do anything, bloodwork is normal</t>
        </is>
      </c>
      <c r="C4529" t="inlineStr">
        <is>
          <t>It just takes a short gentle walk for it to set in.
Immediately afterwards the headache arrives. It hurts around the temporals and then around the forehead. It's a dull pressuring headache. This pressure spreads to the jaws. The jaws start feeling heavy. Arms feel a bit heavy. Just in general there's a weird feeling in the body.
Flash forward 24 hours later. I wake up completely exhausted and unable to get out of bed. It's like there's something very heavy over me. Arms feel like they weigh 100 pounds. My whole upper body feels like it's wading through water and operating under slow motion. I feel like I've been in the gym and my body is full of lactate that never disappears. Sleep and recovery doesn't help. It's like waking up feeling hung over every day.
This exhausted feeling lasts for a week or two. Then I start feeling somewhat normal again. I take a short walk or maybe overextert myself at home. And this happens again. And so it goes in circles, and there's no end to this.
Former athlete and gymgoer. 23 yo. Now unable to take short walks.
Don't tell me I'm alone in experiencing this. I refuse to believe that.</t>
        </is>
      </c>
      <c r="D4529" t="n">
        <v>1</v>
      </c>
      <c r="E4529" t="n">
        <v>103</v>
      </c>
      <c r="F4529">
        <f>HYPERLINK("https://www.reddit.com/r/COVID19positive/comments/ibydn5/i_probably_have_chronic_fatigue_now_from_having/")</f>
        <v/>
      </c>
      <c r="G4529" t="inlineStr">
        <is>
          <t>2020-08-18 03:20:56</t>
        </is>
      </c>
      <c r="H4529" t="inlineStr">
        <is>
          <t>Presumed Positive - From Doctor</t>
        </is>
      </c>
    </row>
    <row r="4530">
      <c r="A4530" t="inlineStr">
        <is>
          <t>ibz4sz</t>
        </is>
      </c>
      <c r="B4530" t="inlineStr">
        <is>
          <t>Scared to death don’t know what to do</t>
        </is>
      </c>
      <c r="C4530" t="inlineStr">
        <is>
          <t>Hello everyone, I’m very scared right now and was just wondering if anyone could offer me some reassurance. I tested positive and seem to be feeling very anxious all the time. Like I have really bad brain fog and I feel confused and spaced out. I woke up in the middle of the night confused and sweating. This is definitely taking a toll on my mental health because I’m just so scared. I cried this morning and I never cry. Is this stuff normal? I just want this to be over</t>
        </is>
      </c>
      <c r="D4530" t="n">
        <v>1</v>
      </c>
      <c r="E4530" t="n">
        <v>30</v>
      </c>
      <c r="F4530">
        <f>HYPERLINK("https://www.reddit.com/r/COVID19positive/comments/ibz4sz/scared_to_death_dont_know_what_to_do/")</f>
        <v/>
      </c>
      <c r="G4530" t="inlineStr">
        <is>
          <t>2020-08-18 04:20:04</t>
        </is>
      </c>
      <c r="H4530" t="inlineStr">
        <is>
          <t>Tested Positive - Me</t>
        </is>
      </c>
    </row>
    <row r="4531">
      <c r="A4531" t="inlineStr">
        <is>
          <t>ic0qfu</t>
        </is>
      </c>
      <c r="B4531" t="inlineStr">
        <is>
          <t>A month since onset of symptoms and every day I wake up so sore.</t>
        </is>
      </c>
      <c r="C4531" t="inlineStr">
        <is>
          <t>So since all this began, it took me two weeks to get through the worse symptoms. After my fever went away I started getting terrible pain in my heels. Now it’s a mixture of that, knee and elbow joint pain. Back pain  occurs when I take a deep breath. Anyone else have similar pains? 
I’m 31 and in great shape but every morning I wake up feeling like I got jumped. I haven’t worked out in three weeks but the soreness continues. Hoping this goes away soon.</t>
        </is>
      </c>
      <c r="D4531" t="n">
        <v>1</v>
      </c>
      <c r="E4531" t="n">
        <v>5</v>
      </c>
      <c r="F4531">
        <f>HYPERLINK("https://www.reddit.com/r/COVID19positive/comments/ic0qfu/a_month_since_onset_of_symptoms_and_every_day_i/")</f>
        <v/>
      </c>
      <c r="G4531" t="inlineStr">
        <is>
          <t>2020-08-18 06:12:51</t>
        </is>
      </c>
      <c r="H4531" t="inlineStr">
        <is>
          <t>Tested Positive - Me</t>
        </is>
      </c>
    </row>
    <row r="4532">
      <c r="A4532" t="inlineStr">
        <is>
          <t>ic1xpg</t>
        </is>
      </c>
      <c r="B4532" t="inlineStr">
        <is>
          <t>Anyone else almost passing out after bending over and sitting up?</t>
        </is>
      </c>
      <c r="C4532" t="inlineStr">
        <is>
          <t>I'm starting to wonder if I have heart issues developing. When I'm lying down and sit up, or if I'm squatting and then stand up, I get really dizzy and have to hang on to the wall to keep from falling over. Everything tries to go black and I go weak. Only lasts a few seconds but it happens EVERY single time I do these things. It's not like it's avoidable, I do have to lay down or sit in a chair. Doesn't seem to matter how slow or fast I get up.
Anyone else having similar issues? I have all the other fun stuff like fatigue, heart palptiations, serious lower back pain, etc.</t>
        </is>
      </c>
      <c r="D4532" t="n">
        <v>1</v>
      </c>
      <c r="E4532" t="n">
        <v>11</v>
      </c>
      <c r="F4532">
        <f>HYPERLINK("https://www.reddit.com/r/COVID19positive/comments/ic1xpg/anyone_else_almost_passing_out_after_bending_over/")</f>
        <v/>
      </c>
      <c r="G4532" t="inlineStr">
        <is>
          <t>2020-08-18 07:24:11</t>
        </is>
      </c>
      <c r="H4532" t="inlineStr">
        <is>
          <t>Presumed Positive - From Doctor</t>
        </is>
      </c>
    </row>
    <row r="4533">
      <c r="A4533" t="inlineStr">
        <is>
          <t>ic2gta</t>
        </is>
      </c>
      <c r="B4533" t="inlineStr">
        <is>
          <t>My dad was admitted for pneumonia. Make me feel better</t>
        </is>
      </c>
      <c r="C4533" t="inlineStr">
        <is>
          <t>He is 60, obese with HTN. All of us tested positive for covid a week ago. His oxygen kept dropping at home (and his fever was 103), so we took him to the hospital 3 times. On his trip last night they found pneumonia on both his lungs but still sent him home with nothing (they didn’t even give him oxygen and send him with the same antibiotics he finished a couple of days ago; blew my fucking mind). 
Hours after we was discharged, we had to call 911 because he couldn’t even walk and his oxygen was so low. This time, the doctor said he needs to be admitted because he’s not doing too well. His oxygen levels are mid to high 80s. He’s on oxygen now. Please Tell me he’s going to be fine.</t>
        </is>
      </c>
      <c r="D4533" t="n">
        <v>1</v>
      </c>
      <c r="E4533" t="n">
        <v>12</v>
      </c>
      <c r="F4533">
        <f>HYPERLINK("https://www.reddit.com/r/COVID19positive/comments/ic2gta/my_dad_was_admitted_for_pneumonia_make_me_feel/")</f>
        <v/>
      </c>
      <c r="G4533" t="inlineStr">
        <is>
          <t>2020-08-18 07:53:13</t>
        </is>
      </c>
      <c r="H4533" t="inlineStr">
        <is>
          <t>Tested Positive - Family</t>
        </is>
      </c>
    </row>
    <row r="4534">
      <c r="A4534" t="inlineStr">
        <is>
          <t>ic2utu</t>
        </is>
      </c>
      <c r="B4534" t="inlineStr">
        <is>
          <t>23 weeks later. Finally off the blood thinners. Clot is gone. Pericardial effusion is gone. Guts back to normal. Ear pain gone. Random low level fevers gone. Sun sensitivity gone. Rashes gone. Energy levels way up.</t>
        </is>
      </c>
      <c r="C4534" t="inlineStr">
        <is>
          <t xml:space="preserve">
It's been a hell of a 6 months, but I think I'm finally over this. Just came back from a 12 day camping trip. First time out since early march. Decided to go after I stopped the thinners because I needed to escape these 4 walls. Had a blast. Was just what I needed. I'm finally back.
I'm still a bit sensitive to certain foods, and I'm apparently a migraine sufferer now, but I'm green on nearly every level.
For months I thought this was for life. I can't express how happy I am that it appears otherwise.
Hold Fast, friends. This shit does end.</t>
        </is>
      </c>
      <c r="D4534" t="n">
        <v>1</v>
      </c>
      <c r="E4534" t="n">
        <v>108</v>
      </c>
      <c r="F4534">
        <f>HYPERLINK("https://www.reddit.com/r/COVID19positive/comments/ic2utu/23_weeks_later_finally_off_the_blood_thinners/")</f>
        <v/>
      </c>
      <c r="G4534" t="inlineStr">
        <is>
          <t>2020-08-18 08:14:02</t>
        </is>
      </c>
      <c r="H4534" t="inlineStr">
        <is>
          <t>Tested Positive - Me</t>
        </is>
      </c>
    </row>
    <row r="4535">
      <c r="A4535" t="inlineStr">
        <is>
          <t>ic34gy</t>
        </is>
      </c>
      <c r="B4535" t="inlineStr">
        <is>
          <t>I just tested positive today.</t>
        </is>
      </c>
      <c r="C4535" t="inlineStr">
        <is>
          <t>I've been moving back to college and went to get tested yesterday at my university's testing center. I got the results back this morning and it was positive. My roommate went to get tested with me and she tested negative. I've been asymptomatic. How positive are false positives?</t>
        </is>
      </c>
      <c r="D4535" t="n">
        <v>1</v>
      </c>
      <c r="E4535" t="n">
        <v>5</v>
      </c>
      <c r="F4535">
        <f>HYPERLINK("https://www.reddit.com/r/COVID19positive/comments/ic34gy/i_just_tested_positive_today/")</f>
        <v/>
      </c>
      <c r="G4535" t="inlineStr">
        <is>
          <t>2020-08-18 08:28:32</t>
        </is>
      </c>
      <c r="H4535" t="inlineStr">
        <is>
          <t>Presumed Positive - From Test</t>
        </is>
      </c>
    </row>
    <row r="4536">
      <c r="A4536" t="inlineStr">
        <is>
          <t>ic3fvk</t>
        </is>
      </c>
      <c r="B4536" t="inlineStr">
        <is>
          <t>How long after being exposed to a infected person should you wait to get tested?</t>
        </is>
      </c>
      <c r="C4536" t="inlineStr">
        <is>
          <t>My brother came into contact with a girl on friday-saturday that had tested postive
He got tested today Tuesday with a rapid test and it came back negative
Is that too soon to get tested? Does the virus not need a week to show up postive? 
They send the test off to get fully ttested as this was just the rapid test</t>
        </is>
      </c>
      <c r="D4536" t="n">
        <v>1</v>
      </c>
      <c r="E4536" t="n">
        <v>5</v>
      </c>
      <c r="F4536">
        <f>HYPERLINK("https://www.reddit.com/r/COVID19positive/comments/ic3fvk/how_long_after_being_exposed_to_a_infected_person/")</f>
        <v/>
      </c>
      <c r="G4536" t="inlineStr">
        <is>
          <t>2020-08-18 08:44:49</t>
        </is>
      </c>
      <c r="H4536" t="inlineStr">
        <is>
          <t>Tested Positive - Friends</t>
        </is>
      </c>
    </row>
    <row r="4537">
      <c r="A4537" t="inlineStr">
        <is>
          <t>ic3g2p</t>
        </is>
      </c>
      <c r="B4537" t="inlineStr">
        <is>
          <t>Partner and Friend Tested Positive - Me &amp;amp; Daughter negative.</t>
        </is>
      </c>
      <c r="C4537" t="inlineStr">
        <is>
          <t>So... Basically my partner tested positive last Thursday. After showing symptoms around Monday. (Mild) I did a test on Saturday just gone along with my 2 year old daughter and received a negative results on both today. Her friend also tested positive today also did the test on Satuday. Basically i live her and share everything with her etc. We all went out on the Friday before. Partner, Daughter and Friend together. 
So is  it possible i just didn't catch it along with my daughter?. I have no recollection of symptoms in the past. I was also on Immunosuppressant etc so basically at a higher risk while she was showing symptoms. Currently only thing i have is body aches midly and a bad headache and tiredness no fever etc. I am putting this down to stopping my Immunosuppressant medication and biological medication.
TLDR partner and friend me and daughter all sat together a week and bit ago they partner and friend Positive. Me and Daughter negative. Anyone else has this before?
Thanks</t>
        </is>
      </c>
      <c r="D4537" t="n">
        <v>1</v>
      </c>
      <c r="E4537" t="n">
        <v>9</v>
      </c>
      <c r="F4537">
        <f>HYPERLINK("https://www.reddit.com/r/COVID19positive/comments/ic3g2p/partner_and_friend_tested_positive_me_daughter/")</f>
        <v/>
      </c>
      <c r="G4537" t="inlineStr">
        <is>
          <t>2020-08-18 08:45:09</t>
        </is>
      </c>
      <c r="H4537" t="inlineStr">
        <is>
          <t>Tested Positive - Family</t>
        </is>
      </c>
    </row>
    <row r="4538">
      <c r="A4538" t="inlineStr">
        <is>
          <t>ic3qys</t>
        </is>
      </c>
      <c r="B4538" t="inlineStr">
        <is>
          <t>Currently quarantined after Covid test, if I don’t have it, what is the likely cause of my symptoms?</t>
        </is>
      </c>
      <c r="C4538" t="inlineStr">
        <is>
          <t>So the first thing I noticed was a sore throat. Tuesday or Wednesday of last week. Then it turned into fatigue, chills, and aches starting on Friday. 
I went to the doctor yesterday &amp;amp; he tested me for strep which was negative. Then he said we need to test for Covid. He didn’t mention anything else. 
If my Covid test is negative, what am I likely experiencing? A stomach bug, a cold?</t>
        </is>
      </c>
      <c r="D4538" t="n">
        <v>1</v>
      </c>
      <c r="E4538" t="n">
        <v>4</v>
      </c>
      <c r="F4538">
        <f>HYPERLINK("https://www.reddit.com/r/COVID19positive/comments/ic3qys/currently_quarantined_after_covid_test_if_i_dont/")</f>
        <v/>
      </c>
      <c r="G4538" t="inlineStr">
        <is>
          <t>2020-08-18 09:00:52</t>
        </is>
      </c>
      <c r="H4538" t="inlineStr">
        <is>
          <t>Presumed Positive - From Doctor</t>
        </is>
      </c>
    </row>
    <row r="4539">
      <c r="A4539" t="inlineStr">
        <is>
          <t>ic3shi</t>
        </is>
      </c>
      <c r="B4539" t="inlineStr">
        <is>
          <t>Can somebody explain my rapid antibody test result?</t>
        </is>
      </c>
      <c r="C4539" t="inlineStr">
        <is>
          <t>So I took the Zybio rapid antibody test earlier today and tested positive for both IgM and IgG. I haven't been showing other symptoms other than my loss of smell that I've been dealing with for 8 days now. People I came into contact with for the last 8 days, including my immunocompromised parents whom I live with, don't seem to show symptoms either. The nurse just told me to quarantine for 14 days.
Does this result mean I have the virus?</t>
        </is>
      </c>
      <c r="D4539" t="n">
        <v>1</v>
      </c>
      <c r="E4539" t="n">
        <v>8</v>
      </c>
      <c r="F4539">
        <f>HYPERLINK("https://www.reddit.com/r/COVID19positive/comments/ic3shi/can_somebody_explain_my_rapid_antibody_test_result/")</f>
        <v/>
      </c>
      <c r="G4539" t="inlineStr">
        <is>
          <t>2020-08-18 09:03:01</t>
        </is>
      </c>
      <c r="H4539" t="inlineStr">
        <is>
          <t>Tested Positive - Me</t>
        </is>
      </c>
    </row>
    <row r="4540">
      <c r="A4540" t="inlineStr">
        <is>
          <t>ic4j82</t>
        </is>
      </c>
      <c r="B4540" t="inlineStr">
        <is>
          <t>Lingering symptoms after negative test</t>
        </is>
      </c>
      <c r="C4540" t="inlineStr">
        <is>
          <t>Hey all, 
I have a question for any/all who tested positive, "recovered", and have since tested negative. 
I'm a 23 yo male, was healthy/active, all that. I tested positive 8/3, spent two weeks in isolation while my symptoms fluctuated but steadily improved, and received a negative test yesterday, 8/17. 
However, I don't feel 100% recovered. I have lingering congestion that doesn't seem to be improving or worsening. I'm also still experiencing a dull ache in my chest, mainly around my sternum, so it feels a bit more musculoskeletal than pulmonary (maybe from all the sitting/laying down). Lastly, my cough, which wasn't really a major symptom during the two weeks, is still around; it often feels like its trying to clear something in my lungs if that makes sense. 
So I'm curious if anyone else is experiencing/experienced similar? My Dr. was a bit dismissive since I'm young, have a healthy track record, and tested negative, so she didn't really address my concerns about my lingering symptoms, just brushed it off and said I'm free to go. However, my Dad is an extremely high-risk person and I would hate to be lulled into a false sense of security here. I don't know if it's truly safe to leave isolation or not because the last thing I would want is to cause someone else to have to go through this.
I would love to hear others experiences or advice.</t>
        </is>
      </c>
      <c r="D4540" t="n">
        <v>1</v>
      </c>
      <c r="E4540" t="n">
        <v>5</v>
      </c>
      <c r="F4540">
        <f>HYPERLINK("https://www.reddit.com/r/COVID19positive/comments/ic4j82/lingering_symptoms_after_negative_test/")</f>
        <v/>
      </c>
      <c r="G4540" t="inlineStr">
        <is>
          <t>2020-08-18 09:40:56</t>
        </is>
      </c>
      <c r="H4540" t="inlineStr">
        <is>
          <t>Tested Positive - Me</t>
        </is>
      </c>
    </row>
    <row r="4541">
      <c r="A4541" t="inlineStr">
        <is>
          <t>ic4vj2</t>
        </is>
      </c>
      <c r="B4541" t="inlineStr">
        <is>
          <t>I have a mild case while boyfriend is the sickest he’s been</t>
        </is>
      </c>
      <c r="C4541" t="inlineStr">
        <is>
          <t>Last Saturday night my boyfriend started to feel sick - so we decided to get him tested the next morning. It came back positive. I wasn’t feeling sick at all but I figured it would be good to get tested. On Monday morning I got tested and it came back (big surprise) positive. 
I noticed a dry throat Sunday afternoon. But other than that felt 100%. Still to this day - I feel the same. My heart rate is slightly elevated sitting around 59 (usually 54), dry throat, and small amounts of mucus. Kind of feels like super mild allergies. 
On the other hand my boyfriend has been having the worst body aches he’s ever had and fatigue.
Im a 25F that works out at high intensity 6+ times a week. I eat an whole foods (most of the time - gotta have beer and cookies every now and then) diet, and I’ve never gotten the flu before. The Bf has a semi similar lifestyle but always gets a pretty bad sickness once a year and has gotten the flu before. 
Crazy how we are having such different reactions. I bet it just boils down to your immune system.</t>
        </is>
      </c>
      <c r="D4541" t="n">
        <v>1</v>
      </c>
      <c r="E4541" t="n">
        <v>5</v>
      </c>
      <c r="F4541">
        <f>HYPERLINK("https://www.reddit.com/r/COVID19positive/comments/ic4vj2/i_have_a_mild_case_while_boyfriend_is_the_sickest/")</f>
        <v/>
      </c>
      <c r="G4541" t="inlineStr">
        <is>
          <t>2020-08-18 09:58:44</t>
        </is>
      </c>
      <c r="H4541" t="inlineStr">
        <is>
          <t>Tested Positive - Me</t>
        </is>
      </c>
    </row>
    <row r="4542">
      <c r="A4542" t="inlineStr">
        <is>
          <t>ic57h7</t>
        </is>
      </c>
      <c r="B4542" t="inlineStr">
        <is>
          <t>Tested positive- weird symptoms?</t>
        </is>
      </c>
      <c r="C4542" t="inlineStr">
        <is>
          <t>Hello everyone: 
I just received my test results back saying I’m positive for Covid. I’m thankful that my case has been pretty mild. I have a cough here and there but nothing major. I do however, get a weird pain on my hips and legs, especially if I’m lying down for too long or if I bend down to grab something, it’s pretty unbearable and frustrating. Has anyone else experienced that before? Also, I lost some of my sense of smell. I’m able to smell some things very faintly and other things not at all. When it comes to taste, it’s very weird too. When I eat salty foods, most of the time it feels like I’m just putting piles of salt in my mouth. It’s very gross. With sweet food though (like blue berries, kiwis, and granola because that’s all I’ve been able to eat and feel okay) I feel like I can taste it just fine? Has this happened to anyone?! How long has this lasted?</t>
        </is>
      </c>
      <c r="D4542" t="n">
        <v>1</v>
      </c>
      <c r="E4542" t="n">
        <v>9</v>
      </c>
      <c r="F4542">
        <f>HYPERLINK("https://www.reddit.com/r/COVID19positive/comments/ic57h7/tested_positive_weird_symptoms/")</f>
        <v/>
      </c>
      <c r="G4542" t="inlineStr">
        <is>
          <t>2020-08-18 10:15:41</t>
        </is>
      </c>
      <c r="H4542" t="inlineStr">
        <is>
          <t>Tested Positive</t>
        </is>
      </c>
    </row>
    <row r="4543">
      <c r="A4543" t="inlineStr">
        <is>
          <t>ic7c4q</t>
        </is>
      </c>
      <c r="B4543" t="inlineStr">
        <is>
          <t>Am I responsible for passing on this information?</t>
        </is>
      </c>
      <c r="C4543" t="inlineStr">
        <is>
          <t>Hi reddit,
I have 2 friends who work as servers at a restaurant in a suburb of Chicago. They just found out that 3 of their fellow servers tested positive for covid, and 2 others are sick likely with covid. All of these people were going into work for multiple days with covid and serving the public. The man who owns and runs the restaurant is trying to suppress the news and actually told the servers with covid not to tell his fellow servers or anyone else, but they said fuck that because they’re not scumbags and they let all the servers know. The owner is actively not following precautions that the fire dept/health service has set in place for them, and is still trying to open the restaurant and bring in workers as if nothing happened. The owner couldn’t care less if people are dying from covid, he just wants his money.
Thankfully my friends are not going into work until they get tested, but some others are thinking about going in still (including one person who lives with one of the servers that tested positive).
My question to you, is am I responsible to pass on this information to the town health services? I don’t think anyone who works there will make that call, and I seem to be one of few people that have this info. Thanks</t>
        </is>
      </c>
      <c r="D4543" t="n">
        <v>1</v>
      </c>
      <c r="E4543" t="n">
        <v>10</v>
      </c>
      <c r="F4543">
        <f>HYPERLINK("https://www.reddit.com/r/COVID19positive/comments/ic7c4q/am_i_responsible_for_passing_on_this_information/")</f>
        <v/>
      </c>
      <c r="G4543" t="inlineStr">
        <is>
          <t>2020-08-18 12:02:28</t>
        </is>
      </c>
      <c r="H4543" t="inlineStr">
        <is>
          <t>Tested Positive - Friends</t>
        </is>
      </c>
    </row>
    <row r="4544">
      <c r="A4544" t="inlineStr">
        <is>
          <t>ic89ok</t>
        </is>
      </c>
      <c r="B4544" t="inlineStr">
        <is>
          <t>Possible Reinfection?</t>
        </is>
      </c>
      <c r="C4544" t="inlineStr">
        <is>
          <t>Tested positive back in early April, no clue where I got exposed as I was strictly quarantining since early March. Had the usual rundown of symptoms - loss of smell/taste, chest tightness, headaches. Recovered a few weeks later and tested negative in early May then positive for antibodies in late May and late June. Went on a vacation last week (drove a few hours away) and made sure to wear a mask/sanitize. Where I was at you had to wear masks even when socially distant on the street so I thought I would be okay. Fast forward to yesterday and the chest tightness has returned, along with a pretty bad fatigue and lingering headache. Got tested yesterday but looking at a 10 day window for the results. Anybody experience a true reinfection (a la tested positive, then negative then positive again after having antibodies somewhere along the line)?</t>
        </is>
      </c>
      <c r="D4544" t="n">
        <v>1</v>
      </c>
      <c r="E4544" t="n">
        <v>6</v>
      </c>
      <c r="F4544">
        <f>HYPERLINK("https://www.reddit.com/r/COVID19positive/comments/ic89ok/possible_reinfection/")</f>
        <v/>
      </c>
      <c r="G4544" t="inlineStr">
        <is>
          <t>2020-08-18 12:49:58</t>
        </is>
      </c>
      <c r="H4544" t="inlineStr">
        <is>
          <t>Tested Positive</t>
        </is>
      </c>
    </row>
    <row r="4545">
      <c r="A4545" t="inlineStr">
        <is>
          <t>ic8cy6</t>
        </is>
      </c>
      <c r="B4545" t="inlineStr">
        <is>
          <t>Thought I was over the hump with this, maybe not lol</t>
        </is>
      </c>
      <c r="C4545" t="inlineStr">
        <is>
          <t>Hey so I started having symptoms 7/26, tested 8/1, positive result 8/3. Today 8/18 was my first day back to work. I had been feeling really good the past two or three days so I was feeling confident about returning to work. This morning i woke up extremely nauseous right away. I went to work just thinking it could be nerves or anxiety about going back to work but while I was at work I was constantly out of breath and like couldn't take a deep breath even when trying. I was super sweaty for minimally physical activities and was just super spacey. They ended up sending me home because it was obvious I wasn't doing well. Now that I'm home I'm still experiencing the nausea and now I have a headache too. Did anyone else get a flair up after their major symptoms? Im really hoping this is just a bad day</t>
        </is>
      </c>
      <c r="D4545" t="n">
        <v>1</v>
      </c>
      <c r="E4545" t="n">
        <v>7</v>
      </c>
      <c r="F4545">
        <f>HYPERLINK("https://www.reddit.com/r/COVID19positive/comments/ic8cy6/thought_i_was_over_the_hump_with_this_maybe_not/")</f>
        <v/>
      </c>
      <c r="G4545" t="inlineStr">
        <is>
          <t>2020-08-18 12:54:22</t>
        </is>
      </c>
      <c r="H4545" t="inlineStr">
        <is>
          <t>Tested Positive - Me</t>
        </is>
      </c>
    </row>
    <row r="4546">
      <c r="A4546" t="inlineStr">
        <is>
          <t>ic96un</t>
        </is>
      </c>
      <c r="B4546" t="inlineStr">
        <is>
          <t>Has anyone noticed their sense of smell become more sensitive after recovering from covid?</t>
        </is>
      </c>
      <c r="C4546" t="inlineStr">
        <is>
          <t>I had covid about 3 months ago and I was in bed for almost the whole month and out of work. I lost my sense of smell and taste. Before I got sick I had never had that good of a sense of smell. I would have a hard time smelling things sometimes. Then I got covid and it went away completely. But now months later that I’ve recovered, I’ve realized my sense of smell is so sensitive, I smell things sooooooooooo clearly now. Which my whole life it’s never been this way. It’s really odd and idk if I’m the only one.</t>
        </is>
      </c>
      <c r="D4546" t="n">
        <v>1</v>
      </c>
      <c r="E4546" t="n">
        <v>13</v>
      </c>
      <c r="F4546">
        <f>HYPERLINK("https://www.reddit.com/r/COVID19positive/comments/ic96un/has_anyone_noticed_their_sense_of_smell_become/")</f>
        <v/>
      </c>
      <c r="G4546" t="inlineStr">
        <is>
          <t>2020-08-18 13:36:57</t>
        </is>
      </c>
      <c r="H4546" t="inlineStr">
        <is>
          <t>Tested Positive - Me</t>
        </is>
      </c>
    </row>
    <row r="4547">
      <c r="A4547" t="inlineStr">
        <is>
          <t>icawbe</t>
        </is>
      </c>
      <c r="B4547" t="inlineStr">
        <is>
          <t>How to go about getting tests and examinations</t>
        </is>
      </c>
      <c r="C4547" t="inlineStr">
        <is>
          <t>I had COVID19 back in March. But I still feel like my chest hurts at times and my breathing isn't 100%. Also, my resting heart rate is higher than before and my oxygen levels remain around 95 which isn't bad but it wasn't what I usually had pre-COVID19.
So my goal is to run tests/scans to see if there is anything serious or abnormal going on in my lungs/heart. Is it possible to just find a cardiologist/pulmonologist online and schedule with them myself or should I have to see a regular doctor first?</t>
        </is>
      </c>
      <c r="D4547" t="n">
        <v>1</v>
      </c>
      <c r="E4547" t="n">
        <v>7</v>
      </c>
      <c r="F4547">
        <f>HYPERLINK("https://www.reddit.com/r/COVID19positive/comments/icawbe/how_to_go_about_getting_tests_and_examinations/")</f>
        <v/>
      </c>
      <c r="G4547" t="inlineStr">
        <is>
          <t>2020-08-18 15:07:58</t>
        </is>
      </c>
      <c r="H4547" t="inlineStr">
        <is>
          <t>Tested Positive</t>
        </is>
      </c>
    </row>
    <row r="4548">
      <c r="A4548" t="inlineStr">
        <is>
          <t>icd1ca</t>
        </is>
      </c>
      <c r="B4548" t="inlineStr">
        <is>
          <t>Is my cat safe from covid 19?</t>
        </is>
      </c>
      <c r="C4548" t="inlineStr">
        <is>
          <t>I learned today that my sisters friend just tested positive, they had spent all weekend together having sleepovers at my moms house (they are 9).
I was also spending the whole weekend there having grill parties and watching movies, sharing popcorn etc.
I’m pretty sure I’ve been infected, gonna get tested sometime this week.
Now I’m at home whit my cat and I’m a bit worried for him, is he safe?</t>
        </is>
      </c>
      <c r="D4548" t="n">
        <v>1</v>
      </c>
      <c r="E4548" t="n">
        <v>6</v>
      </c>
      <c r="F4548">
        <f>HYPERLINK("https://www.reddit.com/r/COVID19positive/comments/icd1ca/is_my_cat_safe_from_covid_19/")</f>
        <v/>
      </c>
      <c r="G4548" t="inlineStr">
        <is>
          <t>2020-08-18 17:12:06</t>
        </is>
      </c>
      <c r="H4548" t="inlineStr">
        <is>
          <t>Presumed Positive - From Doctor</t>
        </is>
      </c>
    </row>
    <row r="4549">
      <c r="A4549" t="inlineStr">
        <is>
          <t>icdqfw</t>
        </is>
      </c>
      <c r="B4549" t="inlineStr">
        <is>
          <t>Was anyones first symptom a sore throat?</t>
        </is>
      </c>
      <c r="C4549" t="inlineStr">
        <is>
          <t>My son has been sick since Friday. He has asthma and had trouble breathing last night, I had to take him to emerg. It started with a runny nose and turned into a pretty bad wet cough. The doctor wanted to test him to be sure its not Covid. We got no phonecall all day but they said up to 3 days and Im worrying. 
Today I started developing a sore throat, more on my left side. No other symptom yet. 
My anxiety is really out of control.</t>
        </is>
      </c>
      <c r="D4549" t="n">
        <v>1</v>
      </c>
      <c r="E4549" t="n">
        <v>4</v>
      </c>
      <c r="F4549">
        <f>HYPERLINK("https://www.reddit.com/r/COVID19positive/comments/icdqfw/was_anyones_first_symptom_a_sore_throat/")</f>
        <v/>
      </c>
      <c r="G4549" t="inlineStr">
        <is>
          <t>2020-08-18 17:54:52</t>
        </is>
      </c>
      <c r="H4549" t="inlineStr">
        <is>
          <t>Tested Positive - Family</t>
        </is>
      </c>
    </row>
    <row r="4550">
      <c r="A4550" t="inlineStr">
        <is>
          <t>icej6c</t>
        </is>
      </c>
      <c r="B4550" t="inlineStr">
        <is>
          <t>Lung Capacity Recovery</t>
        </is>
      </c>
      <c r="C4550" t="inlineStr">
        <is>
          <t>I've been struggling to get my lung capacity back. Some days/weeks it feels like it's better, then it'l get worse the next. It's better than it was in March but still a huge issue. 
&amp;amp;#x200B;
Are there ANY remedies for this shortness of breath/tightness in chest???</t>
        </is>
      </c>
      <c r="D4550" t="n">
        <v>1</v>
      </c>
      <c r="E4550" t="n">
        <v>8</v>
      </c>
      <c r="F4550">
        <f>HYPERLINK("https://www.reddit.com/r/COVID19positive/comments/icej6c/lung_capacity_recovery/")</f>
        <v/>
      </c>
      <c r="G4550" t="inlineStr">
        <is>
          <t>2020-08-18 18:45:16</t>
        </is>
      </c>
      <c r="H4550" t="inlineStr">
        <is>
          <t>Tested Positive - Me</t>
        </is>
      </c>
    </row>
    <row r="4551">
      <c r="A4551" t="inlineStr">
        <is>
          <t>icet5e</t>
        </is>
      </c>
      <c r="B4551" t="inlineStr">
        <is>
          <t>Month 4 of post-viral fatigue. Still not better, but here are some things that have helped me.</t>
        </is>
      </c>
      <c r="C4551" t="inlineStr">
        <is>
          <t>Just like many of you, I’ve been struggling with post-viral fatigue for months. I’ve had stints where I felt good for 2 weeks, to then crash again after some not-too-intense activity (walking, mowing my lawn, etc.). Very random.
In the beginning I struggled a lot mentally. The fear kicked in that I’m never going to recover from this, and that this is going to be for the rest of my life. 4 months later I feel a lot more positive, even though I still crash regularly. Here’s a few things that I feel have helped me:
* Daily meditation for 10-15 min
* The quote “This is natural. Bodies get sick sometime.”
* The quote “The future is unknown. All I can do is take care of myself in this moment.” (This reminder really helps me to just focus on the present on the bad days)
* I asked myself “If I had to bet on whether or not I’ll make a full recovery, what would I do?”, and my answer was that since I’m young and generally healthy, I’d bet that I’ll fully recover. It might just take time.
* Improved my sleep (see below)
* Take time off work
I know that last one is tricky, and I feel very privileged to be able to do it. My work has been super supportive and they’re giving me all the time I need to recover. I’m on short-term disability leave so I still get paid a little over half of my regular income, which is enough to sustain my lifestyle. I tried to return to work a few times, but I kept crashing. I’ll likely continue my leave until at least the end of the year. Again, I know not everyone can afford to do this, and I feel very privileged.
Lastly, when all of this started I had really bad insomnia. I would be able to fall asleep quickly, but I would wake up a few hours later and not be able to go back to sleep. My doctor prescribed me several sleeping meds, but none of them worked. A friend of mine suggested taking THC gummies (I live in Canada, so cannabis is legal) before bedtime. This has improved my sleep a lot. It’s still not perfect, my sleep is not as refreshing as it used to be, but most days I get 8-9 hours of sleep. This drastically improved my mood. I also consistently go to bed at 10pm every night.
I also tried CBD oil, but that didn’t seem to do anything for me.
That’s about it. Maybe I feel more positive and somewhat better because some time has passed and I’m learning to live with this and learn my limits, or maybe it’s due to some of the things I described above. I’m not sure. I just figured I share in the hopes that it helps some of you.</t>
        </is>
      </c>
      <c r="D4551" t="n">
        <v>1</v>
      </c>
      <c r="E4551" t="n">
        <v>21</v>
      </c>
      <c r="F4551">
        <f>HYPERLINK("https://www.reddit.com/r/COVID19positive/comments/icet5e/month_4_of_postviral_fatigue_still_not_better_but/")</f>
        <v/>
      </c>
      <c r="G4551" t="inlineStr">
        <is>
          <t>2020-08-18 19:02:22</t>
        </is>
      </c>
      <c r="H4551" t="inlineStr">
        <is>
          <t>Presumed Positive - From Doctor</t>
        </is>
      </c>
    </row>
    <row r="4552">
      <c r="A4552" t="inlineStr">
        <is>
          <t>icfcvf</t>
        </is>
      </c>
      <c r="B4552" t="inlineStr">
        <is>
          <t>Mom is basically recovered but still tested positive.</t>
        </is>
      </c>
      <c r="C4552" t="inlineStr">
        <is>
          <t>Hi, all! My mom had tested positive earlier and had mild mild symptoms (lucky for her) anyway She was basically recovered, and took a test on a Thursday. Her bfs test came back negative so we assumed she was good to go. Fast forward, I briefly saw her outside to give her some food I made, and we wore masks, sometimes there masks were down but we were more than three feet away. This was Saturday. Today she called me and said she still tested positive. Do you think she was infections? I am getting tested tomorrow anyway and I feel fine but does anyone else have experience of testing Positive after recovery? Could she still be contagious ?</t>
        </is>
      </c>
      <c r="D4552" t="n">
        <v>1</v>
      </c>
      <c r="E4552" t="n">
        <v>7</v>
      </c>
      <c r="F4552">
        <f>HYPERLINK("https://www.reddit.com/r/COVID19positive/comments/icfcvf/mom_is_basically_recovered_but_still_tested/")</f>
        <v/>
      </c>
      <c r="G4552" t="inlineStr">
        <is>
          <t>2020-08-18 19:37:35</t>
        </is>
      </c>
      <c r="H4552" t="inlineStr">
        <is>
          <t>Tested Positive - Family</t>
        </is>
      </c>
    </row>
    <row r="4553">
      <c r="A4553" t="inlineStr">
        <is>
          <t>icgspw</t>
        </is>
      </c>
      <c r="B4553" t="inlineStr">
        <is>
          <t>My boyfriend has COVID-19. I just need the reassurance please.</t>
        </is>
      </c>
      <c r="C4553" t="inlineStr">
        <is>
          <t>We’re both teens &amp;amp; relatively healthy but I can’t ignore the feeling that I’ll lose him. I love him too much, I really dont know what to do :(
I haven’t seen him personally since the start of quarantine. I just hope that he’ll be ok, I don’t know what I’d do without him honestly.</t>
        </is>
      </c>
      <c r="D4553" t="n">
        <v>1</v>
      </c>
      <c r="E4553" t="n">
        <v>5</v>
      </c>
      <c r="F4553">
        <f>HYPERLINK("https://www.reddit.com/r/COVID19positive/comments/icgspw/my_boyfriend_has_covid19_i_just_need_the/")</f>
        <v/>
      </c>
      <c r="G4553" t="inlineStr">
        <is>
          <t>2020-08-18 21:15:59</t>
        </is>
      </c>
      <c r="H4553" t="inlineStr">
        <is>
          <t>Tested Positive - Family</t>
        </is>
      </c>
    </row>
    <row r="4554">
      <c r="A4554" t="inlineStr">
        <is>
          <t>icgwqy</t>
        </is>
      </c>
      <c r="B4554" t="inlineStr">
        <is>
          <t>Hive like symptoms</t>
        </is>
      </c>
      <c r="C4554" t="inlineStr">
        <is>
          <t>Recovered from Covid about 4 weeks ago. Only thing that was sticking was an elevated heart rate but now I’m starting to get red bumps all over my arm and chest. Don’t think it been officially confirmed to be because of Covid but I have seen some people get this as well. Anybody else experiencing this?</t>
        </is>
      </c>
      <c r="D4554" t="n">
        <v>1</v>
      </c>
      <c r="E4554" t="n">
        <v>3</v>
      </c>
      <c r="F4554">
        <f>HYPERLINK("https://www.reddit.com/r/COVID19positive/comments/icgwqy/hive_like_symptoms/")</f>
        <v/>
      </c>
      <c r="G4554" t="inlineStr">
        <is>
          <t>2020-08-18 21:23:48</t>
        </is>
      </c>
      <c r="H4554" t="inlineStr">
        <is>
          <t>Tested Positive - Me</t>
        </is>
      </c>
    </row>
    <row r="4555">
      <c r="A4555" t="inlineStr">
        <is>
          <t>ichdnk</t>
        </is>
      </c>
      <c r="B4555" t="inlineStr">
        <is>
          <t>My mom is positive and has had severe symptoms for three weeks. At what point do we take her to the hospital?</t>
        </is>
      </c>
      <c r="C4555" t="inlineStr">
        <is>
          <t>My mom is almost 50 and contracted the virus. It has debilitated her - she has mostly been in bed for three full weeks now. Her breathing is difficult, pain in her chest, fever goes on and off, nausea, whole body aches, lost taste and smell for a time, chills, all of it. Early last week she went to urgent care to have blood work done, get an IV, a nasal swab to confirm, and an X-ray. This was our middle ground as she didn't want to be fully admitted to the hospital/ER. X-ray showed pneumonia in the lungs.
Tomorrow is the three week mark of her symptoms. Her blood oxygen level per our reader consistently hovers around 91-93, but has dipped to 88 after she exerts herself (walking from bathroom to bed).
We called the ER who advised that all they would do is give her acetaminophen and ibuprofen - basically discouraging her from coming in (??? wtf!). Not sure if we keep her home or admit her (to a different hospital!). At home we can care for her and be close by, and it's more comfortable, but I'm worried there might be a sudden turn for the worse. What should our red line be? We tried talking with a doctor via telemedicine but they said there was nothing they could do and wouldn't even talk to us (another wtf!!!).</t>
        </is>
      </c>
      <c r="D4555" t="n">
        <v>1</v>
      </c>
      <c r="E4555" t="n">
        <v>14</v>
      </c>
      <c r="F4555">
        <f>HYPERLINK("https://www.reddit.com/r/COVID19positive/comments/ichdnk/my_mom_is_positive_and_has_had_severe_symptoms/")</f>
        <v/>
      </c>
      <c r="G4555" t="inlineStr">
        <is>
          <t>2020-08-18 21:59:04</t>
        </is>
      </c>
      <c r="H4555" t="inlineStr">
        <is>
          <t>Tested Positive - Family</t>
        </is>
      </c>
    </row>
    <row r="4556">
      <c r="A4556" t="inlineStr">
        <is>
          <t>ichj1y</t>
        </is>
      </c>
      <c r="B4556" t="inlineStr">
        <is>
          <t>Swollen / painful lymph node under chin covid-19 post viral fatigue symptom?</t>
        </is>
      </c>
      <c r="C4556" t="inlineStr">
        <is>
          <t>Shot in the dark here but I can’t help but think that when weird things happen to me now it’s because of covid. I tested positive in March and was completely symptom free mid April / early May. However last week my lymph node under my chin swelled up for no reason and it hurts to touch. I tried facial massage to drain it which might have made it worse and got antibiotics from the doctor because he thought it might be an infection but that isn’t working either. I’m really wondering if it could relate to covid / be a symptom of post viral fatigue? Has anyone had anything similar?</t>
        </is>
      </c>
      <c r="D4556" t="n">
        <v>1</v>
      </c>
      <c r="E4556" t="n">
        <v>18</v>
      </c>
      <c r="F4556">
        <f>HYPERLINK("https://www.reddit.com/r/COVID19positive/comments/ichj1y/swollen_painful_lymph_node_under_chin_covid19/")</f>
        <v/>
      </c>
      <c r="G4556" t="inlineStr">
        <is>
          <t>2020-08-18 22:10:26</t>
        </is>
      </c>
      <c r="H4556" t="inlineStr">
        <is>
          <t>Tested Positive - Me</t>
        </is>
      </c>
    </row>
    <row r="4557">
      <c r="A4557" t="inlineStr">
        <is>
          <t>ici1e5</t>
        </is>
      </c>
      <c r="B4557" t="inlineStr">
        <is>
          <t>Post covid, is your immune system lower</t>
        </is>
      </c>
      <c r="C4557" t="inlineStr">
        <is>
          <t>My doctor and I  believe I had Covid back in March. The symptoms last for 4 weeks. Since then I seem to easily get colds and any type of viral infections that is floating around. The last time I had a cold for 2 1/2 weeks and it was brutal.  That was 2 weeks ago, today I woke up with a sore throat and congestion. 
Is this normal?</t>
        </is>
      </c>
      <c r="D4557" t="n">
        <v>1</v>
      </c>
      <c r="E4557" t="n">
        <v>5</v>
      </c>
      <c r="F4557">
        <f>HYPERLINK("https://www.reddit.com/r/COVID19positive/comments/ici1e5/post_covid_is_your_immune_system_lower/")</f>
        <v/>
      </c>
      <c r="G4557" t="inlineStr">
        <is>
          <t>2020-08-18 22:50:50</t>
        </is>
      </c>
      <c r="H4557" t="inlineStr">
        <is>
          <t>Presumed Positive - From Doctor</t>
        </is>
      </c>
    </row>
    <row r="4558">
      <c r="A4558" t="inlineStr">
        <is>
          <t>icluuc</t>
        </is>
      </c>
      <c r="B4558" t="inlineStr">
        <is>
          <t>8 days in. My 88-year-old dad’s timeline so far. Does anyone know what’s to come? Does anyone have their own stories of elderly family with lots of fatigue?</t>
        </is>
      </c>
      <c r="C4558" t="inlineStr">
        <is>
          <t>My dad is a bright happy 88 year old in aged care. He has dementia but enjoys life, he knows who we are and is almost non-verbal but laughs and makes happy sounds and one-word answers. Doc says he doesn’t have any co-morbidities of concern but he is frail. 
Day 1-8: Extreme fatigue and loss of taste. 
Day 2: One vomit. 
Day 6-8: Dr says there’s some crackling sounds on the right side of his lungs that hasn’t progressed and “might be a sign of an infection or something”
Day 8: headache 
No cough. No temp. Normal BP. Normal oxygen. 
They can’t give me any indication if this is good or bad. I know we have a long way to go and organ failure could be a problem. But so far it feels better than we expected.</t>
        </is>
      </c>
      <c r="D4558" t="n">
        <v>1</v>
      </c>
      <c r="E4558" t="n">
        <v>19</v>
      </c>
      <c r="F4558">
        <f>HYPERLINK("https://www.reddit.com/r/COVID19positive/comments/icluuc/8_days_in_my_88yearold_dads_timeline_so_far_does/")</f>
        <v/>
      </c>
      <c r="G4558" t="inlineStr">
        <is>
          <t>2020-08-19 04:28:18</t>
        </is>
      </c>
      <c r="H4558" t="inlineStr">
        <is>
          <t>Tested Positive - Family</t>
        </is>
      </c>
    </row>
    <row r="4559">
      <c r="A4559" t="inlineStr">
        <is>
          <t>ico0ie</t>
        </is>
      </c>
      <c r="B4559" t="inlineStr">
        <is>
          <t>False positives??</t>
        </is>
      </c>
      <c r="C4559" t="inlineStr">
        <is>
          <t>How common are false positives? My grandfather  (age 80s) came up positive over 2 weeks ago. My brother and his girlfriend were around him so they went and got tested. Brother came up positive and she came up negative. I live with my brother and my dad- so my dad and I went and got tested and we were both negative. My boyfriend is also around us and he was negative as well as his family. We are all now past the 2 weeks mark and not a single one of us who have gotten tested (including my grandfather and brother) have had ANY symptoms at all. This is just bizarre to me, especially considering my grandfather is old and a low key alcoholic yet has felt 100% fine. Also weird I literally live with a “positive” case and was in close contract with my brother yet the rest of the house is negative. Is there any explanation for this? Is It just possible we all happened to have extremely mild  cases and false negatives? Or did both my grandfather and brother have a false positive? Both seem highly unlikely and not sure what to think of It. Im going to get an antibody test when I find the time to see what’s up but Im just so very confused.</t>
        </is>
      </c>
      <c r="D4559" t="n">
        <v>1</v>
      </c>
      <c r="E4559" t="n">
        <v>14</v>
      </c>
      <c r="F4559">
        <f>HYPERLINK("https://www.reddit.com/r/COVID19positive/comments/ico0ie/false_positives/")</f>
        <v/>
      </c>
      <c r="G4559" t="inlineStr">
        <is>
          <t>2020-08-19 06:51:29</t>
        </is>
      </c>
      <c r="H4559" t="inlineStr">
        <is>
          <t>Tested Positive - Family</t>
        </is>
      </c>
    </row>
    <row r="4560">
      <c r="A4560" t="inlineStr">
        <is>
          <t>ico0yn</t>
        </is>
      </c>
      <c r="B4560" t="inlineStr">
        <is>
          <t>Are long haulers still contagious?</t>
        </is>
      </c>
      <c r="C4560" t="inlineStr">
        <is>
          <t>I’m not sure if I qualify as a long hauler, but I developed symptoms 3 weeks ago. Th only symptoms I’ve had for the last week and a half has been a constant low fever (usually in the 99s) and fatigue. I wouldn’t consider the fever substantial, but it’s also out of the ordinary for me. I think I heard somewhere the that viral stage of covid only lasts 2 weeks regardless of how long symptoms last. Is there anyone who can confirm this? I’ve not been able to go to my other house for three weeks because my grandparents live there and I haven’t wanted to get them sick so I would appreciate if anyone could shed some light. I’ve also tested negative twice, but have been presumed positive from my doctor if that makes any difference.</t>
        </is>
      </c>
      <c r="D4560" t="n">
        <v>1</v>
      </c>
      <c r="E4560" t="n">
        <v>8</v>
      </c>
      <c r="F4560">
        <f>HYPERLINK("https://www.reddit.com/r/COVID19positive/comments/ico0yn/are_long_haulers_still_contagious/")</f>
        <v/>
      </c>
      <c r="G4560" t="inlineStr">
        <is>
          <t>2020-08-19 06:52:11</t>
        </is>
      </c>
      <c r="H4560" t="inlineStr">
        <is>
          <t>Presumed Positive - From Doctor</t>
        </is>
      </c>
    </row>
    <row r="4561">
      <c r="A4561" t="inlineStr">
        <is>
          <t>ico2es</t>
        </is>
      </c>
      <c r="B4561" t="inlineStr">
        <is>
          <t>Has any long hauler tried Monolaurin ?</t>
        </is>
      </c>
      <c r="C4561" t="inlineStr">
        <is>
          <t>Hey there,
First of all, I'm sorry if I'm making some mistakes, English is not my native language. So, I'm a long-hauler since 5 months. I won't make up the full list, you all know what the symptoms can be.  
I just want to ask a simple question : did some of you tried Monolaurin as long haulers ? I know it can help with some diseases as Lupus, EBV...   
Thanks for answering :)</t>
        </is>
      </c>
      <c r="D4561" t="n">
        <v>1</v>
      </c>
      <c r="E4561" t="n">
        <v>6</v>
      </c>
      <c r="F4561">
        <f>HYPERLINK("https://www.reddit.com/r/COVID19positive/comments/ico2es/has_any_long_hauler_tried_monolaurin/")</f>
        <v/>
      </c>
      <c r="G4561" t="inlineStr">
        <is>
          <t>2020-08-19 06:54:44</t>
        </is>
      </c>
      <c r="H4561" t="inlineStr">
        <is>
          <t>Tested Positive</t>
        </is>
      </c>
    </row>
    <row r="4562">
      <c r="A4562" t="inlineStr">
        <is>
          <t>icpskj</t>
        </is>
      </c>
      <c r="B4562" t="inlineStr">
        <is>
          <t>Story of how I identified my source, and how my symptoms evolved over time</t>
        </is>
      </c>
      <c r="C4562" t="inlineStr">
        <is>
          <t>Hey curious people. I will present my story chronologically with identifying details removed. I define **Day 0** as the day I was tested positive. Some context, I'm a healthy dude in my early 30s with no pre-existing conditions. I run a 5km under 23mins, have a BMI around 20, workout 6 days a week, vegetarian diet, no medications, and all vitamin deficiencies are controlled through supplements. Only unhealthy things I do are chug coffee at work, have a cold one with the boys 1-2 times per month, and partake in chocolate when I hate myself.
**Day -9** 
I go out for a drink with some friends. An acquaintance asks if he can bring a friend, and I say, "Yeah sure mate, no worries", because I am a nice person. I didn't know that his friend was fresh off a plane who came from a high risk country via a low risk country. I was careful to not touch him, but we were drinking and I wanted to make him feel welcome, so at some point I shake his hand. I am now infected.
**Day -5**
About 4-5 days later I feel really tired. I'd been hiking and driving a lot recently, so I assumed I was feeling the effects of that. The next day I still felt tired, so I started to flake on a few things I had to do, thinking that I should just take time to rest. 
**Day -1**
I woke up an made some coffee and some toast, still feeling tired. I couldn't taste my coffee, and I couldn't taste my toast. I smelled the spread (smells strongly) and couldn't smell it. I grabbed a bar of soap and couldn't smell it. Shit. This is when I realised that I may have COVID, so I called up the hotline and begged for a test, which got schedued for the next morning.
**Day 0**
I go to a drive-thru test site, and realise I feel a bit dizzy walking to my car. "I probably shouldn't be driving", I think, but do anyway. I get jabbed in the nose and back of the mouth and it wasn't anywhere near as uncomfortable as I thought it'd be. I go home and wait. About 10 hours later I get a call confirming I have COVID. I then get a call from a nurse to discuss symptoms, and she suggest taking painkillers to manage my growing body pains. At this point my kidneys (or area around them) were hurting so much that I couldn't sleep, and during the day I was stuck laying down just because the pain was so great. Painkillers helped.
I then get called by a contact tracing team and they ask for details going a few days back to when I felt symptom onset. I give them names of everyone I'd seen, they all get tested over the next few days and all come back negative (YES!). So I at least didn't infect anyone else.
I then start calling work, family, and friends to tell them that I've got the plague and wont be able to do much for two weeks. My work place is happy that I got tested prior to coming into work after my summer holidays, and they are super accommodating. My family sends me chocolates.
**intermission - Cracking the case**
One friend, X, says, "wait... I felt like shit on day -5... I thought it was from mountainbiking but now that you mention it, I've been feeling rough since". He ended up testing positive.
When he tested positive, we realised that we had both met on day -9 last, and immediately thought of the acquaintaince's plus-one. I asked the acquaintance if he'd felt ill at all, and he told me, "oh me and my friend got tested positive on day -4". The prick just went into isolation and hadn't told anyone. This at least confirmed our guess, and we informed the national tracing team. It turns out the source was asymptomatic and had tested negative at the border. A clear failure of the system.
This systemic failure has since been fixed by a test on arrival followed by quarantine for a few days and a secondary test, for both tourists and locals flying in, but will basically kill tourism over the next month or two. I have not heard of any reforms to their tracing period (which should honestly go back further in time, as it would have allowed me and X to get tested sooner).
**Days 1 to 7**
This period is a blur. I was basically high on painkillers due to the immense muscle and bone pain, which combined with the baseline drugginess of being fatigued. On a couple of nights I woke up in a pool of sweat. I lost my appetite and barely ate. I made pasta one evening and it took all my energy. I thankfully didn't have any breathing or coughing, and no symptoms of pnuemonia, so the phone-nurses weren't worried about me.
**Days 7 to 10**
I stop taking painkillers, but still feel like I've just ran a marathon. I'm still tired, but am at least able to actively engage in what I'm doing. My mental capacity is at around 20%, and I struggle to recall basic things. The nurses now considered my symptoms 'benign'.
**Days 10 to 14**
My body doesn't hurt much anymore, and I start to feel less fatigued. At this point however I was really starting to feel isolated, and I started getting depressed. Isolation is absolutely horrible for mental health, particularly when you can't talk to anyone. At the same time, I didn't want to talk to anyone as I was tired. The lesson I learned was that if you have a friend in quarantine, just send treats to their door. A friend dropped pastries around one day and it made my day. Another evening someone sent me a pizza. If you have a friend in isolation, don't ask "do you need anythin?", just send them something they'd appreciate without asking. You know they're home, and you know they probably are eating basic survival food. I had about 10 people offer to "help me out if I need anything" but I never took them up on the offer because I don't like feeling like a burden.
**Days 14 to 21**
FREEDOM! I was still a bit tired, and was paranoid about being infectious so I avoided public spaces during this period, and avoided friends for the first 3 days. I also started working from home, but at quite low efficiency. It is hell to work from the place you were just isolated in. I have persistent discomfort around my heart/chest area, and my legs are still sore. I have trouble sleeping during this period however.
**Days 21 to 28**
Basically back to normal, and the chest discomfort has decreased. I go for a run and feel about 10kg heavier (in spite of losing weight during isolation) and only manage to run half my usual distance. My calisthenic workout performance is laughably bad. It takes me a few days of seeing people before I finally start to feel socially normal again.
At this point I feel I am at 70% of my prior fitness, but still get waves of 'abnormality' where I feel dizzy or some muscles twitch or ache. My sense of smell and taste is at about 30% of what it was prior to COVID.
Feel free to shoot questions at me.</t>
        </is>
      </c>
      <c r="D4562" t="n">
        <v>1</v>
      </c>
      <c r="E4562" t="n">
        <v>41</v>
      </c>
      <c r="F4562">
        <f>HYPERLINK("https://www.reddit.com/r/COVID19positive/comments/icpskj/story_of_how_i_identified_my_source_and_how_my/")</f>
        <v/>
      </c>
      <c r="G4562" t="inlineStr">
        <is>
          <t>2020-08-19 08:28:03</t>
        </is>
      </c>
      <c r="H4562" t="inlineStr">
        <is>
          <t>Tested Positive - Me</t>
        </is>
      </c>
    </row>
    <row r="4563">
      <c r="A4563" t="inlineStr">
        <is>
          <t>icqzyd</t>
        </is>
      </c>
      <c r="B4563" t="inlineStr">
        <is>
          <t>Recovering but still unsure how long it will last</t>
        </is>
      </c>
      <c r="C4563" t="inlineStr">
        <is>
          <t>I tested positive 8/10 and have been recovering since. Symptoms were fever, cold chills, body aches, felt weak, loss of smell and taste. I got most of my taste back, haven’t felt weak because I never lost my appetite, most of my smell is at about 85-90% which is good, haven’t had body aches, no fevers, or cold chills. I’ve basically been resting my body which is why I’m probably recovering, but I’ve been hearing when people return after 14 days of quarantine their symptoms come right back and I’m guessing I’m nervous my symptoms could come back when I return next week. It just feels like there’s nothing you can do to prevent the symptoms from coming back once you return to the normal work life. A lot of people have relapsed and I really want to avoid that. What can I do to avoid a relapse when I return and if y’all have any stories about what y’all did when you relapsed I would like to know so I can get a better understanding of what this virus is doing to our bodies.</t>
        </is>
      </c>
      <c r="D4563" t="n">
        <v>1</v>
      </c>
      <c r="E4563" t="n">
        <v>3</v>
      </c>
      <c r="F4563">
        <f>HYPERLINK("https://www.reddit.com/r/COVID19positive/comments/icqzyd/recovering_but_still_unsure_how_long_it_will_last/")</f>
        <v/>
      </c>
      <c r="G4563" t="inlineStr">
        <is>
          <t>2020-08-19 09:30:46</t>
        </is>
      </c>
      <c r="H4563" t="inlineStr">
        <is>
          <t>Tested Positive</t>
        </is>
      </c>
    </row>
    <row r="4564">
      <c r="A4564" t="inlineStr">
        <is>
          <t>icrfjn</t>
        </is>
      </c>
      <c r="B4564" t="inlineStr">
        <is>
          <t>Residual chest symptoms?</t>
        </is>
      </c>
      <c r="C4564" t="inlineStr">
        <is>
          <t>So I tested positive for Covid-19 back in early July. I had a mild case including a sore throat, fever, lose of taste and smell, and a little bit of burning in the lungs. I am nearly two months out now and otherwise I feel completely fine and back to normal. I have regained my sense of taste and smell thankfully. I do however experience some residual chest pain and discomfort it seems like. It’s nothing that has concerned me too much but I might just go get it checked out just to be in the safe side. Has anyone else experienced residual chest discomfort well after the illness? Thanks.</t>
        </is>
      </c>
      <c r="D4564" t="n">
        <v>1</v>
      </c>
      <c r="E4564" t="n">
        <v>6</v>
      </c>
      <c r="F4564">
        <f>HYPERLINK("https://www.reddit.com/r/COVID19positive/comments/icrfjn/residual_chest_symptoms/")</f>
        <v/>
      </c>
      <c r="G4564" t="inlineStr">
        <is>
          <t>2020-08-19 09:52:04</t>
        </is>
      </c>
      <c r="H4564" t="inlineStr">
        <is>
          <t>Tested Positive - Me</t>
        </is>
      </c>
    </row>
    <row r="4565">
      <c r="A4565" t="inlineStr">
        <is>
          <t>icssec</t>
        </is>
      </c>
      <c r="B4565" t="inlineStr">
        <is>
          <t>Question for those who hat diarrhea as a symptom</t>
        </is>
      </c>
      <c r="C4565" t="inlineStr">
        <is>
          <t>Can you explain what It was like for you ?</t>
        </is>
      </c>
      <c r="D4565" t="n">
        <v>1</v>
      </c>
      <c r="E4565" t="n">
        <v>7</v>
      </c>
      <c r="F4565">
        <f>HYPERLINK("https://www.reddit.com/r/COVID19positive/comments/icssec/question_for_those_who_hat_diarrhea_as_a_symptom/")</f>
        <v/>
      </c>
      <c r="G4565" t="inlineStr">
        <is>
          <t>2020-08-19 11:01:06</t>
        </is>
      </c>
      <c r="H4565" t="inlineStr">
        <is>
          <t>Tested Positive</t>
        </is>
      </c>
    </row>
    <row r="4566">
      <c r="A4566" t="inlineStr">
        <is>
          <t>icvbl0</t>
        </is>
      </c>
      <c r="B4566" t="inlineStr">
        <is>
          <t>Aching in arms only?</t>
        </is>
      </c>
      <c r="C4566" t="inlineStr">
        <is>
          <t>hey all!  So I'm quarantined due to showing some mild symptoms (headache, cough, sore throat).  Last night I experienced some full body aches but when I woke up, they (plus the headache) were gone.  However, come afternoon, I have a mild headache and now only my arms are aching.  Anyone experience this?  Gonna be a while til I get my results.</t>
        </is>
      </c>
      <c r="D4566" t="n">
        <v>1</v>
      </c>
      <c r="E4566" t="n">
        <v>7</v>
      </c>
      <c r="F4566">
        <f>HYPERLINK("https://www.reddit.com/r/COVID19positive/comments/icvbl0/aching_in_arms_only/")</f>
        <v/>
      </c>
      <c r="G4566" t="inlineStr">
        <is>
          <t>2020-08-19 13:08:50</t>
        </is>
      </c>
      <c r="H4566" t="inlineStr">
        <is>
          <t>Presumed Positive - From Doctor</t>
        </is>
      </c>
    </row>
    <row r="4567">
      <c r="A4567" t="inlineStr">
        <is>
          <t>icvvq8</t>
        </is>
      </c>
      <c r="B4567" t="inlineStr">
        <is>
          <t>Asymptomatic,. tested positive (now negative)</t>
        </is>
      </c>
      <c r="C4567" t="inlineStr">
        <is>
          <t>So I was required by work to get a test a few weeks ago, as a coworker tested positive.  I don't think that was who I got it from, as I was only around her for a total of maybe 3 minutes.  I was largely, if not completely asymptomatic, and tested negative 14 days later.  
Going to be going this afternoon for an antibody test, as id just like to make sure.  But from what I read, some people might have strong immune responses and not necessarily have antibodies?  Maybe I read wrong, as getting back to work has been a crazy whirlwind.  
Has anyone else been asymptomatic and later got an antibody test?  What were the results?  I'll also probably looking into the whole plasma donation thing once I know for sure.</t>
        </is>
      </c>
      <c r="D4567" t="n">
        <v>1</v>
      </c>
      <c r="E4567" t="n">
        <v>4</v>
      </c>
      <c r="F4567">
        <f>HYPERLINK("https://www.reddit.com/r/COVID19positive/comments/icvvq8/asymptomatic_tested_positive_now_negative/")</f>
        <v/>
      </c>
      <c r="G4567" t="inlineStr">
        <is>
          <t>2020-08-19 13:37:34</t>
        </is>
      </c>
      <c r="H4567" t="inlineStr">
        <is>
          <t>Presumed Positive - From Test</t>
        </is>
      </c>
    </row>
    <row r="4568">
      <c r="A4568" t="inlineStr">
        <is>
          <t>icw61a</t>
        </is>
      </c>
      <c r="B4568" t="inlineStr">
        <is>
          <t>Caught covid in April and now my smell is wack</t>
        </is>
      </c>
      <c r="C4568" t="inlineStr">
        <is>
          <t>I lost my sense of smell for like 2 months after having covid and when it came back now things are starting to not smell like how there suppose too, a lot  of things have  like a gasoline/ nair smell to it. Is there any reason why ?</t>
        </is>
      </c>
      <c r="D4568" t="n">
        <v>1</v>
      </c>
      <c r="E4568" t="n">
        <v>4</v>
      </c>
      <c r="F4568">
        <f>HYPERLINK("https://www.reddit.com/r/COVID19positive/comments/icw61a/caught_covid_in_april_and_now_my_smell_is_wack/")</f>
        <v/>
      </c>
      <c r="G4568" t="inlineStr">
        <is>
          <t>2020-08-19 13:52:26</t>
        </is>
      </c>
      <c r="H4568" t="inlineStr">
        <is>
          <t>Tested Positive - Me</t>
        </is>
      </c>
    </row>
    <row r="4569">
      <c r="A4569" t="inlineStr">
        <is>
          <t>icwkk2</t>
        </is>
      </c>
      <c r="B4569" t="inlineStr">
        <is>
          <t>Recovery exists! I’ve felt better for a week!</t>
        </is>
      </c>
      <c r="C4569" t="inlineStr">
        <is>
          <t>Like the title says, I’ve had no symptoms outside of fatigue for a week now. I was so scared I’d be a long hauler as my symptoms lasted 20 day’s. There is hope  out there though. One thing that helped me was actually staying away from this sub and others like it. They gave me so much anxiety that I didn’t need while I was trying to heal.</t>
        </is>
      </c>
      <c r="D4569" t="n">
        <v>1</v>
      </c>
      <c r="E4569" t="n">
        <v>7</v>
      </c>
      <c r="F4569">
        <f>HYPERLINK("https://www.reddit.com/r/COVID19positive/comments/icwkk2/recovery_exists_ive_felt_better_for_a_week/")</f>
        <v/>
      </c>
      <c r="G4569" t="inlineStr">
        <is>
          <t>2020-08-19 14:13:07</t>
        </is>
      </c>
      <c r="H4569" t="inlineStr">
        <is>
          <t>Tested Positive - Me</t>
        </is>
      </c>
    </row>
    <row r="4570">
      <c r="A4570" t="inlineStr">
        <is>
          <t>icxs9n</t>
        </is>
      </c>
      <c r="B4570" t="inlineStr">
        <is>
          <t>Could it just be a common cold?</t>
        </is>
      </c>
      <c r="C4570" t="inlineStr">
        <is>
          <t>Started off with a stuffy nose, 2 days later I had a sore throat. Last night was the worst night so far, but not much different than what a cold feels like. Lots of sinus pressure, even though I can kind of breath through my nose? Dry burning throat, and a constant small headache. Small aches in neck, and while in the bed I had a bit of a deep cough, but that went away in the morning. It's the afternoon after that night, and I just feel sick. I get tested tomorrow morning.
What are the chances this is influenza or a cold? No fever as of yet. I had a cold in November, and it feels somewhat similar, so could it be the same thing? I know.. just wait for the results.. but my mind wont quit wondering if this is covid19, is it normal to get a common cold in the middle of summer? Thanks everyone.</t>
        </is>
      </c>
      <c r="D4570" t="n">
        <v>1</v>
      </c>
      <c r="E4570" t="n">
        <v>5</v>
      </c>
      <c r="F4570">
        <f>HYPERLINK("https://www.reddit.com/r/COVID19positive/comments/icxs9n/could_it_just_be_a_common_cold/")</f>
        <v/>
      </c>
      <c r="G4570" t="inlineStr">
        <is>
          <t>2020-08-19 15:17:19</t>
        </is>
      </c>
      <c r="H4570" t="inlineStr">
        <is>
          <t>Presumed Positive - From Doctor</t>
        </is>
      </c>
    </row>
    <row r="4571">
      <c r="A4571" t="inlineStr">
        <is>
          <t>icxy0u</t>
        </is>
      </c>
      <c r="B4571" t="inlineStr">
        <is>
          <t>Mom recovered, tested positive still.</t>
        </is>
      </c>
      <c r="C4571" t="inlineStr">
        <is>
          <t>Hi, all! My mom had tested positive earlier and had mild mild symptoms (lucky for her) anyway She was basically recovered, and took a test on a Thursday. Her bfs test came back negative so we assumed she was good to go. Fast forward, I briefly saw her outside to give her some food I made, and we wore masks, sometimes there masks were down but we were more than three feet away. This was Saturday. Today she called me and said she still tested positive. Do you think she was infections? I am getting tested tomorrow anyway and I feel fine but does anyone else have experience of testing Positive after recovery? Could she still be contagious ? Her symptoms started more than two weeks ago, she feels 100% now</t>
        </is>
      </c>
      <c r="D4571" t="n">
        <v>1</v>
      </c>
      <c r="E4571" t="n">
        <v>3</v>
      </c>
      <c r="F4571">
        <f>HYPERLINK("https://www.reddit.com/r/COVID19positive/comments/icxy0u/mom_recovered_tested_positive_still/")</f>
        <v/>
      </c>
      <c r="G4571" t="inlineStr">
        <is>
          <t>2020-08-19 15:26:06</t>
        </is>
      </c>
      <c r="H4571" t="inlineStr">
        <is>
          <t>Tested Positive - Family</t>
        </is>
      </c>
    </row>
    <row r="4572">
      <c r="A4572" t="inlineStr">
        <is>
          <t>icy4qz</t>
        </is>
      </c>
      <c r="B4572" t="inlineStr">
        <is>
          <t>Question for those who lost sense of taste</t>
        </is>
      </c>
      <c r="C4572" t="inlineStr">
        <is>
          <t>What food did you find you could almost taste or was  half enjoyable with no taste?</t>
        </is>
      </c>
      <c r="D4572" t="n">
        <v>1</v>
      </c>
      <c r="E4572" t="n">
        <v>16</v>
      </c>
      <c r="F4572">
        <f>HYPERLINK("https://www.reddit.com/r/COVID19positive/comments/icy4qz/question_for_those_who_lost_sense_of_taste/")</f>
        <v/>
      </c>
      <c r="G4572" t="inlineStr">
        <is>
          <t>2020-08-19 15:36:32</t>
        </is>
      </c>
      <c r="H4572" t="inlineStr">
        <is>
          <t>Tested Positive</t>
        </is>
      </c>
    </row>
    <row r="4573">
      <c r="A4573" t="inlineStr">
        <is>
          <t>icy5to</t>
        </is>
      </c>
      <c r="B4573" t="inlineStr">
        <is>
          <t>My parents disinherited me because of COVID-19</t>
        </is>
      </c>
      <c r="C4573" t="inlineStr">
        <is>
          <t>My sister sent her teenaged son to church camp about a month ago, where he caught covid. She caught it from him and tested positive several days after that. 
After she informed me, I took my 19-year-old daughter and myself to a FEMA-sponsored testing drive-through site. We both tested negative. 
My mother and my sister were both so offended that we got tested. They told us “you’re going to end up catching it one day anyway.” 
Then my daughter stood up for herself and for her twin sister who weighs 88 pounds and has cerebral palsy. She told her aunt and grandparents that what they did was very dangerous and that we can’t trust they will wear masks in places such as their church. 
At that moment, we were told how much we will regret being cautious. They told my daughter they’re writing her out of their will. What grandparent does this?!
I am a registered CNA and have been following Standard Precautions since March 12. My daughter is my client. I have an obligation to protect her. Doubly so. 
I wanted to share this in case any of you are going through something similar. 
Peace and Love.</t>
        </is>
      </c>
      <c r="D4573" t="n">
        <v>1</v>
      </c>
      <c r="E4573" t="n">
        <v>219</v>
      </c>
      <c r="F4573">
        <f>HYPERLINK("https://www.reddit.com/r/COVID19positive/comments/icy5to/my_parents_disinherited_me_because_of_covid19/")</f>
        <v/>
      </c>
      <c r="G4573" t="inlineStr">
        <is>
          <t>2020-08-19 15:38:15</t>
        </is>
      </c>
      <c r="H4573" t="inlineStr">
        <is>
          <t>Tested Positive - Family</t>
        </is>
      </c>
    </row>
    <row r="4574">
      <c r="A4574" t="inlineStr">
        <is>
          <t>icyeuh</t>
        </is>
      </c>
      <c r="B4574" t="inlineStr">
        <is>
          <t>Some questions</t>
        </is>
      </c>
      <c r="C4574" t="inlineStr">
        <is>
          <t>I’m on day 7 and I’m a little weak and it hurts to deeply inhale. My upper back and between my shoulder blades ache. Did this happen to anyone else? I’m so worried my symptoms are going to go downhill and I’m going to get really sick. 
I don’t have anywhere to turn to so this group is comforting. Thanks!</t>
        </is>
      </c>
      <c r="D4574" t="n">
        <v>1</v>
      </c>
      <c r="E4574" t="n">
        <v>6</v>
      </c>
      <c r="F4574">
        <f>HYPERLINK("https://www.reddit.com/r/COVID19positive/comments/icyeuh/some_questions/")</f>
        <v/>
      </c>
      <c r="G4574" t="inlineStr">
        <is>
          <t>2020-08-19 15:52:40</t>
        </is>
      </c>
      <c r="H4574" t="inlineStr">
        <is>
          <t>Tested Positive - Me</t>
        </is>
      </c>
    </row>
    <row r="4575">
      <c r="A4575" t="inlineStr">
        <is>
          <t>icyjze</t>
        </is>
      </c>
      <c r="B4575" t="inlineStr">
        <is>
          <t>I just moved in with my whole family how do I keep them safe from me?</t>
        </is>
      </c>
      <c r="C4575" t="inlineStr">
        <is>
          <t>the doctor said I have a temp 
the last week I've had breathing issues (I thought it was from all the fires in my area and my severe asthma)
I've also have been sleepy but I do take lamictal which makes me really tired all the time
lots of the symtoms of covid are symtoms that I actually normally have without even being sick especially during summer (besides the temp) I'm getting tested tomorrow
my question is how do I keep my family safe? I've been in their house since the 15th no precautions were taken due to me not knowing (feeling "normally" sick for me anyway)
 dad is in his 50's my mom has multiple autoimmune diseases my older brother has no pre-existing conditions 
I'm scared that since I havent taken any precautions they will get way more ill than me
my parents wouldn't protest to getting me and my partner a hotel until we move into our new house (on the 1st of September) 
should I do that for now, what can they take or do to help them???</t>
        </is>
      </c>
      <c r="D4575" t="n">
        <v>1</v>
      </c>
      <c r="E4575" t="n">
        <v>7</v>
      </c>
      <c r="F4575">
        <f>HYPERLINK("https://www.reddit.com/r/COVID19positive/comments/icyjze/i_just_moved_in_with_my_whole_family_how_do_i/")</f>
        <v/>
      </c>
      <c r="G4575" t="inlineStr">
        <is>
          <t>2020-08-19 16:00:51</t>
        </is>
      </c>
      <c r="H4575" t="inlineStr">
        <is>
          <t>Presumed Positive - From Doctor</t>
        </is>
      </c>
    </row>
    <row r="4576">
      <c r="A4576" t="inlineStr">
        <is>
          <t>icyq40</t>
        </is>
      </c>
      <c r="B4576" t="inlineStr">
        <is>
          <t>Frustration and Anger over getting Covid19</t>
        </is>
      </c>
      <c r="C4576" t="inlineStr">
        <is>
          <t>I along with my partner were recently diagnosed with Coivd19.  It has been a wild roller coaster with different things happening daily.  First the headaches, then fever and night sweats, and then when that is all done we start getting this weird sensation in our chest with a dry cough.  That starts to clear up and now have loss my sense of taste.
I'm honestly scared to see what happens next. I don't know how we got it as we didn't go out that often and often wash and used hand sanitizers. 
At the same time I am more angry at our government's lack of response.  The whole "it will go away on its own.." and the fact that people downplayed this thing.  The whole thing just frustrates me.    Yeah I know no one could have 100% prevented this but it is frustrating as there are other countries that have this under control more than the US.  Has anyone else felt this way?  I was feeling this way before but now actually having Covid19 it just hits home more.  Just wondering how others are dealing with this.
Anyone else that had a mild case, were these events normal?  I'm wondering if things will get worse.  We are both in our 30s and mostly healthy.  Thanks.</t>
        </is>
      </c>
      <c r="D4576" t="n">
        <v>1</v>
      </c>
      <c r="E4576" t="n">
        <v>17</v>
      </c>
      <c r="F4576">
        <f>HYPERLINK("https://www.reddit.com/r/COVID19positive/comments/icyq40/frustration_and_anger_over_getting_covid19/")</f>
        <v/>
      </c>
      <c r="G4576" t="inlineStr">
        <is>
          <t>2020-08-19 16:10:35</t>
        </is>
      </c>
      <c r="H4576" t="inlineStr">
        <is>
          <t>Tested Positive</t>
        </is>
      </c>
    </row>
    <row r="4577">
      <c r="A4577" t="inlineStr">
        <is>
          <t>icz4q0</t>
        </is>
      </c>
      <c r="B4577" t="inlineStr">
        <is>
          <t>Anyone have mood changes?</t>
        </is>
      </c>
      <c r="C4577" t="inlineStr">
        <is>
          <t>Hello everyone! I’m about day 12 of having covid. A lot of my physical symptoms are starting to feel better but i have noticed that i am getting irritated really easily. Like I have a short fuse. It’s not really like me to be like this and i was just wondering if the virus can effect your mood? Thank you!</t>
        </is>
      </c>
      <c r="D4577" t="n">
        <v>1</v>
      </c>
      <c r="E4577" t="n">
        <v>2</v>
      </c>
      <c r="F4577">
        <f>HYPERLINK("https://www.reddit.com/r/COVID19positive/comments/icz4q0/anyone_have_mood_changes/")</f>
        <v/>
      </c>
      <c r="G4577" t="inlineStr">
        <is>
          <t>2020-08-19 16:34:17</t>
        </is>
      </c>
      <c r="H4577" t="inlineStr">
        <is>
          <t>Tested Positive - Me</t>
        </is>
      </c>
    </row>
    <row r="4578">
      <c r="A4578" t="inlineStr">
        <is>
          <t>iczb0n</t>
        </is>
      </c>
      <c r="B4578" t="inlineStr">
        <is>
          <t>Battling COVID w/ a Suppressed Immune System</t>
        </is>
      </c>
      <c r="C4578" t="inlineStr">
        <is>
          <t>I am on day seven of symptoms after testing positive. I have had a wave of different symptoms for the last four days. They have ranged from fever, headache, dizziness, cough, heavy chest, and pain in back and neck. The symptoms that have remained consistent have been elevated pulse, loss of smell &amp;amp; taste, exhaustion and eye pain. I mention all of these because I have a suppressed immune system due to taking Humira for my Psoriatic Arthritis. I am just curious if anyone else that has tested positive has Psoriatic Arthritis and is on a biological medication. If so, was there anything you did that seemed to make a difference in your recovery? I greatly appreciate your stories and advice! #StayHealthy</t>
        </is>
      </c>
      <c r="D4578" t="n">
        <v>1</v>
      </c>
      <c r="E4578" t="n">
        <v>2</v>
      </c>
      <c r="F4578">
        <f>HYPERLINK("https://www.reddit.com/r/COVID19positive/comments/iczb0n/battling_covid_w_a_suppressed_immune_system/")</f>
        <v/>
      </c>
      <c r="G4578" t="inlineStr">
        <is>
          <t>2020-08-19 16:44:46</t>
        </is>
      </c>
      <c r="H4578" t="inlineStr">
        <is>
          <t>Tested Positive</t>
        </is>
      </c>
    </row>
    <row r="4579">
      <c r="A4579" t="inlineStr">
        <is>
          <t>iczngf</t>
        </is>
      </c>
      <c r="B4579" t="inlineStr">
        <is>
          <t>Favipiravir: should we be hopeful?</t>
        </is>
      </c>
      <c r="C4579" t="inlineStr">
        <is>
          <t>Anyone have news on favipiravir and if it’s working for COVID patients?</t>
        </is>
      </c>
      <c r="D4579" t="n">
        <v>1</v>
      </c>
      <c r="E4579" t="n">
        <v>3</v>
      </c>
      <c r="F4579">
        <f>HYPERLINK("https://www.reddit.com/r/COVID19positive/comments/iczngf/favipiravir_should_we_be_hopeful/")</f>
        <v/>
      </c>
      <c r="G4579" t="inlineStr">
        <is>
          <t>2020-08-19 17:05:35</t>
        </is>
      </c>
      <c r="H4579" t="inlineStr">
        <is>
          <t>Presumed Positive - From Doctor</t>
        </is>
      </c>
    </row>
    <row r="4580">
      <c r="A4580" t="inlineStr">
        <is>
          <t>id1ox6</t>
        </is>
      </c>
      <c r="B4580" t="inlineStr">
        <is>
          <t>1.5 months with no smell or taste</t>
        </is>
      </c>
      <c r="C4580" t="inlineStr">
        <is>
          <t>After I recovered around June 25th everything was fine for a couple days, until June 30th where I lost half of my smell and taste. Eventually it went completely away, and now it's like 10-20% there where I barely taste next to nothing. Is there any hope it'll come back or am I screwed?</t>
        </is>
      </c>
      <c r="D4580" t="n">
        <v>1</v>
      </c>
      <c r="E4580" t="n">
        <v>7</v>
      </c>
      <c r="F4580">
        <f>HYPERLINK("https://www.reddit.com/r/COVID19positive/comments/id1ox6/15_months_with_no_smell_or_taste/")</f>
        <v/>
      </c>
      <c r="G4580" t="inlineStr">
        <is>
          <t>2020-08-19 19:12:54</t>
        </is>
      </c>
      <c r="H4580" t="inlineStr">
        <is>
          <t>Tested Positive</t>
        </is>
      </c>
    </row>
    <row r="4581">
      <c r="A4581" t="inlineStr">
        <is>
          <t>id1rp5</t>
        </is>
      </c>
      <c r="B4581" t="inlineStr">
        <is>
          <t>Pneumonia</t>
        </is>
      </c>
      <c r="C4581" t="inlineStr">
        <is>
          <t>Hi everyone,
My pregnant sister is now hospitalized and they told her she has pneumonia. That they will keep her overnight and give her antibiotics. Can someone please tell me your story if this was your case? I’m freaking out.</t>
        </is>
      </c>
      <c r="D4581" t="n">
        <v>1</v>
      </c>
      <c r="E4581" t="n">
        <v>3</v>
      </c>
      <c r="F4581">
        <f>HYPERLINK("https://www.reddit.com/r/COVID19positive/comments/id1rp5/pneumonia/")</f>
        <v/>
      </c>
      <c r="G4581" t="inlineStr">
        <is>
          <t>2020-08-19 19:18:17</t>
        </is>
      </c>
      <c r="H4581" t="inlineStr">
        <is>
          <t>Tested Positive - Family</t>
        </is>
      </c>
    </row>
    <row r="4582">
      <c r="A4582" t="inlineStr">
        <is>
          <t>id249s</t>
        </is>
      </c>
      <c r="B4582" t="inlineStr">
        <is>
          <t>A followup - Wife didn't contract COVID.</t>
        </is>
      </c>
      <c r="C4582" t="inlineStr">
        <is>
          <t>I'm a nurse.  I posted a few weeks ago that I had tested positive for COVID.  I'm doing well and back at work.  Found out when I got back to work that I was part of a second wave of COVID on my unit.  At least 5 others.  All but a few of us on my unit have had it at this point and are back at work.  Turns out we had an unknown covid positive patient on our unit for almost two weeks.  Don't know how we all caught it when the PPE requirements keep increasing.  Now we have to wear goggles in patient rooms, in addition to masks, and we have to wear respirators around anyone who could produce aerosols (so, any negative patient getting a breathing treatment, coughing, on BiPAP, etc).  
The mystery to me is, while my wife and I initially thought we BOTH had COVID, she tested negative.  She had antibody testing done yesterday, and that came back negative as well, so it turns out her symptoms were a Lupus flare, not COVID.  So the mystery is, she didn't catch it from me despite us both drinking and eating after each other, using items without sanitizing (keyboard, etc) and, of course, I know I coughed all over all of the pillows, etc.  We didn't isolate from one another. We behaved as a normal married couple, albeit, I behaved as a wimpy husband who felt flu-like symptoms for over two weeks.  
Us nurses with all the PPE should have had a very low chance of catching COVID. In a work environment where every patient has been tested twice prior to coming up. In a place where we wash hands or use sanitizer every time we go through a doorway if not more often.    
My wife had a very high chance of catching COVID.  The people who ate at the table with me the day before I got sick had a very high chance.  But, strangely none of the people I've had direct contact with who I've been maskless around have caught COVID (And I do mean thankfully. My wife is on immunosuppressants and hydroxychloroquine, and one of my friends is on chemo).  On top of this, my state's number of cases keep going up weeks after the mask mandate went into effect. They should have leveled out or started going down.  
None of this really makes sense when I think about it.  
I'd love to hear circumstances around anyone else who contracted or transmitted COVID.  I think there's a factor not being considered.  It would be helpful to learn more about how this thing hops from person to person.</t>
        </is>
      </c>
      <c r="D4582" t="n">
        <v>1</v>
      </c>
      <c r="E4582" t="n">
        <v>14</v>
      </c>
      <c r="F4582">
        <f>HYPERLINK("https://www.reddit.com/r/COVID19positive/comments/id249s/a_followup_wife_didnt_contract_covid/")</f>
        <v/>
      </c>
      <c r="G4582" t="inlineStr">
        <is>
          <t>2020-08-19 19:40:41</t>
        </is>
      </c>
      <c r="H4582" t="inlineStr">
        <is>
          <t>Tested Positive - Me</t>
        </is>
      </c>
    </row>
    <row r="4583">
      <c r="A4583" t="inlineStr">
        <is>
          <t>id2qsg</t>
        </is>
      </c>
      <c r="B4583" t="inlineStr">
        <is>
          <t>Presumed Positive C19 Mostly GI symptoms...</t>
        </is>
      </c>
      <c r="C4583" t="inlineStr">
        <is>
          <t>Ok so here's the symptoms. Friday woke up with achy legs and back. Not quite flu type achy but definitely achy. Saturday woke up feeling fine and by Saturday evening I was running a low grade fever. Sunday the fever was MIA but I was extremely fatigued. Couldn't get out of bed, extremities felt extremely weak. Diarrhea and stomach pains started as well. Sunday night I started noticing small pings of chest pain whenever I would lay down. Cough started Sunday night. Monday was a lot of dry coughing, extremely tired still, didn't feel near as weak but couldn't do much. Tuesday I woke up feeling about 60% better so I cleaned my kitchen and vacuumed. Helped fold laundry. Was down exhausted again by Tuesday afternoon. Today I woke up feeling AMAZING. Still have diarrhea but had a firmer stool this morning. I decided to take it easy even though I felt so good today. By this afternoon my fever has returned to low grade and my stomach is cramping and doing flips. Still having diarrhea. No loss of taste or smell and no shortness of breath. Mild irritation in my chest, and coughing now and then. Feels like a setback. Just feel really nasty and run down. I was exposed from a family member who we think came out of quarantine too early. She tested positive and came out two weeks later still showing symptoms.</t>
        </is>
      </c>
      <c r="D4583" t="n">
        <v>1</v>
      </c>
      <c r="E4583" t="n">
        <v>5</v>
      </c>
      <c r="F4583">
        <f>HYPERLINK("https://www.reddit.com/r/COVID19positive/comments/id2qsg/presumed_positive_c19_mostly_gi_symptoms/")</f>
        <v/>
      </c>
      <c r="G4583" t="inlineStr">
        <is>
          <t>2020-08-19 20:22:28</t>
        </is>
      </c>
      <c r="H4583" t="inlineStr">
        <is>
          <t>Presumed Positive - From Doctor</t>
        </is>
      </c>
    </row>
    <row r="4584">
      <c r="A4584" t="inlineStr">
        <is>
          <t>id5bvx</t>
        </is>
      </c>
      <c r="B4584" t="inlineStr">
        <is>
          <t>Anyone getting pain in hands/feet?</t>
        </is>
      </c>
      <c r="C4584" t="inlineStr">
        <is>
          <t>About a month after recovering I worked out and rebounded with insane fatigue/nausea. Ever since (6 weeks ago) I've had terrible pain in my feet and hands. It's always worst in my feet when waking up and is kinda like these sharp jabs in my fingers and toes, or a dull ache in my foot arch and toes. I also had severe pain in my thigh while I had the virus. 
Can anyone relate?</t>
        </is>
      </c>
      <c r="D4584" t="n">
        <v>1</v>
      </c>
      <c r="E4584" t="n">
        <v>6</v>
      </c>
      <c r="F4584">
        <f>HYPERLINK("https://www.reddit.com/r/COVID19positive/comments/id5bvx/anyone_getting_pain_in_handsfeet/")</f>
        <v/>
      </c>
      <c r="G4584" t="inlineStr">
        <is>
          <t>2020-08-19 23:45:07</t>
        </is>
      </c>
      <c r="H4584" t="inlineStr">
        <is>
          <t>Tested Positive - Me</t>
        </is>
      </c>
    </row>
    <row r="4585">
      <c r="A4585" t="inlineStr">
        <is>
          <t>id5epn</t>
        </is>
      </c>
      <c r="B4585" t="inlineStr">
        <is>
          <t>Asthma with COVID-19</t>
        </is>
      </c>
      <c r="C4585" t="inlineStr">
        <is>
          <t>I don’t know if I contracted COVID from my ex-girlfriend or my parents at that time, but I for sure had it. I got tested and results came positive. I was scared for my life since I was at the time (16 Years Old) ((17 now), and I also had asthma. I told my family I loved them because I felt like my asthma was going to be the biggest problem during this recovery and that I wasn’t going to make it. After a week or two, symptoms have disappeared and I was healthy again. In my honest opinion, it was not worse than the flu itself. My actual problems start occurring after my recovery. I’m unable to walk for 30 seconds without getting tired. What scares me the most is that I get random asthma attacks out of nowhere. My own wheezing can be heart throughout the home. This randomly occurs any day of the week. Last time I’ve had an actual asthma attack was in elementary school, now its happening again but worse. Hopefully I will be able to recover from the after effects.</t>
        </is>
      </c>
      <c r="D4585" t="n">
        <v>1</v>
      </c>
      <c r="E4585" t="n">
        <v>3</v>
      </c>
      <c r="F4585">
        <f>HYPERLINK("https://www.reddit.com/r/COVID19positive/comments/id5epn/asthma_with_covid19/")</f>
        <v/>
      </c>
      <c r="G4585" t="inlineStr">
        <is>
          <t>2020-08-19 23:52:47</t>
        </is>
      </c>
      <c r="H4585" t="inlineStr">
        <is>
          <t>Tested Positive - Me</t>
        </is>
      </c>
    </row>
    <row r="4586">
      <c r="A4586" t="inlineStr">
        <is>
          <t>id7h7u</t>
        </is>
      </c>
      <c r="B4586" t="inlineStr">
        <is>
          <t>Corona virus free?</t>
        </is>
      </c>
      <c r="C4586" t="inlineStr">
        <is>
          <t>Sorry it's not a question really, I just put the question mark for reddit to accept it. So I first had the corona virus about three month ago. I was fatigued and had most of the common symptoms at first but then I got better but soon after, i lost my sense of smell and taste and still had a little bit of coughing and headaches that stuck with me for a while. I unfortunately didn't get any treatment for financial problems and hence why my sense of smell and taste only got a little bit better (more like 10-20% better) after like almost 2 months, which is a long time but I got stuck at this percentage for a while and sometimes it would get worse which was a living hell for me since I enjoy food so much, but like thank god I finally got my hands on some money and finally got my prescription and let me tell you, the meds did great believe me. Now I'm corona free and got my taste back. Tbh I don't know if I got them fully but I would give it a solid 95%. I'm still on my meds just in case I haven't got my taste sense back 100%. I just wanted to encourage people who have the virus or have somebody they know that has the virus, it's going to be ok. I had it and so did my mum but my mum was worse than me since she I have a better immune system but now she's Corona free as well. No matter what happens, don't give up. I know it's hard and frustrating and I also know how isolating yourself makes you lose you insanity at some point all that will pass so just have patience and keep a good mindset since I also feel like I became worse when I sunk in to more depression than I already have but once I kind of got better with my mental health, my physical health got better faster. Wish you all best of luck ^^</t>
        </is>
      </c>
      <c r="D4586" t="n">
        <v>1</v>
      </c>
      <c r="E4586" t="n">
        <v>3</v>
      </c>
      <c r="F4586">
        <f>HYPERLINK("https://www.reddit.com/r/COVID19positive/comments/id7h7u/corona_virus_free/")</f>
        <v/>
      </c>
      <c r="G4586" t="inlineStr">
        <is>
          <t>2020-08-20 03:00:55</t>
        </is>
      </c>
      <c r="H4586" t="inlineStr">
        <is>
          <t>Tested Positive</t>
        </is>
      </c>
    </row>
    <row r="4587">
      <c r="A4587" t="inlineStr">
        <is>
          <t>id9wp4</t>
        </is>
      </c>
      <c r="B4587" t="inlineStr">
        <is>
          <t>Nose hurts</t>
        </is>
      </c>
      <c r="C4587" t="inlineStr">
        <is>
          <t>Hello, a family member of mine tested positive for covid-19, mild symptoms. 
But, seems like pain in the nose, like winter dry kind of pain is bothering them a lot.
Anybody has advice to reduce the pain ? Home remedies ? Or anything that you do help relief the pain ? 
Thank you in advance!</t>
        </is>
      </c>
      <c r="D4587" t="n">
        <v>1</v>
      </c>
      <c r="E4587" t="n">
        <v>5</v>
      </c>
      <c r="F4587">
        <f>HYPERLINK("https://www.reddit.com/r/COVID19positive/comments/id9wp4/nose_hurts/")</f>
        <v/>
      </c>
      <c r="G4587" t="inlineStr">
        <is>
          <t>2020-08-20 06:05:17</t>
        </is>
      </c>
      <c r="H4587" t="inlineStr">
        <is>
          <t>Tested Positive - Family</t>
        </is>
      </c>
    </row>
    <row r="4588">
      <c r="A4588" t="inlineStr">
        <is>
          <t>ida8k1</t>
        </is>
      </c>
      <c r="B4588" t="inlineStr">
        <is>
          <t>Long term symptoms - just got diagnosed with asthma</t>
        </is>
      </c>
      <c r="C4588" t="inlineStr">
        <is>
          <t>31yo male, slightly overweight, no pre-existing conditions other than hay fever.
I got covid-19 in mid-March, "recovered" about 2/3 weeks later, have had respiratory issues since then (shortness of breathe, stabbing pain in my lungs, etc.). After 5 hospital visits this month, the official diagnosis is that I have asthma, likely triggered by covid.
Apparently asthma is something you can develop at any age and it's impossible to say if and how quickly you will recover. TIL.
Anyway, got some new drugs, anti-inflammatory and steroids for the esophagus muscles, if I picked that up correctly. I'm just happy to finally have some clarity.
Be safe &amp;lt;3</t>
        </is>
      </c>
      <c r="D4588" t="n">
        <v>1</v>
      </c>
      <c r="E4588" t="n">
        <v>4</v>
      </c>
      <c r="F4588">
        <f>HYPERLINK("https://www.reddit.com/r/COVID19positive/comments/ida8k1/long_term_symptoms_just_got_diagnosed_with_asthma/")</f>
        <v/>
      </c>
      <c r="G4588" t="inlineStr">
        <is>
          <t>2020-08-20 06:25:36</t>
        </is>
      </c>
      <c r="H4588" t="inlineStr">
        <is>
          <t>Tested Positive - Me</t>
        </is>
      </c>
    </row>
    <row r="4589">
      <c r="A4589" t="inlineStr">
        <is>
          <t>idakyu</t>
        </is>
      </c>
      <c r="B4589" t="inlineStr">
        <is>
          <t>Feels like I'm breathing in powder??? Like air Is heavy almost</t>
        </is>
      </c>
      <c r="C4589" t="inlineStr">
        <is>
          <t>Has anyone had this? It's kind of like air tastes sweet and heavy almost like breathing icing sugar in with every breath and my cough feels dryer and scratcher :(</t>
        </is>
      </c>
      <c r="D4589" t="n">
        <v>1</v>
      </c>
      <c r="E4589" t="n">
        <v>7</v>
      </c>
      <c r="F4589">
        <f>HYPERLINK("https://www.reddit.com/r/COVID19positive/comments/idakyu/feels_like_im_breathing_in_powder_like_air_is/")</f>
        <v/>
      </c>
      <c r="G4589" t="inlineStr">
        <is>
          <t>2020-08-20 06:47:03</t>
        </is>
      </c>
      <c r="H4589" t="inlineStr">
        <is>
          <t>Tested Positive - Me</t>
        </is>
      </c>
    </row>
    <row r="4590">
      <c r="A4590" t="inlineStr">
        <is>
          <t>idaug3</t>
        </is>
      </c>
      <c r="B4590" t="inlineStr">
        <is>
          <t>Bridesmaid in a wedding where the MoH just tested positive. Bride wants to continue as planned</t>
        </is>
      </c>
      <c r="C4590" t="inlineStr">
        <is>
          <t>I'm a bridesmaid in a large wedding (100+ RSVP post-COVID acknowledgement) tomorrow. A bridesmaid (not myself) just tested positive this week, since then, their housemates have tested positive too. To my understanding, the risk of false positives are extremely low, and I'm not sure what our options are. I've been kept out of the loop other than "I tested positive after getting tested for peace of mind and only have mild symptoms - we are deciding what to do and will keep you posted. I hope to at least make the reception" but the wedding is tomorrow and I am supposed to leave for it today. I do not want to be exposed to the virus because the bride has her bride-blinders on and doesn't see the virus as a threat. Does anyone have any advice/suggestions about:
\- how to handle this with the bride?
\- how to console them?
\- ???!??! (I'm at a loss for words in case you wouldn't tell)</t>
        </is>
      </c>
      <c r="D4590" t="n">
        <v>1</v>
      </c>
      <c r="E4590" t="n">
        <v>219</v>
      </c>
      <c r="F4590">
        <f>HYPERLINK("https://www.reddit.com/r/COVID19positive/comments/idaug3/bridesmaid_in_a_wedding_where_the_moh_just_tested/")</f>
        <v/>
      </c>
      <c r="G4590" t="inlineStr">
        <is>
          <t>2020-08-20 07:02:41</t>
        </is>
      </c>
      <c r="H4590" t="inlineStr">
        <is>
          <t>Tested Positive - Friends</t>
        </is>
      </c>
    </row>
    <row r="4591">
      <c r="A4591" t="inlineStr">
        <is>
          <t>idczvl</t>
        </is>
      </c>
      <c r="B4591" t="inlineStr">
        <is>
          <t>Housemate tested positive and was quarantined in a hotel. 10 days later, the doctor tells him he is no longer contagious and allows him to come back to our house.</t>
        </is>
      </c>
      <c r="C4591" t="inlineStr">
        <is>
          <t>My house mate tested positive about 10 days ago. I got tested after finding out and I was negative. I disinfected the whole house and was put on orders to quarantine for two weeks, (we are military) and he was put in a hotel. Yesterday they sent him home after about 10 days at the hotel, because apparently his light cough had only gotten better and he was “No longer contagious”. I’m extremely suspicious about that and wondering if I should still disinfect everything he touches/ limit contact. I pretty much have my room and bathroom to myself. We only share the kitchen and front door. Does any one know about this “no longer contagious” thing?</t>
        </is>
      </c>
      <c r="D4591" t="n">
        <v>1</v>
      </c>
      <c r="E4591" t="n">
        <v>15</v>
      </c>
      <c r="F4591">
        <f>HYPERLINK("https://www.reddit.com/r/COVID19positive/comments/idczvl/housemate_tested_positive_and_was_quarantined_in/")</f>
        <v/>
      </c>
      <c r="G4591" t="inlineStr">
        <is>
          <t>2020-08-20 09:00:04</t>
        </is>
      </c>
      <c r="H4591" t="inlineStr">
        <is>
          <t>Tested Positive - Friends</t>
        </is>
      </c>
    </row>
    <row r="4592">
      <c r="A4592" t="inlineStr">
        <is>
          <t>iddehg</t>
        </is>
      </c>
      <c r="B4592" t="inlineStr">
        <is>
          <t>Bananas</t>
        </is>
      </c>
      <c r="C4592" t="inlineStr">
        <is>
          <t>Was positive back in mid June, lost taste/smell. Smell is still gone and taste is limited. At first I thought my taste was coming back, but I think it’s been like this since the beginning and more so that I’m becoming more accustomed to what I can taste. I’ve been using bananas as a sort of benchmark to gauge if there’s been any improvement, they still taste so strange to me unlike some other things. They say 2-4 weeks is when taste typically comes back, but I’m curious if it does actually ever “come back” OR if it takes 2-4 weeks for our brains to get used to it and say, “oh well this is what taste is now.</t>
        </is>
      </c>
      <c r="D4592" t="n">
        <v>1</v>
      </c>
      <c r="E4592" t="n">
        <v>7</v>
      </c>
      <c r="F4592">
        <f>HYPERLINK("https://www.reddit.com/r/COVID19positive/comments/iddehg/bananas/")</f>
        <v/>
      </c>
      <c r="G4592" t="inlineStr">
        <is>
          <t>2020-08-20 09:21:02</t>
        </is>
      </c>
      <c r="H4592" t="inlineStr">
        <is>
          <t>Tested Positive</t>
        </is>
      </c>
    </row>
    <row r="4593">
      <c r="A4593" t="inlineStr">
        <is>
          <t>idedy8</t>
        </is>
      </c>
      <c r="B4593" t="inlineStr">
        <is>
          <t>Loss of smell....can sort of taste?</t>
        </is>
      </c>
      <c r="C4593" t="inlineStr">
        <is>
          <t>3 days ago I began to notice a smell lingering wherever I went...sort of a musty, damp smell. Cleaned everything, showered, still it lingered. 2 days ago things started tasting funny and not surprisingly, yesterday I had no sense of smell at all. I can every once and a while get a whiff of something very strong and concentrated, like peppermint oil, but otherwise nothing. I can sense on my tongue if something is minty or sweet or salty but it has no flavor, if that makes sense? I keep reading about total loss of taste and smell and I'm not sure I quite fit that description. Has this happened to anyone? I have also had a very slight cough, congestion, headaches and fatigue. 
I'm an ICU nurse in a covid ICU so naturally it is presumed my symptoms are covid and my test is pending. I know a lot about how the disease presents in the critically ill but I confess I do not know a lot about the different presentations in those who have milder illness. Did most of you with mild illness stay in the mild illness category or did you progress to getting much sicker? Anecdotally, I feel like most of the patients I've cared for started out with pretty severe presentations and got even sicker from there.</t>
        </is>
      </c>
      <c r="D4593" t="n">
        <v>1</v>
      </c>
      <c r="E4593" t="n">
        <v>7</v>
      </c>
      <c r="F4593">
        <f>HYPERLINK("https://www.reddit.com/r/COVID19positive/comments/idedy8/loss_of_smellcan_sort_of_taste/")</f>
        <v/>
      </c>
      <c r="G4593" t="inlineStr">
        <is>
          <t>2020-08-20 10:12:22</t>
        </is>
      </c>
      <c r="H4593" t="inlineStr">
        <is>
          <t>Presumed Positive - From Doctor</t>
        </is>
      </c>
    </row>
    <row r="4594">
      <c r="A4594" t="inlineStr">
        <is>
          <t>idfs47</t>
        </is>
      </c>
      <c r="B4594" t="inlineStr">
        <is>
          <t>Hello, I just got tested positive after a quick test (got the IgM antibody) What recommendations could you give me to survive this?</t>
        </is>
      </c>
      <c r="C4594" t="inlineStr">
        <is>
          <t>Well, after finding out I'm positive, I'm feeling sad. Right now I'm waiting for my doctor's recipe. Here are my symptoms:
\&amp;gt;lacked fever outbursts until yesterday afternoon, when I started to feel weak and my head started to hurt like hell. I'm not feverish right now.
\&amp;gt;can breathe fine so far
\&amp;gt;still have my senses of smell and taste
\&amp;gt;My biggest symptom is like a big pressure on my chest, around the trachea. I'm burping a lot because of it, so I think it may be some gas. Still, my trachea feels hot. I'm not coughing or sneezing a lot so far, but AFAIK my COVID experience is only beginning.
I'm 29 years old, 5'9 feet and weight 117 kgs. I know I'm out of shape, that's why I specficially ask for advice on surviving this. I heard that laying down with your back up helps bringing the lungs with air. Any other advice is apreciated. Thank you so much.</t>
        </is>
      </c>
      <c r="D4594" t="n">
        <v>1</v>
      </c>
      <c r="E4594" t="n">
        <v>32</v>
      </c>
      <c r="F4594">
        <f>HYPERLINK("https://www.reddit.com/r/COVID19positive/comments/idfs47/hello_i_just_got_tested_positive_after_a_quick/")</f>
        <v/>
      </c>
      <c r="G4594" t="inlineStr">
        <is>
          <t>2020-08-20 11:24:17</t>
        </is>
      </c>
      <c r="H4594" t="inlineStr">
        <is>
          <t>Tested Positive - Me</t>
        </is>
      </c>
    </row>
    <row r="4595">
      <c r="A4595" t="inlineStr">
        <is>
          <t>idh12g</t>
        </is>
      </c>
      <c r="B4595" t="inlineStr">
        <is>
          <t>Tested Positive</t>
        </is>
      </c>
      <c r="C4595" t="inlineStr">
        <is>
          <t>I started with symptoms around 7/26-7/27. I started with a sore throat and slight fever around 99.5°F but never going above 100°F. Then the headache started and last for 3-4 days what felt like continuous... it never stopped no matter how much Tylenol I took. I got tested on 7/31 and finally got results back on 8/3 that were positive. By then most of my symptoms had eased off. The fever had broke after 2-3 days of starting and I was left super congested, dizzy, light-headed and just exhausted. The weekend after testing positive I started to feel better until 8/11 when I spiked another fever of now 102°F and along came back the congestion, sore throat, fatigue and headache. I was coughing and had a ton of mucous build up in my throat and my chest felt tight and heavy. I decided to get tested again and was able to on 8/13 I got my results back on 8/17 and this time they were negative. I had been in contact with my doctor and he has now prescribed me an antibiotic that I have been on for about 3 days now. He is treating me as if I have a sinus infection which I assume could be a result of the COVID. I am finally getting some relief from my symptoms after basically feeling unwell for around 3 weeks. I did however lose my smell and taste early on probably right around 7/31 and still have not gained either back. I can taste some saltiness here and there but other than that I have nothing. I have read some posts where people have been months without it. I really hope I don’t have to wait that long but it’s been about 2 weeks now without these senses and I’m so mind boggled as to why I haven’t gotten either back yet. 
So for anyone that has lost their taste/smell and have gotten it back, what was it like for you? And how long did it take for your senses to come back?</t>
        </is>
      </c>
      <c r="D4595" t="n">
        <v>1</v>
      </c>
      <c r="E4595" t="n">
        <v>3</v>
      </c>
      <c r="F4595">
        <f>HYPERLINK("https://www.reddit.com/r/COVID19positive/comments/idh12g/tested_positive/")</f>
        <v/>
      </c>
      <c r="G4595" t="inlineStr">
        <is>
          <t>2020-08-20 12:28:02</t>
        </is>
      </c>
      <c r="H4595" t="inlineStr">
        <is>
          <t>Tested Positive - Me</t>
        </is>
      </c>
    </row>
    <row r="4596">
      <c r="A4596" t="inlineStr">
        <is>
          <t>idh9y2</t>
        </is>
      </c>
      <c r="B4596" t="inlineStr">
        <is>
          <t>Lost sense of smell and taste 3 weeks ago, but I still haven’t fully recovered.</t>
        </is>
      </c>
      <c r="C4596" t="inlineStr">
        <is>
          <t>I lost my sense of smell and taste right at the beginning of the month. For three days I couldn’t taste or smell anything. Now I can taste major things (think spaghetti sauce or milk) but not minor thinks (basil or undertones in coffee). My sense a smell is still rather weak though. I can’t smell flowers at all, and can barely smell my candles if it’s right in front of my face. I sprayed perfume on my clothes and couldn’t smell it.
Is this normal? For others with prolonged smell symptoms, what did you do and have you recovered?</t>
        </is>
      </c>
      <c r="D4596" t="n">
        <v>1</v>
      </c>
      <c r="E4596" t="n">
        <v>5</v>
      </c>
      <c r="F4596">
        <f>HYPERLINK("https://www.reddit.com/r/COVID19positive/comments/idh9y2/lost_sense_of_smell_and_taste_3_weeks_ago_but_i/")</f>
        <v/>
      </c>
      <c r="G4596" t="inlineStr">
        <is>
          <t>2020-08-20 12:41:11</t>
        </is>
      </c>
      <c r="H4596" t="inlineStr">
        <is>
          <t>Tested Positive - Me</t>
        </is>
      </c>
    </row>
    <row r="4597">
      <c r="A4597" t="inlineStr">
        <is>
          <t>idhkgt</t>
        </is>
      </c>
      <c r="B4597" t="inlineStr">
        <is>
          <t>When can I be around people again?</t>
        </is>
      </c>
      <c r="C4597" t="inlineStr">
        <is>
          <t>So here’s some background info: 
I came in direct contact with a someone who had COVID on last Thursday, so I got tested and my results were positive. Sunday and Monday felt like seasonal allergies. Monday night I had a fever and Tuesday I felt like I was going to die. My fever spiked to 102° and I was miserable. Wednesday I woke up 100% fine. Today I feel fine, I just smell great. I’m very lucky! Hopefully, with rest, I won’t feel sick again.
I go back to college next week if I test again and it’s negative. But to get to my question (finally), when can I go out in public again without putting others or myself in danger?</t>
        </is>
      </c>
      <c r="D4597" t="n">
        <v>1</v>
      </c>
      <c r="E4597" t="n">
        <v>2</v>
      </c>
      <c r="F4597">
        <f>HYPERLINK("https://www.reddit.com/r/COVID19positive/comments/idhkgt/when_can_i_be_around_people_again/")</f>
        <v/>
      </c>
      <c r="G4597" t="inlineStr">
        <is>
          <t>2020-08-20 12:56:23</t>
        </is>
      </c>
      <c r="H4597" t="inlineStr">
        <is>
          <t>Tested Positive - Me</t>
        </is>
      </c>
    </row>
    <row r="4598">
      <c r="A4598" t="inlineStr">
        <is>
          <t>idhrf3</t>
        </is>
      </c>
      <c r="B4598" t="inlineStr">
        <is>
          <t>Resurgenceo of Symptoms</t>
        </is>
      </c>
      <c r="C4598" t="inlineStr">
        <is>
          <t>My daughter (15y) tested positive. I was "doctor presumed positive" 3 days later (initially tested negative on the same day she tested).
Until yesterday, had been feeling well, minus a cough, fatigue, and random high resting heart rate, from day 6-17. Last night, I had sudden GI issues (diarrhea and vomiting), chills, minor fever.
Called my doctor this morning. Apparently, recovery isn't always linear. Symptoms can return for several weeks, even after feeling better. 
Anyone else experience symptoms in week 3 or 4, after "feeling better"?</t>
        </is>
      </c>
      <c r="D4598" t="n">
        <v>1</v>
      </c>
      <c r="E4598" t="n">
        <v>4</v>
      </c>
      <c r="F4598">
        <f>HYPERLINK("https://www.reddit.com/r/COVID19positive/comments/idhrf3/resurgenceo_of_symptoms/")</f>
        <v/>
      </c>
      <c r="G4598" t="inlineStr">
        <is>
          <t>2020-08-20 13:06:15</t>
        </is>
      </c>
      <c r="H4598" t="inlineStr">
        <is>
          <t>Presumed Positive - From Doctor</t>
        </is>
      </c>
    </row>
    <row r="4599">
      <c r="A4599" t="inlineStr">
        <is>
          <t>idiz0n</t>
        </is>
      </c>
      <c r="B4599" t="inlineStr">
        <is>
          <t>COV-POS? Or am I just nervous?</t>
        </is>
      </c>
      <c r="C4599" t="inlineStr">
        <is>
          <t>Well, it was bound to happen I suppose. I had been exceedingly safe for about 4 months from March to June. That was really tough for my mental health, it was very taxing. The world was not a fun place, it was a scary one, and I wasn’t a fun person existing in it any longer. I was a boring person existing in a one-room solace. Sorry, no pity party, I was lucky to be in a good situation and be able to quarantine without working. Anyway, I started going out again in July, figured ah! We’ve all gotta LIVE again. And with the prospect of school beginning again in a month I figured I’d end up being exposed anyway. So I accepted the risks and was, of course, still careful to always be wearing a mask and such. With one exception. It's always *one exception* that screws us over huh. 
On Sunday, August 2nd, I went over to a friend’s house. We were intimate and we slept together overnight. He had just returned from a road-trip. He’d driven, for work and for recreation, from Boulder, Co, to Lake of the Ozarks, Missouri. I suppose I did notice him coughing a bit(?) but that could have easily just been normal behavior. On Tuesday, August 4th, I received a call from my friend. He told me he’d woken up feeling awful, with a fever and body aches. He immediately (to his credit) went in for a COVID test. This night I swear I felt a little fatigued and had some sinus pressure. This could be willfull thinking at this point, but that’s just how I felt. On Wednesday, August 5th, my friend told me he felt much better but still likely had a low fever. We all held our breath for the results. He’d seen me (first) then a few of my other friends the next day (about 7 other people). I felt fatigued, not badly, but slightly. On Thursday morning, August 6th, I turned my phone on to a dreadful text. “tested positive for COVID”. My other friend and I went in immediately for tests (horrible nasal swab). Noticed around midday a weird lack of ability to taste. Otherwise, this night I finally had my moment of stress and homesickness brought on by the prospect of the virus. I also felt slightly achy and cold this night. On Friday, August 7th, 6 days since confirmed exposure to the virus, I feel relatively fine. I certainly cannot taste very well. My tongue has this weird feeling on it, like how it feels after you’ve burned it on hot coffee. The feeling is persistent. I’ve felt this noticeably since midday-end of the day on Aug. 6th. I feel sort of fatigued. I’ve had the idea now to go back in another font over the last few days and add things that I now feel may have been prodromes but I wasn’t sure to look for at the time. On Thursday, 
\*epilogue\*
August 20th, I have been tested twice for the virus and they’ve both come back negative. It turns out, as the tests seem to profess, I have never had coronavirus. Somehow I didn’t contract it despite the exposure to someone who tested positive. Now, I’ll say it has brought some shadow of doubt to the question of his test’s accuracy. Was his a false positive? Well, seeing as everyone else’s tests whom he’d come into contact with have been negative I’d say either this COVID thing faces incontinence or we’re all miracle case studies in immunity. I had been previously tested for antibodies: negative result. One thing is for certain, we were most definitely a case study in the nocebo affect, and the mass hysteria was akin to those blind nuns back in the day.</t>
        </is>
      </c>
      <c r="D4599" t="n">
        <v>1</v>
      </c>
      <c r="E4599" t="n">
        <v>3</v>
      </c>
      <c r="F4599">
        <f>HYPERLINK("https://www.reddit.com/r/COVID19positive/comments/idiz0n/covpos_or_am_i_just_nervous/")</f>
        <v/>
      </c>
      <c r="G4599" t="inlineStr">
        <is>
          <t>2020-08-20 14:09:22</t>
        </is>
      </c>
      <c r="H4599" t="inlineStr">
        <is>
          <t>Tested Positive - Friends</t>
        </is>
      </c>
    </row>
    <row r="4600">
      <c r="A4600" t="inlineStr">
        <is>
          <t>idjnet</t>
        </is>
      </c>
      <c r="B4600" t="inlineStr">
        <is>
          <t>Can my work make me lie about having Covid?</t>
        </is>
      </c>
      <c r="C4600" t="inlineStr">
        <is>
          <t>Recently I ended up contracting Covid, in my absence my work told all the customers I was on vacation. Everyone there knew I had the virus but I wasn't aware that they were telling customers I was on vacation. When my first day back at work one of my regulars asked where I was and I explained that I ended up getting sick with covid. My manager pulled me aside and told me to not tell them that I was sick because I was going to scare people away. I do not feel comfortable lying to people, do I have to go on with this lie, or am I able to tell the truth?</t>
        </is>
      </c>
      <c r="D4600" t="n">
        <v>1</v>
      </c>
      <c r="E4600" t="n">
        <v>22</v>
      </c>
      <c r="F4600">
        <f>HYPERLINK("https://www.reddit.com/r/COVID19positive/comments/idjnet/can_my_work_make_me_lie_about_having_covid/")</f>
        <v/>
      </c>
      <c r="G4600" t="inlineStr">
        <is>
          <t>2020-08-20 14:46:48</t>
        </is>
      </c>
      <c r="H4600" t="inlineStr">
        <is>
          <t>Tested Positive - Me</t>
        </is>
      </c>
    </row>
    <row r="4601">
      <c r="A4601" t="inlineStr">
        <is>
          <t>idkx2h</t>
        </is>
      </c>
      <c r="B4601" t="inlineStr">
        <is>
          <t>Took rapid test today. I’m positive. This really sucks. Just want to vent if that’s okay here.</t>
        </is>
      </c>
      <c r="C4601" t="inlineStr">
        <is>
          <t>Hey everyone. I went and tested today and it was positive. It really sucks. I been in the bedroom and wife and son came home early from job/school. But, they’re not showing symptoms so I’m staying confined to the bedroom until they get tested. It’s crazy how rapid it advances in your body and how quickly symptoms show up. I mean within the last 2 days I’ve lost all smell and taste and feel worse after finding out I was positive. Idk if this is a mental trick or what but my only symptoms right now are loss of smell/taste, throat kind of sore/closed up a little, and nostril pain. No chugging or anything. But I can tell it’s rapidly increasing symptoms. Just want this world back to normal. I always wear a mask and have been very cautious, I thought... Anyways, I’ve been on Reddit all day because it’s helping me cope and I love Reddit, but damn, I miss my family who are just outside of the room, my wife, son and dog. But it’s for the best. If they test positive, is it still best to stay away from them? Idk how this works. Thank you for listening.</t>
        </is>
      </c>
      <c r="D4601" t="n">
        <v>1</v>
      </c>
      <c r="E4601" t="n">
        <v>30</v>
      </c>
      <c r="F4601">
        <f>HYPERLINK("https://www.reddit.com/r/COVID19positive/comments/idkx2h/took_rapid_test_today_im_positive_this_really/")</f>
        <v/>
      </c>
      <c r="G4601" t="inlineStr">
        <is>
          <t>2020-08-20 15:57:19</t>
        </is>
      </c>
      <c r="H4601" t="inlineStr">
        <is>
          <t>Tested Positive - Me</t>
        </is>
      </c>
    </row>
    <row r="4602">
      <c r="A4602" t="inlineStr">
        <is>
          <t>idlcx3</t>
        </is>
      </c>
      <c r="B4602" t="inlineStr">
        <is>
          <t>Third week blues. Major symptoms have resolved, but I am ridden with anxiety, depression, and guilt. How to cope?</t>
        </is>
      </c>
      <c r="C4602" t="inlineStr">
        <is>
          <t>I lay awake at night and *worry*.  I worry about myself, my kids, my wife, my job, cytokine storms, relapses, long term health effects, long hauls, dizziness, and fatigue.  The last two nights, I have had near-panic attacks over the above.  I can't sleep before 4AM, which means I sleep most of the next day.  Now, I haven't had a fever since last Friday.  No GI stuff.  As far as I know, I'm over the virus.  But I'm so tired.  And I teach classes that no one can help me with, and I'm getting so far behind and more depressed about it by the minute.
I feel all alone and I don't know what to do.  How are you coping?</t>
        </is>
      </c>
      <c r="D4602" t="n">
        <v>1</v>
      </c>
      <c r="E4602" t="n">
        <v>3</v>
      </c>
      <c r="F4602">
        <f>HYPERLINK("https://www.reddit.com/r/COVID19positive/comments/idlcx3/third_week_blues_major_symptoms_have_resolved_but/")</f>
        <v/>
      </c>
      <c r="G4602" t="inlineStr">
        <is>
          <t>2020-08-20 16:22:50</t>
        </is>
      </c>
      <c r="H4602" t="inlineStr">
        <is>
          <t>Tested Positive - Me</t>
        </is>
      </c>
    </row>
    <row r="4603">
      <c r="A4603" t="inlineStr">
        <is>
          <t>idlpai</t>
        </is>
      </c>
      <c r="B4603" t="inlineStr">
        <is>
          <t>Question about symptoms.</t>
        </is>
      </c>
      <c r="C4603" t="inlineStr">
        <is>
          <t>So me and my girlfriend tested positive and quarantined ourself for a about a month already and then retested and we both came out negative. We were rid of symptoms then she went to her parents to visit and began feeling some symptoms that she had when she first began such as cough and sore throat whereas I feel fine. Is it possible for symptoms to come back? I honestly think it's something else but I just want to make sure nobody has experienced this otherwise I need to take more precaution.</t>
        </is>
      </c>
      <c r="D4603" t="n">
        <v>1</v>
      </c>
      <c r="E4603" t="n">
        <v>7</v>
      </c>
      <c r="F4603">
        <f>HYPERLINK("https://www.reddit.com/r/COVID19positive/comments/idlpai/question_about_symptoms/")</f>
        <v/>
      </c>
      <c r="G4603" t="inlineStr">
        <is>
          <t>2020-08-20 16:43:33</t>
        </is>
      </c>
      <c r="H4603" t="inlineStr">
        <is>
          <t>Tested Positive - Me</t>
        </is>
      </c>
    </row>
    <row r="4604">
      <c r="A4604" t="inlineStr">
        <is>
          <t>idlxsu</t>
        </is>
      </c>
      <c r="B4604" t="inlineStr">
        <is>
          <t>Constant Inflammation After Getting Covid</t>
        </is>
      </c>
      <c r="C4604" t="inlineStr">
        <is>
          <t>I got Covid-19 about a month ago, started getting symptoms July 11th. It was a little rough but overall mild compared to other cases. I ended up going to the ER July 20th because I had tasted blood after a coughing fit and that’s what they told me to do when I called, but after that trip I was sick for about another week and saw the worst of my symptoms go away.
I’m moved into college now which is scary but I’m really confident in my school’s reopening plan, it’s like everything’s been thought out. I acknowledge that it’s still dangerous to be here though and I’m taking every precaution I can.
It’s a lot of walking to and from class because the campus is so big and it’s honestly been giving me lots of trouble—I’ll walk maybe a block away from my dorm and feel like I can’t breathe, get sharp pains in my chest. Rushing to class isn’t an option—it’s either leave early or be late. Breathing is definitely worse now than it was before moving in, I was using an albuterol inhaler when I got sick and was able to stop using it but now I’m using it every day.
I went to the health center kind of expecting a “oh that’s normal, just give it time” but the doctor ended up being way more concerned than I thought he would be (he did confirm though that it’s a common thing for patients who’d recovered). He wanted a blood test and an x-ray and a breathing test (I can’t remember the name of it... it’s just where you breathe into a tube). 
Turns out my lungs have just been really inflamed all the time since recovering, and all the walking is making it way worse. He gave me a steroid inhaler and some vitamins (vitamin D3 has apparently shown some promise in covid patients?) and wants me to come back in a month. 
So.. let this be a cautionary tale I guess. If your lungs still aren’t feeling like they’re back to normal and you’re able, definitely go get it checked out because there’s things they can do to help.</t>
        </is>
      </c>
      <c r="D4604" t="n">
        <v>1</v>
      </c>
      <c r="E4604" t="n">
        <v>5</v>
      </c>
      <c r="F4604">
        <f>HYPERLINK("https://www.reddit.com/r/COVID19positive/comments/idlxsu/constant_inflammation_after_getting_covid/")</f>
        <v/>
      </c>
      <c r="G4604" t="inlineStr">
        <is>
          <t>2020-08-20 16:57:58</t>
        </is>
      </c>
      <c r="H4604" t="inlineStr">
        <is>
          <t>Tested Positive - Me</t>
        </is>
      </c>
    </row>
    <row r="4605">
      <c r="A4605" t="inlineStr">
        <is>
          <t>idmj0s</t>
        </is>
      </c>
      <c r="B4605" t="inlineStr">
        <is>
          <t>If you are a college student and feel sick, STAY HOME. Don’t be selfish!</t>
        </is>
      </c>
      <c r="C4605" t="inlineStr">
        <is>
          <t>I recently visited a friend, and her roommate had a guy friend over. This guy friend told us today that he tested positive for covid. He had been feeling sick two weeks ago, got a covid test, yet continued to see people and didn’t tell anyone he was feeling sick earlier on. Today he sprung it on my friends roommate that he got his covid results back, and is positive... I don’t know how you can be this ignorant. He has affected every person he has seen since the moment he felt sick. I now have to use my birthday money on a covid test, spend money to uber off campus and get a test, and wake up dang early to go get a test bc every appointment is booked. Thanks for being selfish, don’t be an idiot please. Care about other people and stay the f home. It sucks that you can be responsible and distance, miss out on events and plans you had, and still have to heavily quarantine and miss things because of dumbasses like him.</t>
        </is>
      </c>
      <c r="D4605" t="n">
        <v>1</v>
      </c>
      <c r="E4605" t="n">
        <v>3</v>
      </c>
      <c r="F4605">
        <f>HYPERLINK("https://www.reddit.com/r/COVID19positive/comments/idmj0s/if_you_are_a_college_student_and_feel_sick_stay/")</f>
        <v/>
      </c>
      <c r="G4605" t="inlineStr">
        <is>
          <t>2020-08-20 17:34:59</t>
        </is>
      </c>
      <c r="H4605" t="inlineStr">
        <is>
          <t>Tested Positive - Friends</t>
        </is>
      </c>
    </row>
    <row r="4606">
      <c r="A4606" t="inlineStr">
        <is>
          <t>idmzax</t>
        </is>
      </c>
      <c r="B4606" t="inlineStr">
        <is>
          <t>Brain fog? Out of body.</t>
        </is>
      </c>
      <c r="C4606" t="inlineStr">
        <is>
          <t>Anyone else dealing with severe brain fog? 
I cant even think clearly. I have this feeling for nearly 6 days. My other symptoms are slowly disappearing but this out of body feeling is driving me nuts.</t>
        </is>
      </c>
      <c r="D4606" t="n">
        <v>1</v>
      </c>
      <c r="E4606" t="n">
        <v>15</v>
      </c>
      <c r="F4606">
        <f>HYPERLINK("https://www.reddit.com/r/COVID19positive/comments/idmzax/brain_fog_out_of_body/")</f>
        <v/>
      </c>
      <c r="G4606" t="inlineStr">
        <is>
          <t>2020-08-20 18:03:45</t>
        </is>
      </c>
      <c r="H4606" t="inlineStr">
        <is>
          <t>Tested Positive - Me</t>
        </is>
      </c>
    </row>
    <row r="4607">
      <c r="A4607" t="inlineStr">
        <is>
          <t>idn4ot</t>
        </is>
      </c>
      <c r="B4607" t="inlineStr">
        <is>
          <t>Tingly sensation in nose</t>
        </is>
      </c>
      <c r="C4607" t="inlineStr">
        <is>
          <t>I feel like this has been my main symptom until I lost taste/smell. Does it go away or could it last indefinitely?</t>
        </is>
      </c>
      <c r="D4607" t="n">
        <v>1</v>
      </c>
      <c r="E4607" t="n">
        <v>6</v>
      </c>
      <c r="F4607">
        <f>HYPERLINK("https://www.reddit.com/r/COVID19positive/comments/idn4ot/tingly_sensation_in_nose/")</f>
        <v/>
      </c>
      <c r="G4607" t="inlineStr">
        <is>
          <t>2020-08-20 18:13:21</t>
        </is>
      </c>
      <c r="H4607" t="inlineStr">
        <is>
          <t>Presumed Positive - From Doctor</t>
        </is>
      </c>
    </row>
    <row r="4608">
      <c r="A4608" t="inlineStr">
        <is>
          <t>idncqb</t>
        </is>
      </c>
      <c r="B4608" t="inlineStr">
        <is>
          <t>Hubby and son both tested positive, husband has no symptoms. My son and I do though.</t>
        </is>
      </c>
      <c r="C4608" t="inlineStr">
        <is>
          <t>Should I assume I’m positive? I haven’t gotten tested yet. They basically went and got tested because of my symptoms. They are tribal members so they get to go to a quick testing site with results within an hour. I can’t believe this. Sore throat, coughing and a headache but no fever. The doctor on the phone said to assume I’m positive. Just venting idk what I’m trying to even ask. Just worried.</t>
        </is>
      </c>
      <c r="D4608" t="n">
        <v>1</v>
      </c>
      <c r="E4608" t="n">
        <v>6</v>
      </c>
      <c r="F4608">
        <f>HYPERLINK("https://www.reddit.com/r/COVID19positive/comments/idncqb/hubby_and_son_both_tested_positive_husband_has_no/")</f>
        <v/>
      </c>
      <c r="G4608" t="inlineStr">
        <is>
          <t>2020-08-20 18:27:36</t>
        </is>
      </c>
      <c r="H4608" t="inlineStr">
        <is>
          <t>Presumed Positive - From Doctor</t>
        </is>
      </c>
    </row>
    <row r="4609">
      <c r="A4609" t="inlineStr">
        <is>
          <t>idnq2a</t>
        </is>
      </c>
      <c r="B4609" t="inlineStr">
        <is>
          <t>I am a teacher. We went back to school 8 school days ago, and I tested positive today</t>
        </is>
      </c>
      <c r="C4609" t="inlineStr">
        <is>
          <t>We have classes at 20% capacity and masks required. Our state is badly hit, with the local public schools being online the next two months.   
We went back to school 8 school days ago. I’ve been immensely careful. I always wear my mask and ensure students are wearing them properly. I clean everything. I started to feel a little off today after school (runny nose and tickle in my throat with some weird chest pain). I went to a rapid testing site and it was positive. I now also have a fever - which I didn’t even have when I had the flu in January. I live in this state alone, so if things get bad I don’t know what I will do. I feel so sorry my coworkers and students I saw today now have to quarantine for 14 days, even though logically I know this isn’t my fault. One of my coworkers I was near just had a baby.   
I’d love to hear other experiences. What were your first symptoms? And did they get worse?</t>
        </is>
      </c>
      <c r="D4609" t="n">
        <v>1</v>
      </c>
      <c r="E4609" t="n">
        <v>64</v>
      </c>
      <c r="F4609">
        <f>HYPERLINK("https://www.reddit.com/r/COVID19positive/comments/idnq2a/i_am_a_teacher_we_went_back_to_school_8_school/")</f>
        <v/>
      </c>
      <c r="G4609" t="inlineStr">
        <is>
          <t>2020-08-20 18:51:06</t>
        </is>
      </c>
      <c r="H4609" t="inlineStr">
        <is>
          <t>Tested Positive - Me</t>
        </is>
      </c>
    </row>
    <row r="4610">
      <c r="A4610" t="inlineStr">
        <is>
          <t>ido11r</t>
        </is>
      </c>
      <c r="B4610" t="inlineStr">
        <is>
          <t>My dad got Covid in late March. After 144 LONG days, he is finally being discharged from the hospital tomorrow.</t>
        </is>
      </c>
      <c r="C4610" t="inlineStr">
        <is>
          <t>Hey guys. I’m ecstatic. Almost five months after contracting Covid, my dad will be home tomorrow. He was on the ventilator for 31+ days, then spent another few weeks in ICU, lost all muscle mass and spent over 2 months in a physical therapy center.. and is STILL recovering from the weakness of being ventilated that long... but after 144 days, my dad is coming home tomorrow!! I’m so proud of him. 🥺 poor guy is so ready to be home, and we’re more than ready to welcome him back ❤️ his continued recovery will take many months, but we’re here for him throughout it.</t>
        </is>
      </c>
      <c r="D4610" t="n">
        <v>1</v>
      </c>
      <c r="E4610" t="n">
        <v>66</v>
      </c>
      <c r="F4610">
        <f>HYPERLINK("https://www.reddit.com/r/COVID19positive/comments/ido11r/my_dad_got_covid_in_late_march_after_144_long/")</f>
        <v/>
      </c>
      <c r="G4610" t="inlineStr">
        <is>
          <t>2020-08-20 19:10:23</t>
        </is>
      </c>
      <c r="H4610" t="inlineStr">
        <is>
          <t>Tested Positive - Family</t>
        </is>
      </c>
    </row>
    <row r="4611">
      <c r="A4611" t="inlineStr">
        <is>
          <t>idplgn</t>
        </is>
      </c>
      <c r="B4611" t="inlineStr">
        <is>
          <t>All are negative but one is positive in the household. Why?</t>
        </is>
      </c>
      <c r="C4611" t="inlineStr">
        <is>
          <t>We were all exposed to a relative that has covid and she got tested with positive results. We had our child tested and he is 4 years old with no symptoms and his results turned out positive. I went and got myself tested as well as my in laws but all of us turned negative. How is that possible?</t>
        </is>
      </c>
      <c r="D4611" t="n">
        <v>1</v>
      </c>
      <c r="E4611" t="n">
        <v>6</v>
      </c>
      <c r="F4611">
        <f>HYPERLINK("https://www.reddit.com/r/COVID19positive/comments/idplgn/all_are_negative_but_one_is_positive_in_the/")</f>
        <v/>
      </c>
      <c r="G4611" t="inlineStr">
        <is>
          <t>2020-08-20 20:54:58</t>
        </is>
      </c>
      <c r="H4611" t="inlineStr">
        <is>
          <t>Tested Positive - Family</t>
        </is>
      </c>
    </row>
    <row r="4612">
      <c r="A4612" t="inlineStr">
        <is>
          <t>idpmho</t>
        </is>
      </c>
      <c r="B4612" t="inlineStr">
        <is>
          <t>Has anyone gotten infected a second time?</t>
        </is>
      </c>
      <c r="C4612" t="inlineStr">
        <is>
          <t>My mom, myself, and my dad live in the same household and we became sick all in the same week. My symptoms have been surprisingly mild and my mom and I are almost back to normal but my dad's is lingering and he's developed a couple new symptoms and we're thinking he's got a touch of pneumonia now. 
But basically, I'm wondering if anyone has gotten covid twice, and if so, have you experienced more intense symptoms during your second round of covid?</t>
        </is>
      </c>
      <c r="D4612" t="n">
        <v>1</v>
      </c>
      <c r="E4612" t="n">
        <v>6</v>
      </c>
      <c r="F4612">
        <f>HYPERLINK("https://www.reddit.com/r/COVID19positive/comments/idpmho/has_anyone_gotten_infected_a_second_time/")</f>
        <v/>
      </c>
      <c r="G4612" t="inlineStr">
        <is>
          <t>2020-08-20 20:57:02</t>
        </is>
      </c>
      <c r="H4612" t="inlineStr">
        <is>
          <t>Tested Positive - Family</t>
        </is>
      </c>
    </row>
    <row r="4613">
      <c r="A4613" t="inlineStr">
        <is>
          <t>idpscs</t>
        </is>
      </c>
      <c r="B4613" t="inlineStr">
        <is>
          <t>How long did you have COVID for?</t>
        </is>
      </c>
      <c r="C4613" t="inlineStr">
        <is>
          <t>I’m 18 years old and have had mild/moderate symptoms since Monday August 10th and tested positive on Wednesday August 12th. It’s been 10 days since the onset of my symptoms and today I have zero symptoms. How long can I expect to test positive?</t>
        </is>
      </c>
      <c r="D4613" t="n">
        <v>1</v>
      </c>
      <c r="E4613" t="n">
        <v>5</v>
      </c>
      <c r="F4613">
        <f>HYPERLINK("https://www.reddit.com/r/COVID19positive/comments/idpscs/how_long_did_you_have_covid_for/")</f>
        <v/>
      </c>
      <c r="G4613" t="inlineStr">
        <is>
          <t>2020-08-20 21:08:30</t>
        </is>
      </c>
      <c r="H4613" t="inlineStr">
        <is>
          <t>Tested Positive - Me</t>
        </is>
      </c>
    </row>
    <row r="4614">
      <c r="A4614" t="inlineStr">
        <is>
          <t>idqf4y</t>
        </is>
      </c>
      <c r="B4614" t="inlineStr">
        <is>
          <t>My father tested positive</t>
        </is>
      </c>
      <c r="C4614" t="inlineStr">
        <is>
          <t>My father is in another country, and today he called us to say that he tested positive for covid-19. I am 20 and I need him in my life. I am terrified now. Please pray for him.</t>
        </is>
      </c>
      <c r="D4614" t="n">
        <v>1</v>
      </c>
      <c r="E4614" t="n">
        <v>2</v>
      </c>
      <c r="F4614">
        <f>HYPERLINK("https://www.reddit.com/r/COVID19positive/comments/idqf4y/my_father_tested_positive/")</f>
        <v/>
      </c>
      <c r="G4614" t="inlineStr">
        <is>
          <t>2020-08-20 21:54:20</t>
        </is>
      </c>
      <c r="H4614" t="inlineStr">
        <is>
          <t>Tested Positive - Family</t>
        </is>
      </c>
    </row>
    <row r="4615">
      <c r="A4615" t="inlineStr">
        <is>
          <t>idqlif</t>
        </is>
      </c>
      <c r="B4615" t="inlineStr">
        <is>
          <t>Roommate has covid19</t>
        </is>
      </c>
      <c r="C4615" t="inlineStr">
        <is>
          <t>My roommate tested positive on 8/18. He seems to be doing okay. He has been staying in his room and only comes out to use the bathroom and for food in the kitchen. When I enter the kitchen I wash my hands and spray disinfectant over anything he may have touched. Is all of that worth it? I know I can’t possibly sanitize every little thing he touches but I try. I’m just wondering if it’s a loss cause at this point since we share a house. I’m staying home with him under quarantine (I’m unemployed) while my boyfriend on the other hand is still going to work. He told his employer about the roommate and they said “just keep it to yourself” and continue to have him work. I think this is wrong but he pays most of our bills and he doesn’t take this super seriously. I feel okay so far. No sore throat, cough, fever, etc. 
Should I be tested now or should I wait a few more days? How will I know when it’s safe for me to go back out?</t>
        </is>
      </c>
      <c r="D4615" t="n">
        <v>1</v>
      </c>
      <c r="E4615" t="n">
        <v>16</v>
      </c>
      <c r="F4615">
        <f>HYPERLINK("https://www.reddit.com/r/COVID19positive/comments/idqlif/roommate_has_covid19/")</f>
        <v/>
      </c>
      <c r="G4615" t="inlineStr">
        <is>
          <t>2020-08-20 22:07:55</t>
        </is>
      </c>
      <c r="H4615" t="inlineStr">
        <is>
          <t>Tested Positive - Friends</t>
        </is>
      </c>
    </row>
    <row r="4616">
      <c r="A4616" t="inlineStr">
        <is>
          <t>idr8zb</t>
        </is>
      </c>
      <c r="B4616" t="inlineStr">
        <is>
          <t>Anyone else having mouth Mouth rash and sore throat after more than 14 days of recovery?</t>
        </is>
      </c>
      <c r="C4616" t="inlineStr">
        <is>
          <t>My father was in ICU 19 days ago, he has been discharged after making a recovery 14 days ago. His tests were negative but doctors presumed him as COVID positive since there were many cases in my area and he had almost all the symptoms.  
Now he still has mouth rash and sore throat after 14 days. Does anyone else have the same experience? Should I be worried?</t>
        </is>
      </c>
      <c r="D4616" t="n">
        <v>1</v>
      </c>
      <c r="E4616" t="n">
        <v>5</v>
      </c>
      <c r="F4616">
        <f>HYPERLINK("https://www.reddit.com/r/COVID19positive/comments/idr8zb/anyone_else_having_mouth_mouth_rash_and_sore/")</f>
        <v/>
      </c>
      <c r="G4616" t="inlineStr">
        <is>
          <t>2020-08-20 22:59:44</t>
        </is>
      </c>
      <c r="H4616" t="inlineStr">
        <is>
          <t>Presumed Positive - From Doctor</t>
        </is>
      </c>
    </row>
    <row r="4617">
      <c r="A4617" t="inlineStr">
        <is>
          <t>idrf3c</t>
        </is>
      </c>
      <c r="B4617" t="inlineStr">
        <is>
          <t>Day 6, It comes in waves.</t>
        </is>
      </c>
      <c r="C4617" t="inlineStr">
        <is>
          <t>Day 6 of being sick, day 3 of no smell. I’ve noticed the fatigue and body aches come in waves. Today I woke up feeling fine, but now I’m incredibly exhausted and started having body aches and chills again. The congestion also comes &amp;amp; goes. The only constant and consistent symptom right now is loss of smell and it’s awful. I didn’t realize how lucky I was to be able to smell things, I’ll never take it for granted again.</t>
        </is>
      </c>
      <c r="D4617" t="n">
        <v>1</v>
      </c>
      <c r="E4617" t="n">
        <v>8</v>
      </c>
      <c r="F4617">
        <f>HYPERLINK("https://www.reddit.com/r/COVID19positive/comments/idrf3c/day_6_it_comes_in_waves/")</f>
        <v/>
      </c>
      <c r="G4617" t="inlineStr">
        <is>
          <t>2020-08-20 23:12:52</t>
        </is>
      </c>
      <c r="H4617" t="inlineStr">
        <is>
          <t>Tested Positive</t>
        </is>
      </c>
    </row>
    <row r="4618">
      <c r="A4618" t="inlineStr">
        <is>
          <t>idwi2o</t>
        </is>
      </c>
      <c r="B4618" t="inlineStr">
        <is>
          <t>Dad is in ICU since Saturday</t>
        </is>
      </c>
      <c r="C4618" t="inlineStr">
        <is>
          <t>He was on non invasive vent. Yesterday they intubated him. I am very worried. Never thought life could change so fast.
I live 1.500 km away from him and came home Sunday to support him along my mom and sister. He is 62 years old and does not have other underlying conditions. Heard from the doctor that blood pressure and kidneys are normal.
He probably caught the virus from my sister, who is a healthcare worker and lives with him. She already recovered
Hope</t>
        </is>
      </c>
      <c r="D4618" t="n">
        <v>1</v>
      </c>
      <c r="E4618" t="n">
        <v>8</v>
      </c>
      <c r="F4618">
        <f>HYPERLINK("https://www.reddit.com/r/COVID19positive/comments/idwi2o/dad_is_in_icu_since_saturday/")</f>
        <v/>
      </c>
      <c r="G4618" t="inlineStr">
        <is>
          <t>2020-08-21 06:15:10</t>
        </is>
      </c>
      <c r="H4618" t="inlineStr">
        <is>
          <t>Tested Positive - Family</t>
        </is>
      </c>
    </row>
    <row r="4619">
      <c r="A4619" t="inlineStr">
        <is>
          <t>idwsmo</t>
        </is>
      </c>
      <c r="B4619" t="inlineStr">
        <is>
          <t>Negative test but being treated as "presumed positive" by my provider, and other than family no one seems to be taking this seriously</t>
        </is>
      </c>
      <c r="C4619" t="inlineStr">
        <is>
          <t>Is anyone else in this situation?  I'm extremely grateful that whatever I have, COVID or not, doesn't seem to be serious or life-threatening, but it is so FRUSTRATING to be in this spot.  I feel like this is the worst news I could have gotten, because I essentially have all of the negative parts of COVID but without anyone's compassion or understanding or a positive test result to back me up.  So, I don't get any peace of mind in knowing that I DON'T have COVID but I'm getting questioned left and right as if I saw this pandemic as an opportunity to get a last minute vacation.  According to my doctor, there is an up to 30% false negative rate, so when my test came back negative but my symptoms were still increasing, she ordered me another test and told me she would be treating me as "presumed positive."
I've had a fever for 9 days now, body aches, chills, headache, chest tightness, and shortness of breath.  I thought maybe it was just a weird virus and the chest tightness/shortness of breath was anxiety, but my doctor seems pretty convinced that's not the case.  I'm a 24F on-and-off smoker with childhood asthma that is flaring up due to this and I'm sure my other poor choices.
It's not like I want pity, but my employer and boss are treating me like I am just trying to get out of work or something.  I thought I would be understood because a fever is something objective, I can't make that up.  All I want is for my life to go back to normal, but I feel like shit physically and I would never be able to live with myself if someone more vulnerable got this.
Anyway, although I am very grateful to be in as good of shape as I am I just needed to vent.  Has anyone else found themselves in this situation?</t>
        </is>
      </c>
      <c r="D4619" t="n">
        <v>1</v>
      </c>
      <c r="E4619" t="n">
        <v>7</v>
      </c>
      <c r="F4619">
        <f>HYPERLINK("https://www.reddit.com/r/COVID19positive/comments/idwsmo/negative_test_but_being_treated_as_presumed/")</f>
        <v/>
      </c>
      <c r="G4619" t="inlineStr">
        <is>
          <t>2020-08-21 06:33:10</t>
        </is>
      </c>
      <c r="H4619" t="inlineStr">
        <is>
          <t>Presumed Positive - From Doctor</t>
        </is>
      </c>
    </row>
    <row r="4620">
      <c r="A4620" t="inlineStr">
        <is>
          <t>idy3xo</t>
        </is>
      </c>
      <c r="B4620" t="inlineStr">
        <is>
          <t>Could Covid have reactivated 5 months later?</t>
        </is>
      </c>
      <c r="C4620" t="inlineStr">
        <is>
          <t>Tested positive For covid in March and was completely symptom free by April. A week ago the lymph node under my chin started to swell up and was painful. It hasn’t gone away even with antibiotics from the doctor. Today I now woke up with a 99.8 degree fever. Doctor thinks it might be an infection in my nose or throat but I have no other symptoms. I can’t help but think it might be the covid virus still in my body? No cough or chest tightness though, which I had before. Is it worth it to get tested again?</t>
        </is>
      </c>
      <c r="D4620" t="n">
        <v>1</v>
      </c>
      <c r="E4620" t="n">
        <v>12</v>
      </c>
      <c r="F4620">
        <f>HYPERLINK("https://www.reddit.com/r/COVID19positive/comments/idy3xo/could_covid_have_reactivated_5_months_later/")</f>
        <v/>
      </c>
      <c r="G4620" t="inlineStr">
        <is>
          <t>2020-08-21 07:49:07</t>
        </is>
      </c>
      <c r="H4620" t="inlineStr">
        <is>
          <t>Tested Positive - Me</t>
        </is>
      </c>
    </row>
    <row r="4621">
      <c r="A4621" t="inlineStr">
        <is>
          <t>ie02sa</t>
        </is>
      </c>
      <c r="B4621" t="inlineStr">
        <is>
          <t>My girlfriend just tested positive for corona virus</t>
        </is>
      </c>
      <c r="C4621" t="inlineStr">
        <is>
          <t>My girlfriend and i have been distancing ourselves for months because of corona virus, but last night we got together and spent the whole night together. We shared water bottles, we had sex, made out all night. This morning her results came in and she came back positive for corona virus. She has shown no symptoms so we thought it was safe to be together. I am starting to read up on viral load and how that can lead to worse symptoms. It's safe to assume that i have covid now because we spent all night together, but im i in more danger to have worse symptoms because of the viral load that I received last night? Im really freaking out. Also i don't have a primary doctor or health insurance. I don't know what to do.</t>
        </is>
      </c>
      <c r="D4621" t="n">
        <v>1</v>
      </c>
      <c r="E4621" t="n">
        <v>13</v>
      </c>
      <c r="F4621">
        <f>HYPERLINK("https://www.reddit.com/r/COVID19positive/comments/ie02sa/my_girlfriend_just_tested_positive_for_corona/")</f>
        <v/>
      </c>
      <c r="G4621" t="inlineStr">
        <is>
          <t>2020-08-21 09:33:22</t>
        </is>
      </c>
      <c r="H4621" t="inlineStr">
        <is>
          <t>Tested Positive - Family</t>
        </is>
      </c>
    </row>
    <row r="4622">
      <c r="A4622" t="inlineStr">
        <is>
          <t>ie03pa</t>
        </is>
      </c>
      <c r="B4622" t="inlineStr">
        <is>
          <t>He's gone</t>
        </is>
      </c>
      <c r="C4622" t="inlineStr">
        <is>
          <t>My dad's gone. He died today at 11:00 AM 
I'm still proud of you, daddy. I love you ❣️</t>
        </is>
      </c>
      <c r="D4622" t="n">
        <v>1</v>
      </c>
      <c r="E4622" t="n">
        <v>236</v>
      </c>
      <c r="F4622">
        <f>HYPERLINK("https://www.reddit.com/r/COVID19positive/comments/ie03pa/hes_gone/")</f>
        <v/>
      </c>
      <c r="G4622" t="inlineStr">
        <is>
          <t>2020-08-21 09:34:40</t>
        </is>
      </c>
      <c r="H4622" t="inlineStr">
        <is>
          <t>Tested Positive - Family</t>
        </is>
      </c>
    </row>
    <row r="4623">
      <c r="A4623" t="inlineStr">
        <is>
          <t>ie0am1</t>
        </is>
      </c>
      <c r="B4623" t="inlineStr">
        <is>
          <t>Ever since I had suspected covid symptoms I haven’t been able to breathe well and I don’t know where it’s coming from</t>
        </is>
      </c>
      <c r="C4623" t="inlineStr">
        <is>
          <t>I’ve gone to the doctor twice and they’re not taking me seriously so I don’t have any referrals to a specialist. What I experience is basically this feeling like I’m not getting enough oxygen no matter what. Often times it is accompanied by chest tightness, but not all the time. My chest could feel light but I still feel like I’m suffocating. I went to the doctor 3 days ago feeling like I was running out of air so badly only to be told my oxygen readings are fine. So yeah, I dunno what to do and I’m growing pretty desperate and I fear this will never end. I feel like I’m halfway between life and death all the time now.</t>
        </is>
      </c>
      <c r="D4623" t="n">
        <v>1</v>
      </c>
      <c r="E4623" t="n">
        <v>20</v>
      </c>
      <c r="F4623">
        <f>HYPERLINK("https://www.reddit.com/r/COVID19positive/comments/ie0am1/ever_since_i_had_suspected_covid_symptoms_i/")</f>
        <v/>
      </c>
      <c r="G4623" t="inlineStr">
        <is>
          <t>2020-08-21 09:44:38</t>
        </is>
      </c>
      <c r="H4623" t="inlineStr">
        <is>
          <t>Presumed Positive - From Test</t>
        </is>
      </c>
    </row>
    <row r="4624">
      <c r="A4624" t="inlineStr">
        <is>
          <t>ie0hdv</t>
        </is>
      </c>
      <c r="B4624" t="inlineStr">
        <is>
          <t>coronavirus in december?</t>
        </is>
      </c>
      <c r="C4624" t="inlineStr">
        <is>
          <t>hey! 
after a few weeks of breathing problems and prolonged cough (NEVER had any problems before) i was admitted to hospital in late december 2019. i was diagnosed with pneumonia, emphysema and pneumomediastinum but doctors could not figure out a reason or any certain illness so i was let go hesitatingly but slowly got better at home. additionally, my parents aswell as a housemate got sick at the same time, so they could have gotten it from me then too. i was doing alright (still some breathing issues) until it all came back in march and i was put on loads of inhalers with “probable asthma”, now on a bunch of meds and waiting for results back to find out whether it’s asthma or copd or whatever the hell, but my new doctor mentioned that i most likely had covid in december as all the symptoms match as well as the overall downwards health spiral that followed. 
does anyone else know of any cases that they ACTUALLY know of that early/think it was covid? just looking to get some opinions :) thanks!</t>
        </is>
      </c>
      <c r="D4624" t="n">
        <v>1</v>
      </c>
      <c r="E4624" t="n">
        <v>10</v>
      </c>
      <c r="F4624">
        <f>HYPERLINK("https://www.reddit.com/r/COVID19positive/comments/ie0hdv/coronavirus_in_december/")</f>
        <v/>
      </c>
      <c r="G4624" t="inlineStr">
        <is>
          <t>2020-08-21 09:54:09</t>
        </is>
      </c>
      <c r="H4624" t="inlineStr">
        <is>
          <t>Presumed Positive - From Doctor</t>
        </is>
      </c>
    </row>
    <row r="4625">
      <c r="A4625" t="inlineStr">
        <is>
          <t>ie1jfr</t>
        </is>
      </c>
      <c r="B4625" t="inlineStr">
        <is>
          <t>Did everything I could, but I ended up catching it</t>
        </is>
      </c>
      <c r="C4625" t="inlineStr">
        <is>
          <t>I (26m) ended up catching Covid from a co worker and my job. We all have to wear masks, but a lot of people will take theirs on and off, and as of today 8 of us have tested positive. I wasn't super worried at first, because a lot of the people my age who I know have gotten it have gotten through with mild cold-like symptoms. Unfortunately, I've gotten quite a bit sicker than them, and this is far worse than any virus I've ever had.
My symptoms change every day, but the worst has been the persistent fever and aches. My main concern is getting pneumonia from this, as some of my family and friends have. Im 5 days in to symptoms, and luckily I have no real shortness of breath, and the pulse ox has put my blood oxygen level above 95% so far. I'm just really hoping I turn a corner soon and start feeling better.
Anyways, if any of you out there have this, good luck, and buy a pulse oximeter. If you don't, don't be a afraid to tell the people around you to put on their damn masks. Im wishing I forced the issue at this point, but it is what it is.</t>
        </is>
      </c>
      <c r="D4625" t="n">
        <v>1</v>
      </c>
      <c r="E4625" t="n">
        <v>24</v>
      </c>
      <c r="F4625">
        <f>HYPERLINK("https://www.reddit.com/r/COVID19positive/comments/ie1jfr/did_everything_i_could_but_i_ended_up_catching_it/")</f>
        <v/>
      </c>
      <c r="G4625" t="inlineStr">
        <is>
          <t>2020-08-21 10:47:52</t>
        </is>
      </c>
      <c r="H4625" t="inlineStr">
        <is>
          <t>Tested Positive - Me</t>
        </is>
      </c>
    </row>
    <row r="4626">
      <c r="A4626" t="inlineStr">
        <is>
          <t>ie1kfa</t>
        </is>
      </c>
      <c r="B4626" t="inlineStr">
        <is>
          <t>I just got tested yesterday and I feel worse every single day</t>
        </is>
      </c>
      <c r="C4626" t="inlineStr">
        <is>
          <t>So I originally went to Urgent Care for an abscess on my leg that I needed to get antibiotics for. Well 3 days into my antibiotic cycle I started feeling so crappy. It started with neck and back pain, then I had the chills with my body aching, then I was fatigued, then I noticed my lymph nodes behind my ears are swollen which just puts so much pressure on my neck and head, I’m weak, had been sleeping all day. So I decided to go back after 3 days of dealing with this to the same urgent care thinking it was a reaction to the antibiotics well I went back and saw the same doctor and he said my symptoms sounded like Covid so I got tested and now I wait.I may have gotten it from the first time I came but I do everything I’m supposed to do, I wear my mask, wash my hands like crazy and I may have gotten Covid. I have all the same issues going on but a fever just got added on today. 
Did anybody else experience this?</t>
        </is>
      </c>
      <c r="D4626" t="n">
        <v>1</v>
      </c>
      <c r="E4626" t="n">
        <v>14</v>
      </c>
      <c r="F4626">
        <f>HYPERLINK("https://www.reddit.com/r/COVID19positive/comments/ie1kfa/i_just_got_tested_yesterday_and_i_feel_worse/")</f>
        <v/>
      </c>
      <c r="G4626" t="inlineStr">
        <is>
          <t>2020-08-21 10:49:18</t>
        </is>
      </c>
      <c r="H4626" t="inlineStr">
        <is>
          <t>Presumed Positive - From Doctor</t>
        </is>
      </c>
    </row>
    <row r="4627">
      <c r="A4627" t="inlineStr">
        <is>
          <t>ie3mu2</t>
        </is>
      </c>
      <c r="B4627" t="inlineStr">
        <is>
          <t>Covid 19 brings out the hypochondriac in me.</t>
        </is>
      </c>
      <c r="C4627" t="inlineStr">
        <is>
          <t>I have 8 of the top 10 symptoms, so I'm thinking for sure, I have the "Rona". But after getting a negative result on both tests, I guess I'm just a hypochondriac. Or... maybe the test results are "false negatives?</t>
        </is>
      </c>
      <c r="D4627" t="n">
        <v>1</v>
      </c>
      <c r="E4627" t="n">
        <v>5</v>
      </c>
      <c r="F4627">
        <f>HYPERLINK("https://www.reddit.com/r/COVID19positive/comments/ie3mu2/covid_19_brings_out_the_hypochondriac_in_me/")</f>
        <v/>
      </c>
      <c r="G4627" t="inlineStr">
        <is>
          <t>2020-08-21 12:36:36</t>
        </is>
      </c>
      <c r="H4627" t="inlineStr">
        <is>
          <t>Presumed Positive - From Test</t>
        </is>
      </c>
    </row>
    <row r="4628">
      <c r="A4628" t="inlineStr">
        <is>
          <t>ie3uu0</t>
        </is>
      </c>
      <c r="B4628" t="inlineStr">
        <is>
          <t>URI or Covid</t>
        </is>
      </c>
      <c r="C4628" t="inlineStr">
        <is>
          <t>I've been sick for about a week. I got a hold of my doctor and he had told me I either had an URI or Covid. I am currently waiting on test results. My symptoms are headaches, congestions, sniffles, nausea, hot flashes, fatigue, my eyes are dry/burning, and I have a cough. No fever. I am 24 years old an am a smoker.
I've just been having horrible anxiety. I dealt with Agoraphobia for 2 years, started recovering, and then Covid came. My anxiety has been acting up lately and this is the cherry on top :( I really hope I don't have covid</t>
        </is>
      </c>
      <c r="D4628" t="n">
        <v>1</v>
      </c>
      <c r="E4628" t="n">
        <v>3</v>
      </c>
      <c r="F4628">
        <f>HYPERLINK("https://www.reddit.com/r/COVID19positive/comments/ie3uu0/uri_or_covid/")</f>
        <v/>
      </c>
      <c r="G4628" t="inlineStr">
        <is>
          <t>2020-08-21 12:48:19</t>
        </is>
      </c>
      <c r="H4628" t="inlineStr">
        <is>
          <t>Presumed Positive - From Doctor</t>
        </is>
      </c>
    </row>
    <row r="4629">
      <c r="A4629" t="inlineStr">
        <is>
          <t>ie4fla</t>
        </is>
      </c>
      <c r="B4629" t="inlineStr">
        <is>
          <t>My experience with the Rona</t>
        </is>
      </c>
      <c r="C4629" t="inlineStr">
        <is>
          <t>On August 7, 2020 I woke up and could not taste or smell anything, otherwise I felt fine other than I was a little tired and my back hurt a little from exercising the prior couple days.  I called my work and told them my symptoms and went to a rapid testing site at Walgreens by my house to make sure I was negative.  Unfortunately, the test came back positive and it came back quick.  After a slight pity party on Friday 8/7 for a few hours I decided to my game on.  I immediately started taking my temperature and did so 2 times a day.  It never went above 98.3 so that was a plus.   I increased my water intake to over gallon of water every day.  I also drank ice green tea during the day and hot green tea at night, several glasses of each.  I took five 2000 IU D3, one 50 mg of Zinc and one 1000 mg of Vitamin C and my multi vitamin (NOWs ADAM Vitamin for men) every day with food in the morning.  Additionally, I took 4 airborne pills throughout the day to keep the vitamins up in my system.  We called an acupuncture and herbal medicine doctor my wife goes to and she asked that I take a picture of my tongue (weird I know).  She hooked me up with 2 powders one she called "Tonify Spleen" for the immune system and the other she labeled "Expel Pathogen".  Those I mixed in warm water morning and night, I had enough for about 10 days.  What she put in the mixes was made for me based and what my tongue looked like (yes more weirdness).  So I would suggest you find someone like her to keep in your toolbox as you never know when you might need a little more than just vitamins and good food.  Let me stop and say the western medical establishment really did not know what to do when you're symptoms are not that bad.  I called my doctors office and asked if I should come in and they told me just go to the hospital if you have more severe symptoms (that you can easily look up on line).  The county called me and said to wait 2 weeks after the first symptom and if you feel ok just go back to your routine, do not re test.  The doctors office said to go re test.  Its a new virus and everyone is doing what they can so don't let the inconsistency bring you down.  As new info comes out I am sure they will have a more solid protocol, but take your heath into your own hands.  I was active in the mornings keeping an exercise routine with stretching, cardio and light weights that I did right at home in my yard for about 45 min a day 5 days a week. After my normal chores and working out I was done around 1 or 2 PM and then basically took it easy the rest of the day not to tax myself (even though I felt I could do more).  I did not over eat and kept my diet clean, I made home made chicken soup every night for myself and ate no fatty food or sugary drinks. I also got around 8 hours of sleep every night.  I started getting my taste and smell back after the first week and its back to normal now on 8/21.  I would also suggest that you don't go on line and read all the horror stories of what the virus can do. Thats what I did in the first hours after the positive test and it did me no good and thats what started the 4 hour pity party that I had. I went and re tested on 8/21 and the test came back negative.  On the upside of going through this I most likely will not get this again for a while and your plasma is gold for others less fortunate that need a little more to get over this virus.  I already made an appointment to do that as its good to give back and a little karma is good for your well being.  Keep fighting the good fight and keep your head up, your body is an amazing machine that wants to be well and in homeostasis.  Eat good, take vitamins, drink a lot of fluids and get good sleep and this will pass and you will be a better person on the other side of this.</t>
        </is>
      </c>
      <c r="D4629" t="n">
        <v>1</v>
      </c>
      <c r="E4629" t="n">
        <v>7</v>
      </c>
      <c r="F4629">
        <f>HYPERLINK("https://www.reddit.com/r/COVID19positive/comments/ie4fla/my_experience_with_the_rona/")</f>
        <v/>
      </c>
      <c r="G4629" t="inlineStr">
        <is>
          <t>2020-08-21 13:18:11</t>
        </is>
      </c>
      <c r="H4629" t="inlineStr">
        <is>
          <t>Tested Positive</t>
        </is>
      </c>
    </row>
    <row r="4630">
      <c r="A4630" t="inlineStr">
        <is>
          <t>ie4k4r</t>
        </is>
      </c>
      <c r="B4630" t="inlineStr">
        <is>
          <t>Covid-19 Story , 26- Male, no high risk conditions</t>
        </is>
      </c>
      <c r="C4630" t="inlineStr">
        <is>
          <t>Hello, 
Thought I’d share my Covid-19 positive story with everyone . I went to Los Angeles Thursday (8/13) to visit some friends , on my flight back on Sunday (8/16)  my friend texted me and told me he tested positive for Covid . Sunday night I had a slight fever (100.4) , cough and terrible body aches .
Monday- (8/17) : Went to get tested for Covid , still had a fever , body aches , and an itchy throat and terrible headache . Definitely feels like the beginning of a terrible sinus infection as I could barely keep my eyes open my head hurt so bad .
Tuesday - (8/18) : Got my results back ,  came out positive . Kept taking Tylenol and also started doing steam treatments to help with the sinus pressure . 
Wednesday - (08/19) : Fever is gone , slight cough and sore throat along with terrible back pain . At night I started placing heating pads on my back to help relieve some of the pain 
Thursday - (08/20) : No fever or cough but still terrible back and leg pain , and pain in my fingers weirdly enough . 
Today - No back pain , no fever , no cough , still feeling a little extra tired but overall feeling back to normal.
Tips : Steam treatment for sinus pressure , edibles for muscle pain , heating pads , Tylenol , and lots of water and Vitamins . 
Hope this helps someone .</t>
        </is>
      </c>
      <c r="D4630" t="n">
        <v>1</v>
      </c>
      <c r="E4630" t="n">
        <v>6</v>
      </c>
      <c r="F4630">
        <f>HYPERLINK("https://www.reddit.com/r/COVID19positive/comments/ie4k4r/covid19_story_26_male_no_high_risk_conditions/")</f>
        <v/>
      </c>
      <c r="G4630" t="inlineStr">
        <is>
          <t>2020-08-21 13:24:53</t>
        </is>
      </c>
      <c r="H4630" t="inlineStr">
        <is>
          <t>Tested Positive - Me</t>
        </is>
      </c>
    </row>
    <row r="4631">
      <c r="A4631" t="inlineStr">
        <is>
          <t>ie68ha</t>
        </is>
      </c>
      <c r="B4631" t="inlineStr">
        <is>
          <t>Exercising my dog while Covid positive</t>
        </is>
      </c>
      <c r="C4631" t="inlineStr">
        <is>
          <t>I just found out today I’m positive for Covid-19. I have a 7 month husky puppy and we normally would go on several walks a day plus visiting the dog park at my apartment complex which is literally right across from my front door. I don’t really know how to go about getting him exercise. I’m trying to keep him occupied for most of the night as the dog park gets pretty busy after work hours and if he sees other dogs there he goes nuts and wants to go out. I obviously know we can’t be around other dogs or people, but is it okay for us to still go on walks as long as nobody else is near us? He has a broken leg and a bright yellow cast so it draws a lot of attention to us and people normally want to come up to him, I don’t want to straight up say “I have Covid please don’t come near me” because I can imagine the reactions would be very alarming, but idk how to get people to keep their distance.</t>
        </is>
      </c>
      <c r="D4631" t="n">
        <v>1</v>
      </c>
      <c r="E4631" t="n">
        <v>24</v>
      </c>
      <c r="F4631">
        <f>HYPERLINK("https://www.reddit.com/r/COVID19positive/comments/ie68ha/exercising_my_dog_while_covid_positive/")</f>
        <v/>
      </c>
      <c r="G4631" t="inlineStr">
        <is>
          <t>2020-08-21 14:56:11</t>
        </is>
      </c>
      <c r="H4631" t="inlineStr">
        <is>
          <t>Tested Positive</t>
        </is>
      </c>
    </row>
    <row r="4632">
      <c r="A4632" t="inlineStr">
        <is>
          <t>ie70c5</t>
        </is>
      </c>
      <c r="B4632" t="inlineStr">
        <is>
          <t>An update</t>
        </is>
      </c>
      <c r="C4632" t="inlineStr">
        <is>
          <t>My aunt who tested positive at the beginning of last month she is on 90% ECMO 10% ventilator. They are trying to wake her up and her body is resisting. After she tested negative twice she has been moved from COVID ICU to regular ICU. The pulmonologist has hinted that if she does wake up and can essentially walk around he would consider her for a lung transplant. I’m just not feeling hopeful anymore though and I’m scared for her and her children</t>
        </is>
      </c>
      <c r="D4632" t="n">
        <v>1</v>
      </c>
      <c r="E4632" t="n">
        <v>6</v>
      </c>
      <c r="F4632">
        <f>HYPERLINK("https://www.reddit.com/r/COVID19positive/comments/ie70c5/an_update/")</f>
        <v/>
      </c>
      <c r="G4632" t="inlineStr">
        <is>
          <t>2020-08-21 15:40:25</t>
        </is>
      </c>
      <c r="H4632" t="inlineStr">
        <is>
          <t>Tested Positive - Family</t>
        </is>
      </c>
    </row>
    <row r="4633">
      <c r="A4633" t="inlineStr">
        <is>
          <t>ie7ugg</t>
        </is>
      </c>
      <c r="B4633" t="inlineStr">
        <is>
          <t>Shortness of breath day 5</t>
        </is>
      </c>
      <c r="C4633" t="inlineStr">
        <is>
          <t>Hi! Two weeks ago my grandpa had a stroke, got hospitalized and when they sent him home, he tested positive. We had to bring him to my house (he used to live alone, but he's very dependent now), and my parents and I have been having covid symptoms for a week. We talked to a doctor who thinks we're positive and yeah basically we're pretty sure as well. 
My grandpa has been mostly asymptomatic, my dad has had fever, my mom coughing and nasal congestion, and I had a sore throat that went away but a bit of nasal congestion has remained. I've also had shortness of breath since Monday. 
I sleep well but during moments of the day and especially at night I have to breath very slowly and softly, because my chest starts to hurt and feel tight if I breath too deeply. If I agitate myself doing chores I also have to catch my breath a little bit. 
Other than that I feel okay. I don't know if I should check with a doctor, or get an X ray of my lungs. I have no other symptoms and I can do my life mostly normal but it gets annoying when the breathing problems happen. Also we have an oximeter so I know I'm not having oxygenation issues.
Should I be concerned about this? What have been your experiences with this symptom? 
Thanks in advance and hope you're all ok x</t>
        </is>
      </c>
      <c r="D4633" t="n">
        <v>1</v>
      </c>
      <c r="E4633" t="n">
        <v>8</v>
      </c>
      <c r="F4633">
        <f>HYPERLINK("https://www.reddit.com/r/COVID19positive/comments/ie7ugg/shortness_of_breath_day_5/")</f>
        <v/>
      </c>
      <c r="G4633" t="inlineStr">
        <is>
          <t>2020-08-21 16:31:35</t>
        </is>
      </c>
      <c r="H4633" t="inlineStr">
        <is>
          <t>Presumed Positive - From Doctor</t>
        </is>
      </c>
    </row>
    <row r="4634">
      <c r="A4634" t="inlineStr">
        <is>
          <t>ie8fre</t>
        </is>
      </c>
      <c r="B4634" t="inlineStr">
        <is>
          <t>Disgusting Smell and Taste After COVID Recovery</t>
        </is>
      </c>
      <c r="C4634" t="inlineStr">
        <is>
          <t>So I tested positive for COVID in July and the outlook was really mild. No fever, just a minor headache, and a complete loss of smell. It stayed that way for 2-3 weeks and then eventually I got my sense of smell back and everything was normal until the last week.
And now this feels like the weirdest feeling in the world. Everything in the bathroom started tasting this weird smell initially. And then it kept expanding to every perfume smelling the same weird sound. And then I lost my sense of taste for a wide majority of things. The worst are chicken and spices which are impossible to eat because of the disgusting odor and taste. 
I talked to 2 different doctors but due to the nature of COVID and being in a 3rd world country, they have absolutely no clue what this is or what to do about it. Thankfully for me, some sweet things still taste alright so it's survivable. Any idea what this might be or how long does it take to heal. Initially, I was freaking out if it was just me but I read some articles and they talked about a distortion like that.
I really hope it's not just me, haha, Anyway just kinda wanted to share.</t>
        </is>
      </c>
      <c r="D4634" t="n">
        <v>1</v>
      </c>
      <c r="E4634" t="n">
        <v>13</v>
      </c>
      <c r="F4634">
        <f>HYPERLINK("https://www.reddit.com/r/COVID19positive/comments/ie8fre/disgusting_smell_and_taste_after_covid_recovery/")</f>
        <v/>
      </c>
      <c r="G4634" t="inlineStr">
        <is>
          <t>2020-08-21 17:07:37</t>
        </is>
      </c>
      <c r="H4634" t="inlineStr">
        <is>
          <t>Tested Positive - Me</t>
        </is>
      </c>
    </row>
    <row r="4635">
      <c r="A4635" t="inlineStr">
        <is>
          <t>ie8rxz</t>
        </is>
      </c>
      <c r="B4635" t="inlineStr">
        <is>
          <t>Day two of feeling a whole lot better. Still really anxious that this could go south.</t>
        </is>
      </c>
      <c r="C4635" t="inlineStr">
        <is>
          <t>Soooo....I went and got tested yesterday because I had loss of taste and smell. I've had symptoms since last Friday though, so this is technically day 7. It was rough for the first 4 days, followed by a day of feeling better, followed by another bad day. Today I feel pretty much normal minus this lingering sternum pressure. Almost feels like it needs to pop or something. I've been keeping up on my vitamins. 
I feel like maybe I got really lucky and this was an extremely mild case, but I have this lingering anxiety that it could go south. I read and hear way to often about people feeling better and then in a week they relapse and end up hospitalized. 
I get my test results in about 3-5 days, so I'm biting at my nails until I see them. My husband keeps telling me not to get in my head, and to stop thinking the worst, and I feel like for the most part I've done really good. But I just can't help that lingering anxiety...</t>
        </is>
      </c>
      <c r="D4635" t="n">
        <v>1</v>
      </c>
      <c r="E4635" t="n">
        <v>4</v>
      </c>
      <c r="F4635">
        <f>HYPERLINK("https://www.reddit.com/r/COVID19positive/comments/ie8rxz/day_two_of_feeling_a_whole_lot_better_still/")</f>
        <v/>
      </c>
      <c r="G4635" t="inlineStr">
        <is>
          <t>2020-08-21 17:29:09</t>
        </is>
      </c>
      <c r="H4635" t="inlineStr">
        <is>
          <t>Presumed Positive - From Doctor</t>
        </is>
      </c>
    </row>
    <row r="4636">
      <c r="A4636" t="inlineStr">
        <is>
          <t>ie91m4</t>
        </is>
      </c>
      <c r="B4636" t="inlineStr">
        <is>
          <t>Meats taste and smell similar</t>
        </is>
      </c>
      <c r="C4636" t="inlineStr">
        <is>
          <t>Hello! It’s been about a month and a half since I’ve had COVID-19. I had the weird loss of smell and taste symptoms which lasted a couple of weeks. I now have my smell and taste all the way back but I’ve been experiencing that all meats taste and smell the same to me since regaining my scent. Has anybody else experienced this?</t>
        </is>
      </c>
      <c r="D4636" t="n">
        <v>1</v>
      </c>
      <c r="E4636" t="n">
        <v>2</v>
      </c>
      <c r="F4636">
        <f>HYPERLINK("https://www.reddit.com/r/COVID19positive/comments/ie91m4/meats_taste_and_smell_similar/")</f>
        <v/>
      </c>
      <c r="G4636" t="inlineStr">
        <is>
          <t>2020-08-21 17:47:05</t>
        </is>
      </c>
      <c r="H4636" t="inlineStr">
        <is>
          <t>Tested Positive - Me</t>
        </is>
      </c>
    </row>
    <row r="4637">
      <c r="A4637" t="inlineStr">
        <is>
          <t>ie93qo</t>
        </is>
      </c>
      <c r="B4637" t="inlineStr">
        <is>
          <t>Scared...it’s been 6 days, had to get 2nd test...</t>
        </is>
      </c>
      <c r="C4637" t="inlineStr">
        <is>
          <t>I’m saying presumed positive based on my symptoms. Should’ve had results back today but urgent care said my sample “spilled” so I had to get it done again today. I should have the results Monday or Tuesday. I’m very worried bc my symptoms aren’t really getting better. The only thing that’s “better” is there isn’t as much pressure in my back as Sunday and Monday. I haven’t had any fever at all. 
I feel extremely fatigued, pressure in chest, noticed burning/mild sob when walking, body aches. 
I have been reading other people’s descriptions of their timelines and they are all so different. I just feel like at day 6 I should notice some improvement. Idk. I’m just really upset and feeling like shit, plus tomorrow’s my birthday. :/
Then I am having this fear that it’s going to turn up negative, and then what? 
This is causing me so much anxiety and there’s really nothing I can do. My doc said the only thing to worry about is trouble breathing which (knock on wood) has not been an issue. Only when exerting myself for a walk that’s further than the kitchen and going up/down stairs. 
Am I crazy? Anyone have any words of encouragement? Advice?</t>
        </is>
      </c>
      <c r="D4637" t="n">
        <v>1</v>
      </c>
      <c r="E4637" t="n">
        <v>7</v>
      </c>
      <c r="F4637">
        <f>HYPERLINK("https://www.reddit.com/r/COVID19positive/comments/ie93qo/scaredits_been_6_days_had_to_get_2nd_test/")</f>
        <v/>
      </c>
      <c r="G4637" t="inlineStr">
        <is>
          <t>2020-08-21 17:51:15</t>
        </is>
      </c>
      <c r="H4637" t="inlineStr">
        <is>
          <t>Presumed Positive - From Test</t>
        </is>
      </c>
    </row>
    <row r="4638">
      <c r="A4638" t="inlineStr">
        <is>
          <t>ieasiv</t>
        </is>
      </c>
      <c r="B4638" t="inlineStr">
        <is>
          <t>Keep Ya head up</t>
        </is>
      </c>
      <c r="C4638" t="inlineStr">
        <is>
          <t>For real. This sub reddit helped me thru a very dark time and although my case was much, much milder the thought process was so overwhelming. Won't go into detail because I just came to say that covid showed me how connected we truly are as ppl. We all came here scared, some left with healed and went back to normal life. I was so blessed and so was my 3 year old son. And this sub helped me so much because y'all were my only human contact that understood how it felt to only be able to talk to your child under the door, or feel the anxiety from wondering when that bad wave will hit. We blessed y'all. No matter your belief we are BLESSED as human beings to survive this 
BUT
That's not why I'm here. 
I'm here for those that didn't get as lucky as us. The person who just lost their father. Your entire journey was so heartbreaking but you stayed so strong. And others who have lost loved ones. I feel for you and my heart goes out to you. I come from a home that we did all we could to make it. But we were so far from rich. So far man. And my grandpa had to be on hospice in my bedroom. I had to watch him slowly die for 3 months. My sole father figure....gone when I already fell alone. I was only 11. I only say that because I know how it feels to see someone you love slowly slip away. But they will always be in your heart and always be apart of your energy. Stay strong. Those years won't stop falling for a long time, this shit ain't easy and will never be. And although it seems small, it's ppl here that will talk you through it. Keep ya head up. Those that were devastated.....stay strong. Push through and ppl here are here for ya😊💪💪💪💪</t>
        </is>
      </c>
      <c r="D4638" t="n">
        <v>1</v>
      </c>
      <c r="E4638" t="n">
        <v>6</v>
      </c>
      <c r="F4638">
        <f>HYPERLINK("https://www.reddit.com/r/COVID19positive/comments/ieasiv/keep_ya_head_up/")</f>
        <v/>
      </c>
      <c r="G4638" t="inlineStr">
        <is>
          <t>2020-08-21 19:46:42</t>
        </is>
      </c>
      <c r="H4638" t="inlineStr">
        <is>
          <t>Tested Positive - Me</t>
        </is>
      </c>
    </row>
    <row r="4639">
      <c r="A4639" t="inlineStr">
        <is>
          <t>ieauwo</t>
        </is>
      </c>
      <c r="B4639" t="inlineStr">
        <is>
          <t>Igg: Wife positive - husband negative</t>
        </is>
      </c>
      <c r="C4639" t="inlineStr">
        <is>
          <t>Why does the reference value for igg and igm has changed this month from being negative with results less than 1.0 AU/ml to less than 12.0  ? My igg result today was positive (no symptons at all) 16.0 and my husband's was considered negative, 5.6. Both my and his igm result were negative... so, is 5,6 a positive or a negative result for igg?</t>
        </is>
      </c>
      <c r="D4639" t="n">
        <v>1</v>
      </c>
      <c r="E4639" t="n">
        <v>4</v>
      </c>
      <c r="F4639">
        <f>HYPERLINK("https://www.reddit.com/r/COVID19positive/comments/ieauwo/igg_wife_positive_husband_negative/")</f>
        <v/>
      </c>
      <c r="G4639" t="inlineStr">
        <is>
          <t>2020-08-21 19:51:36</t>
        </is>
      </c>
      <c r="H4639" t="inlineStr">
        <is>
          <t>Tested Positive - Me</t>
        </is>
      </c>
    </row>
    <row r="4640">
      <c r="A4640" t="inlineStr">
        <is>
          <t>iec9bg</t>
        </is>
      </c>
      <c r="B4640" t="inlineStr">
        <is>
          <t>Altered sense of smell after other symptoms passed.</t>
        </is>
      </c>
      <c r="C4640" t="inlineStr">
        <is>
          <t>I tested positive for Covid-19 on July 6, 2020. Luckily my girlfriend and two year old son were negative. But I've lost my sense of smell and taste around the 13th or 14th. All of my other symptoms that I had (body aches, headaches, and slight cough) have gone away by the time of this post (July 21, 2020). Now I get the smell of smokey things like cigarettes or burning forest. Anybody else experience an altered sense of smell? What kind of smells do y'all smell?</t>
        </is>
      </c>
      <c r="D4640" t="n">
        <v>1</v>
      </c>
      <c r="E4640" t="n">
        <v>7</v>
      </c>
      <c r="F4640">
        <f>HYPERLINK("https://www.reddit.com/r/COVID19positive/comments/iec9bg/altered_sense_of_smell_after_other_symptoms_passed/")</f>
        <v/>
      </c>
      <c r="G4640" t="inlineStr">
        <is>
          <t>2020-08-21 21:34:17</t>
        </is>
      </c>
      <c r="H4640" t="inlineStr">
        <is>
          <t>Tested Positive - Me</t>
        </is>
      </c>
    </row>
    <row r="4641">
      <c r="A4641" t="inlineStr">
        <is>
          <t>iecedf</t>
        </is>
      </c>
      <c r="B4641" t="inlineStr">
        <is>
          <t>I fell asleep while eating dinner</t>
        </is>
      </c>
      <c r="C4641" t="inlineStr">
        <is>
          <t>So i am technically past my covid phase and I have post covid syndrome. Which comes along with extreme fatigue. I fell asleep while eating dinner, a first for me, around 6:45 and just woke up and now it’s 9:45. I hate this. I hate being fatigued. It can last for 6 months and I really don’t want it to. Also I only ate half my hamburger as like i said I fell asleep while eating dinner. This sucks.</t>
        </is>
      </c>
      <c r="D4641" t="n">
        <v>1</v>
      </c>
      <c r="E4641" t="n">
        <v>13</v>
      </c>
      <c r="F4641">
        <f>HYPERLINK("https://www.reddit.com/r/COVID19positive/comments/iecedf/i_fell_asleep_while_eating_dinner/")</f>
        <v/>
      </c>
      <c r="G4641" t="inlineStr">
        <is>
          <t>2020-08-21 21:45:13</t>
        </is>
      </c>
      <c r="H4641" t="inlineStr">
        <is>
          <t>Tested Positive - Me</t>
        </is>
      </c>
    </row>
    <row r="4642">
      <c r="A4642" t="inlineStr">
        <is>
          <t>iecpnc</t>
        </is>
      </c>
      <c r="B4642" t="inlineStr">
        <is>
          <t>Any encouraging stories?</t>
        </is>
      </c>
      <c r="C4642" t="inlineStr">
        <is>
          <t>Hi guys, I most likely have covid-19 and I'm absolutely frightened because an acquaintance of mine who's only five years older than me passed away in June from complications of the disease. I'm 21, fairly healthy although I used to socially smoke and drink at parties. I'm allover just very afraid that something terrible will happen to me because of this and I was wondering if anybody around my age has any tips for dealing with this sickness or any encouraging stories of recovery.</t>
        </is>
      </c>
      <c r="D4642" t="n">
        <v>1</v>
      </c>
      <c r="E4642" t="n">
        <v>16</v>
      </c>
      <c r="F4642">
        <f>HYPERLINK("https://www.reddit.com/r/COVID19positive/comments/iecpnc/any_encouraging_stories/")</f>
        <v/>
      </c>
      <c r="G4642" t="inlineStr">
        <is>
          <t>2020-08-21 22:09:52</t>
        </is>
      </c>
      <c r="H4642" t="inlineStr">
        <is>
          <t>Presumed Positive - From Test</t>
        </is>
      </c>
    </row>
    <row r="4643">
      <c r="A4643" t="inlineStr">
        <is>
          <t>iee7ak</t>
        </is>
      </c>
      <c r="B4643" t="inlineStr">
        <is>
          <t>Quarantining in my 6-year-old daughter's room</t>
        </is>
      </c>
      <c r="C4643" t="inlineStr">
        <is>
          <t>Found out I was positive today after going to the ER with some awful symptoms yesterday morning. I'm a father of four, and my wife is doing an amazing job keeping everything going. No school for my 1st grade and 5th grade daughters for a while, and my 4-year-old twins get to stay at home and avoid Pre-K for two weeks. 
So, my room for the next 9 or 10 days consists of unicorn blankets, way more dolls that I knew my 6-year-old has, and a nocturnal hamster who works her wheel more than I would have thought rodently possible. Good times.
The medicine has me feeling better, but I am bored to tears and hoping against all hope the rest of the family can stay well. Any ideas on coping with all this nonsense?</t>
        </is>
      </c>
      <c r="D4643" t="n">
        <v>1</v>
      </c>
      <c r="E4643" t="n">
        <v>22</v>
      </c>
      <c r="F4643">
        <f>HYPERLINK("https://www.reddit.com/r/COVID19positive/comments/iee7ak/quarantining_in_my_6yearold_daughters_room/")</f>
        <v/>
      </c>
      <c r="G4643" t="inlineStr">
        <is>
          <t>2020-08-22 00:22:08</t>
        </is>
      </c>
      <c r="H4643" t="inlineStr">
        <is>
          <t>Tested Positive - Me</t>
        </is>
      </c>
    </row>
    <row r="4644">
      <c r="A4644" t="inlineStr">
        <is>
          <t>iefsse</t>
        </is>
      </c>
      <c r="B4644" t="inlineStr">
        <is>
          <t>Advice/ suggestions please!</t>
        </is>
      </c>
      <c r="C4644" t="inlineStr">
        <is>
          <t xml:space="preserve">
I’m currently in the hospital because I tested positive for the virus. A week ago I was tested again, and the results were negative, but they kept me here for precautionary measures. I took the test again last night and my test result was positive again. The doctor said it’s because the virus is still lingering in my body and they are not sure if it is still active (but it’s most likely not). I got sick in May and was in bed for an entire month. Although I felt really terrible for an entire month, I was advised to stay home and not get tested because they didn’t want me to leave the house. I know for a fact the virus is dead because I have no signs of any symptoms, and I travelled for two days with someone and he tested negative twice. 
I was told I have to stay in the hospital for another 4 days before I get released, and I’m feeling pretty bummed out because I was expecting to leave today. Any advice on how I can make the last few days pass by faster? I really have no motivation to do things, because I’ve had a very emotionally distressing week, but at this point any type of suggestions and advice would be greatly appreciated!</t>
        </is>
      </c>
      <c r="D4644" t="n">
        <v>1</v>
      </c>
      <c r="E4644" t="n">
        <v>2</v>
      </c>
      <c r="F4644">
        <f>HYPERLINK("https://www.reddit.com/r/COVID19positive/comments/iefsse/advice_suggestions_please/")</f>
        <v/>
      </c>
      <c r="G4644" t="inlineStr">
        <is>
          <t>2020-08-22 02:53:39</t>
        </is>
      </c>
      <c r="H4644" t="inlineStr">
        <is>
          <t>Tested Positive - Me</t>
        </is>
      </c>
    </row>
    <row r="4645">
      <c r="A4645" t="inlineStr">
        <is>
          <t>iehunv</t>
        </is>
      </c>
      <c r="B4645" t="inlineStr">
        <is>
          <t>My sister was tested for COVID and while we wait for results my family insists on going out</t>
        </is>
      </c>
      <c r="C4645" t="inlineStr">
        <is>
          <t>My sister(12m/1 F) was taken to the hospital with a high fever and some other symptoms and was given a COVID test because they said it was most likely she has it. My family still insists on working and going out which is extremely bad considering both my parents are nurses . I just feel so guilty because I know I can’t stop them</t>
        </is>
      </c>
      <c r="D4645" t="n">
        <v>1</v>
      </c>
      <c r="E4645" t="n">
        <v>63</v>
      </c>
      <c r="F4645">
        <f>HYPERLINK("https://www.reddit.com/r/COVID19positive/comments/iehunv/my_sister_was_tested_for_covid_and_while_we_wait/")</f>
        <v/>
      </c>
      <c r="G4645" t="inlineStr">
        <is>
          <t>2020-08-22 05:49:32</t>
        </is>
      </c>
      <c r="H4645" t="inlineStr">
        <is>
          <t>Presumed Positive - From Doctor</t>
        </is>
      </c>
    </row>
    <row r="4646">
      <c r="A4646" t="inlineStr">
        <is>
          <t>iein3c</t>
        </is>
      </c>
      <c r="B4646" t="inlineStr">
        <is>
          <t>When to get antibody tested?</t>
        </is>
      </c>
      <c r="C4646" t="inlineStr">
        <is>
          <t>How many days after testing positive should I try and get antibody tested</t>
        </is>
      </c>
      <c r="D4646" t="n">
        <v>1</v>
      </c>
      <c r="E4646" t="n">
        <v>5</v>
      </c>
      <c r="F4646">
        <f>HYPERLINK("https://www.reddit.com/r/COVID19positive/comments/iein3c/when_to_get_antibody_tested/")</f>
        <v/>
      </c>
      <c r="G4646" t="inlineStr">
        <is>
          <t>2020-08-22 06:41:20</t>
        </is>
      </c>
      <c r="H4646" t="inlineStr">
        <is>
          <t>Tested Positive - Me</t>
        </is>
      </c>
    </row>
    <row r="4647">
      <c r="A4647" t="inlineStr">
        <is>
          <t>iejkhz</t>
        </is>
      </c>
      <c r="B4647" t="inlineStr">
        <is>
          <t>Any chance to have a false positive covid test?</t>
        </is>
      </c>
      <c r="C4647" t="inlineStr">
        <is>
          <t>It makes me wonder if I needed to get tested again.. 5th day from tested positive no symptoms at all.</t>
        </is>
      </c>
      <c r="D4647" t="n">
        <v>1</v>
      </c>
      <c r="E4647" t="n">
        <v>18</v>
      </c>
      <c r="F4647">
        <f>HYPERLINK("https://www.reddit.com/r/COVID19positive/comments/iejkhz/any_chance_to_have_a_false_positive_covid_test/")</f>
        <v/>
      </c>
      <c r="G4647" t="inlineStr">
        <is>
          <t>2020-08-22 07:38:58</t>
        </is>
      </c>
      <c r="H4647" t="inlineStr">
        <is>
          <t>Tested Positive - Family</t>
        </is>
      </c>
    </row>
    <row r="4648">
      <c r="A4648" t="inlineStr">
        <is>
          <t>iemp9y</t>
        </is>
      </c>
      <c r="B4648" t="inlineStr">
        <is>
          <t>Month 5</t>
        </is>
      </c>
      <c r="C4648" t="inlineStr">
        <is>
          <t>So August is wrapping and I felt like posting another update. 
Since last month it has still been the eternal rollercoaster. Just as I sit down today though, things have been looking well. I was active for a few hours for three days and no bad relapse. I managed to convince my insurance that longterm covid exists as well, so that's another problem solved.
Overall the picture is becoming a bit clearer: I have undergone a large amount of very detailed medical examinations. In my case no damage can be found anywhere, so I'm fairly confident that whenever this CFS state passes I'll recover fully.
With all the info I have I'm starting to think that all the symtoms I experienced from the start were completely neurological. People are starting to bring up dysautonomia a lot and it sounds really close to what I experience. At the same time, I see how steroids make people lose their symtoms almost immediately, which certainly indicates that it's the active immune system that's causing it.
Either way, with almost 5 months not having left the house, or having met a person aside from the occasional medical person, I'm still hanging in there. It's funny to watch society awaken to the reality of Covid19, after it worked so hard for months to deny me my miserable state, but that was to be expected.
Interestingly though, I have been asking this dozens of doctors, noone has seen another case like mine. Not. One. And that includes the insurance, where I would expect everyone to come through. That fact really has me puzzled and makes me question all the numbers we have heard recently.
In conclusion, returning into society is still out of the question. Symptoms still flare up in regular intervals, but overall many symptoms have disapeared already and I expect the last ones to follow soon. I hope that next month I can return to my neurologist with all the examinations finished and we can start talking, for the first time in half a year, about some sort of treatment...</t>
        </is>
      </c>
      <c r="D4648" t="n">
        <v>1</v>
      </c>
      <c r="E4648" t="n">
        <v>7</v>
      </c>
      <c r="F4648">
        <f>HYPERLINK("https://www.reddit.com/r/COVID19positive/comments/iemp9y/month_5/")</f>
        <v/>
      </c>
      <c r="G4648" t="inlineStr">
        <is>
          <t>2020-08-22 10:35:55</t>
        </is>
      </c>
      <c r="H4648" t="inlineStr">
        <is>
          <t>Tested Positive</t>
        </is>
      </c>
    </row>
    <row r="4649">
      <c r="A4649" t="inlineStr">
        <is>
          <t>ienazx</t>
        </is>
      </c>
      <c r="B4649" t="inlineStr">
        <is>
          <t>My Timeline with COVID</t>
        </is>
      </c>
      <c r="C4649" t="inlineStr">
        <is>
          <t>Sharing here in an effort to distract me from obsessive thoughts and to help subside my anxiety as I feel at this current time fortunate that my experience with COVID has been the below and not anything that you read or hear about on the news. 
My Timeline:
Monday 8/17  - Didn't feel anything out of the ordinary until about 4 p.m. First weird feeling was I got extremely nauseous. Never turned anything up, but as the night progressed I developed a horrible headache that seemed like it was just pressure in my sinus cavity.  Go to bed at 9 pm with nausea and a horrible headache that I wrote off from the change in weather and my allergies.
Tuesday 8/18 - Woke up with a fever (99.9) and body pain everywhere. The most uncomfortable body pain truthfully I've had the flu once and it was worse than that. I wanted to pop every joint in my body if I could. My hips, ankles, shoulders, and fingers the most. Took Tylenol every 5 hours until I went to sleep. Scheduled a test for the a.m. Pins and Needles symptom developed...only felt this on my back. It hurt to wear a shirt to sleep as it felt all the nerves in my back were so close to the surface of my skin that just having a t-shirt on was painful ( the weirdest symptom I experienced and was not aware that this was something other people were experiencing until Reddit.)
Wednesday 8/19 - Woke up feeling great - canceled test (I know, idiotic move) because no fever, body still hurt but no headache (also business-wise this was the worst week for me to get sick) and Wednesday was my busiest day of the week. The first day I could not taste or smell - which I did not notice until the end of mid-day when I finally had a second to eat. Rescheduled my test for Thursday morning. But overall was operating at about 85% First sign of my cough.
Thursday 8/20 - Went and got tested first thing in the A.M. Woke up with a fever again, also pins and needles on my neck/back.  Headache subsided mid-day, this day it hurt to lift my arms up... more pain in the rotator cuff area than anything. Overall operated at about 70%. Not a good day, but also nothing compared to Tuesday. 
Friday 8/21 - Woke up feeling way better than any of the past days. Hardly any fever, small cough, no sore throat, body feeling better but still achy in some spots. A lot of pressure behind my eyes, but no headache. The wife says she notices an uptick in my morale and also assumes I am feeling better as I was less, 'complainy'.
Saturday 8/22 \*day I get my results\* - Wake up feeling the best I have felt all week. No fever or headache, body aches are only in my neck and I assume it's because I slept with a crappy pillow in the guest room. Still can't taste coffee or food. Feel shortness of breath currently, but I think that is me trying not to panic at my positive result. 
Test Results come in this a.m. and I am positive. A small panic attack ensues because I did not think I had COVID. The reason being is my job is remote and has always been so COVID and the pandemic didn't really change any routines of mine other than me wearing a mask when I do go out and more hand sanitizer. Plus we never leave the house, so definitely blindsided me while my wife says she knew I had it the whole time.  - 
Wife get's tested in the a.m. - she has no symptoms and feels fine has been isolating with me at home since Tuesday when I woke up feeling horrible. She works with and for her dad who is a T1 Diabetic so we were trying to be extremely mindful of him and his high-risk category.</t>
        </is>
      </c>
      <c r="D4649" t="n">
        <v>1</v>
      </c>
      <c r="E4649" t="n">
        <v>22</v>
      </c>
      <c r="F4649">
        <f>HYPERLINK("https://www.reddit.com/r/COVID19positive/comments/ienazx/my_timeline_with_covid/")</f>
        <v/>
      </c>
      <c r="G4649" t="inlineStr">
        <is>
          <t>2020-08-22 11:08:12</t>
        </is>
      </c>
      <c r="H4649" t="inlineStr">
        <is>
          <t>Tested Positive - Me</t>
        </is>
      </c>
    </row>
    <row r="4650">
      <c r="A4650" t="inlineStr">
        <is>
          <t>ieni2n</t>
        </is>
      </c>
      <c r="B4650" t="inlineStr">
        <is>
          <t>Any one else experiencing neck pain/headaches?</t>
        </is>
      </c>
      <c r="C4650" t="inlineStr">
        <is>
          <t>My symptoms have been very mild, except for the headache. Day 1, I woke up with a sore throat and body aches and chills. Continued for a few days. Then I wake up with a migraine and a stiff neck. I’ve always suffered from headaches, Im on medication for it. This was different though, I maxed out my daily dosage of aspirin, ibuprofen, and acetaminophen every day, and I haven’t had any changes. I’m on day 5 rn, and it’s worse than ever. All other symptoms are gone though.</t>
        </is>
      </c>
      <c r="D4650" t="n">
        <v>1</v>
      </c>
      <c r="E4650" t="n">
        <v>15</v>
      </c>
      <c r="F4650">
        <f>HYPERLINK("https://www.reddit.com/r/COVID19positive/comments/ieni2n/any_one_else_experiencing_neck_painheadaches/")</f>
        <v/>
      </c>
      <c r="G4650" t="inlineStr">
        <is>
          <t>2020-08-22 11:18:59</t>
        </is>
      </c>
      <c r="H4650" t="inlineStr">
        <is>
          <t>Presumed Positive - From Doctor</t>
        </is>
      </c>
    </row>
    <row r="4651">
      <c r="A4651" t="inlineStr">
        <is>
          <t>ieovqg</t>
        </is>
      </c>
      <c r="B4651" t="inlineStr">
        <is>
          <t>How’s all the covid positives doing? Hanging in there? Thankful for a place to vent safely.</t>
        </is>
      </c>
      <c r="C4651" t="inlineStr">
        <is>
          <t>Curious if anyone’s felt shame in sharing their covid positive status. Another note, is some congestion normal? Man I am BORED. And tired. Tired of coughing.</t>
        </is>
      </c>
      <c r="D4651" t="n">
        <v>1</v>
      </c>
      <c r="E4651" t="n">
        <v>3</v>
      </c>
      <c r="F4651">
        <f>HYPERLINK("https://www.reddit.com/r/COVID19positive/comments/ieovqg/hows_all_the_covid_positives_doing_hanging_in/")</f>
        <v/>
      </c>
      <c r="G4651" t="inlineStr">
        <is>
          <t>2020-08-22 12:35:50</t>
        </is>
      </c>
      <c r="H4651" t="inlineStr">
        <is>
          <t>Tested Positive</t>
        </is>
      </c>
    </row>
    <row r="4652">
      <c r="A4652" t="inlineStr">
        <is>
          <t>ieoy0o</t>
        </is>
      </c>
      <c r="B4652" t="inlineStr">
        <is>
          <t>At what point did you realize you were turning the corner to get better?</t>
        </is>
      </c>
      <c r="C4652" t="inlineStr">
        <is>
          <t>Got tested last Friday and came back positive on Monday. Holy shit does this thing suck. Ive gone back to the VA because I was having issues breathing yesterday and they assured me that im having a very mild case. Im drinking fluids and im eating as often as I can but im always hungry. I know im still in the first week of it, but when did it get better for you? Also, chest tightness and shallow breathes are a daily occurance and my pulseox is @98%</t>
        </is>
      </c>
      <c r="D4652" t="n">
        <v>1</v>
      </c>
      <c r="E4652" t="n">
        <v>6</v>
      </c>
      <c r="F4652">
        <f>HYPERLINK("https://www.reddit.com/r/COVID19positive/comments/ieoy0o/at_what_point_did_you_realize_you_were_turning/")</f>
        <v/>
      </c>
      <c r="G4652" t="inlineStr">
        <is>
          <t>2020-08-22 12:39:22</t>
        </is>
      </c>
      <c r="H4652" t="inlineStr">
        <is>
          <t>Tested Positive - Me</t>
        </is>
      </c>
    </row>
    <row r="4653">
      <c r="A4653" t="inlineStr">
        <is>
          <t>iep3em</t>
        </is>
      </c>
      <c r="B4653" t="inlineStr">
        <is>
          <t>How do I let others in the community at my school know that the university is lying about how safe the campus is, as well as students being safe on campus?</t>
        </is>
      </c>
      <c r="C4653" t="inlineStr">
        <is>
          <t>A couple of weeks ago, all of the students at my university began moving back into their dorms, as my university decided that it would be best to start a week earlier than originally scheduled. I did not want to live on campus, but because of the fact that I'm a sophomore and from out of state, the university requires me to live on campus. I didn't think it would be too big of a deal because the room that I'm staying in has individual bedrooms, with two bathrooms (one for each pair of roommates), a common space, and a kitchen. I thought that students would be smart about the virus, and would do their best to avoid getting the virus themselves, but apparently I was too optimistic.
Last Friday (8/14), two of my roommates, we'll call them A and B, decided to throw a party in our dorm room without letting me or my roommate C know. There were about 10-15 people in our room, all without masks on, and were even joking about the virus. C and I were completely unaware of this until I opened her bedroom door to see what was going on outside. I didn't want to go into that crowd of people, but I had to because I left some valuable items out in the common space. I spent less than 10 minutes out there to grab my things, disinfect them, and to go back into hiding. In retrospect, I should've called the RA, but I have never been in that situation before, so I was panicking. The group spent a couple hours out there before they left, and then roommate C and I disinfected the air as much as possible before hiding again. I could go on to tell you guys about the guy who threw up in mine and C's bathtub, but that would be straying from the topic of the discussion.
Anyways, so on Saturday, I talked to my A and B about what happened, and they didn't seem to give a single shit, so C and I made plans to move out of that room and into a new one, where people will hopefully abide by the rules of social distancing. We were planning on moving to our new room on Thursday that week so that we would be able to settle into our classes and get into the swing of things beforehand. Sunday, I saw a friend at her new apartment for a few hours, and while I was there I got a bit of a sore throat but assumed it was from me talking for so long. Fast forward to Thursday. I'm sitting in the middle of my recitation when I get a text from the friend I saw on Sunday saying that she tested positive for COVID-19. Considering I was the only person she had seen beside her roommates in her apartment, I knew she must've gotten it from me. I got tested that day, and then I found out this morning that I was positive. Luckily my symptoms haven't been that bad, but I still feel bad about getting my friend infected and essentially forcing C to isolate with me before knowing I was a positive case.
Here's where my dilemma comes in. When C and I called to get tested through the university, they were only willing to take me in for testing, as I was the only one experiencing symptoms. C couldn't get tested because she wasn't experiencing symptoms, but what if she was asymptomatic? I understand that this may be a resource issue, but that's technically another potential COVID case right there that the university isn't taking into consideration. The university is also trying to keep all COVID patients or possible COVID patients in one building. They would be kept in the standard style dorms you would normally see in a university in the USA, but to divide each patient, they would use a curtain between the beds. They also only have a community bathroom, and considering how you need to take off your mask to brush your teeth, think about how much of the vapor in the bathroom contains COVID-19. Some students that potentially aren't sick would most likely fall ill in this environment, and students that are experiencing mild symptoms could get worse ones. Luckily C and I dodged that bullet, but there's still the issue of the president of the university spreading blatant misinformation about how the school is handling the pandemic.
The president said in an email that he is pleased to see that all students are wearing masks on campus, that all large gatherings have been off campus, classrooms have disinfecting supplies in them for between classes, and that there are very few cases of the virus at the university. All of those statements are complete bullshit. I've seen numerous students without masks on. There was one night where I was on a walk around campus and saw a group of about 50 students close together in a field and no masks in sight. There have been plenty of large gatherings both on and off campus. I, unfortunately, can attest to that. Everyone that I've spoken to has said that there are no cleaning supplies in the lecture halls. In fact, we've seen professors bringing their own because the school hasn't provided any. The president might be right about a low number of reported cases, but there are plenty of unconfirmed cases at the school, and no one can fool me about it. So the question is: How do I alert students, parents, and staff at the school that nothing the higher-ups are saying is true? I know all too well that they are just saying these words to appease angry parents, but I'd rather parents get mad, and I want the school shut down for putting the students and staff at risk during this pandemic.
If you read this entire rant, thank you so much for listening to my concerns! I've been trying to wrap my head around all of this, but it's all happening so fast that I'm struggling to do so.</t>
        </is>
      </c>
      <c r="D4653" t="n">
        <v>1</v>
      </c>
      <c r="E4653" t="n">
        <v>85</v>
      </c>
      <c r="F4653">
        <f>HYPERLINK("https://www.reddit.com/r/COVID19positive/comments/iep3em/how_do_i_let_others_in_the_community_at_my_school/")</f>
        <v/>
      </c>
      <c r="G4653" t="inlineStr">
        <is>
          <t>2020-08-22 12:47:33</t>
        </is>
      </c>
      <c r="H4653" t="inlineStr">
        <is>
          <t>Tested Positive - Me</t>
        </is>
      </c>
    </row>
    <row r="4654">
      <c r="A4654" t="inlineStr">
        <is>
          <t>iepgkh</t>
        </is>
      </c>
      <c r="B4654" t="inlineStr">
        <is>
          <t>My family went positive, had contact with them but still didn't get infected</t>
        </is>
      </c>
      <c r="C4654" t="inlineStr">
        <is>
          <t>I'd like to share how, 4 members of my family (We are 6 including me and my older sister) were infected and already cured, but we made contact 3 days before getting a diagnosis, me and my little sister slept together for 2 days when we found out or uncle was positive. The thing is, during those 3 days I ate one of my sister's breakfast's meals using the same fork and glass of milk, but I wasn't positive. Also, taking in mind my family was infected and we were having contact for 6 days before getting diagnosed with PCR. It seems odd to me how I didn't get infected and didn't develop IgG (today we had an Ig test, my mom, uncle, sister and grandma came positive for IgG, it means they were cured).</t>
        </is>
      </c>
      <c r="D4654" t="n">
        <v>1</v>
      </c>
      <c r="E4654" t="n">
        <v>3</v>
      </c>
      <c r="F4654">
        <f>HYPERLINK("https://www.reddit.com/r/COVID19positive/comments/iepgkh/my_family_went_positive_had_contact_with_them_but/")</f>
        <v/>
      </c>
      <c r="G4654" t="inlineStr">
        <is>
          <t>2020-08-22 13:07:37</t>
        </is>
      </c>
      <c r="H4654" t="inlineStr">
        <is>
          <t>Tested Positive - Family</t>
        </is>
      </c>
    </row>
    <row r="4655">
      <c r="A4655" t="inlineStr">
        <is>
          <t>ieqplg</t>
        </is>
      </c>
      <c r="B4655" t="inlineStr">
        <is>
          <t>I’m in college right now</t>
        </is>
      </c>
      <c r="C4655" t="inlineStr">
        <is>
          <t>I have finals this week (we are year round) and my professor is saying if I don’t take the lab final I flunk the class. I tested positive last week. I don’t know what to do in this situation because I’m supposed to be quarantining.</t>
        </is>
      </c>
      <c r="D4655" t="n">
        <v>1</v>
      </c>
      <c r="E4655" t="n">
        <v>4</v>
      </c>
      <c r="F4655">
        <f>HYPERLINK("https://www.reddit.com/r/COVID19positive/comments/ieqplg/im_in_college_right_now/")</f>
        <v/>
      </c>
      <c r="G4655" t="inlineStr">
        <is>
          <t>2020-08-22 14:21:23</t>
        </is>
      </c>
      <c r="H4655" t="inlineStr">
        <is>
          <t>Tested Positive - Me</t>
        </is>
      </c>
    </row>
    <row r="4656">
      <c r="A4656" t="inlineStr">
        <is>
          <t>ietky2</t>
        </is>
      </c>
      <c r="B4656" t="inlineStr">
        <is>
          <t>Quarantine with Others</t>
        </is>
      </c>
      <c r="C4656" t="inlineStr">
        <is>
          <t>Idk if this belongs here but let’s try. Recently got diagnosed with COVID. I felt mild symptoms prior to being tested but nothing severe. Right now I feel great to do anything. My roommates right now are quarantining and there is a possibility that our other group (all roommates) might have it. Can we quarantine together and hangout. Or is that against the rules and regulations? Going nuts right now need more social interaction.</t>
        </is>
      </c>
      <c r="D4656" t="n">
        <v>1</v>
      </c>
      <c r="E4656" t="n">
        <v>3</v>
      </c>
      <c r="F4656">
        <f>HYPERLINK("https://www.reddit.com/r/COVID19positive/comments/ietky2/quarantine_with_others/")</f>
        <v/>
      </c>
      <c r="G4656" t="inlineStr">
        <is>
          <t>2020-08-22 17:16:40</t>
        </is>
      </c>
      <c r="H4656" t="inlineStr">
        <is>
          <t>Tested Positive - Friends</t>
        </is>
      </c>
    </row>
    <row r="4657">
      <c r="A4657" t="inlineStr">
        <is>
          <t>ieu1n8</t>
        </is>
      </c>
      <c r="B4657" t="inlineStr">
        <is>
          <t>Things to do after COVID recovery</t>
        </is>
      </c>
      <c r="C4657" t="inlineStr">
        <is>
          <t>What are some things I should check for after recovering from COVID? Like what doctors should I go see to check for possible long term effects? 
I know I should get blood works done, but what else?</t>
        </is>
      </c>
      <c r="D4657" t="n">
        <v>1</v>
      </c>
      <c r="E4657" t="n">
        <v>3</v>
      </c>
      <c r="F4657">
        <f>HYPERLINK("https://www.reddit.com/r/COVID19positive/comments/ieu1n8/things_to_do_after_covid_recovery/")</f>
        <v/>
      </c>
      <c r="G4657" t="inlineStr">
        <is>
          <t>2020-08-22 17:47:45</t>
        </is>
      </c>
      <c r="H4657" t="inlineStr">
        <is>
          <t>Tested Positive - Me</t>
        </is>
      </c>
    </row>
    <row r="4658">
      <c r="A4658" t="inlineStr">
        <is>
          <t>ievazd</t>
        </is>
      </c>
      <c r="B4658" t="inlineStr">
        <is>
          <t>A month later and I still have symptoms, I'm scared.</t>
        </is>
      </c>
      <c r="C4658" t="inlineStr">
        <is>
          <t>I tested positive a little over a month ago. I am technically over the virus now, and I'm still having "mild" symptoms. I know this can take a while to recover from, but I have constant chest/throat pain, headaches, body fatigue and shortness of breath. Before this I was healthy, I was training for a half marathon. I'm scared that I won't get back to normal. I'm in touch with my doctor every few days, but there really isn't much they can do for me, because I am not unwell enough to be in hospital. I'm grateful for that, but I don't know what to do.   
I don't know anyone else who's in this situation, and I'd love some advice!</t>
        </is>
      </c>
      <c r="D4658" t="n">
        <v>1</v>
      </c>
      <c r="E4658" t="n">
        <v>3</v>
      </c>
      <c r="F4658">
        <f>HYPERLINK("https://www.reddit.com/r/COVID19positive/comments/ievazd/a_month_later_and_i_still_have_symptoms_im_scared/")</f>
        <v/>
      </c>
      <c r="G4658" t="inlineStr">
        <is>
          <t>2020-08-22 19:16:34</t>
        </is>
      </c>
      <c r="H4658" t="inlineStr">
        <is>
          <t>Tested Positive - Me</t>
        </is>
      </c>
    </row>
    <row r="4659">
      <c r="A4659" t="inlineStr">
        <is>
          <t>ieved2</t>
        </is>
      </c>
      <c r="B4659" t="inlineStr">
        <is>
          <t>Day 7 and I am terrified.</t>
        </is>
      </c>
      <c r="C4659" t="inlineStr">
        <is>
          <t>I've not had a fever or anything severe thus far. Mild congestion the first few days, today I briefly got my smell back, still feel the tickling in my throat and I can feel some pressure in my chest. It'll be day 8 soon and I am absolutely terrified my symptoms will flair up overnight from mild to severe. How do I cope? I have no insurance so that doesn't help the situation, I spread the virus to my sister and she spread it to her fiance. She's 220 lbs qualifies as obese but no other health issues. She is coughing a lot so that gives me even more anxiety. I've been trying to be optimistic and drinking a lot of water, green tea, and orange juice. I've been doing breathing exercises. I can't stop burping.</t>
        </is>
      </c>
      <c r="D4659" t="n">
        <v>1</v>
      </c>
      <c r="E4659" t="n">
        <v>8</v>
      </c>
      <c r="F4659">
        <f>HYPERLINK("https://www.reddit.com/r/COVID19positive/comments/ieved2/day_7_and_i_am_terrified/")</f>
        <v/>
      </c>
      <c r="G4659" t="inlineStr">
        <is>
          <t>2020-08-22 19:23:19</t>
        </is>
      </c>
      <c r="H4659" t="inlineStr">
        <is>
          <t>Tested Positive - Me</t>
        </is>
      </c>
    </row>
    <row r="4660">
      <c r="A4660" t="inlineStr">
        <is>
          <t>ievpn8</t>
        </is>
      </c>
      <c r="B4660" t="inlineStr">
        <is>
          <t>(19M) Month 4. I feel like a zombie everyday I wake up. I have no mental or emotional energy to even talk to people but my heart is always racing and there’s a million tabs in my head. HR was 130 at work and I sweated buckets. Eventually got dizzy. I can’t do this anymore.</t>
        </is>
      </c>
      <c r="C4660" t="inlineStr">
        <is>
          <t>19M EMT &amp;amp; Pre PA student. Tested positive for COVID-19 late April. Long history of generalized anxiety and depression. No other health conditions.
I was symptomatic for a week when I tested positive. I had a fluctuating fever, chills, sweats, diarrhea, insomnia, and overwhelming body fatigue. I was completely bed ridden. Since I tested positive, my life got progressively worse. I feel so mentally slow now. I have a hard time finding my words, holding conversations, and showing emotion about anything. I’m very forgetful and have messed up at work many times. I really can’t focus.
I’ve always sweated excessively (I’d sweat upon waking up) but it’s been getting worse. I have to wear Thompson tee’s under my uniform to hide stains. I can’t wear any type of t-shirt, unless it’s black. Seriously. I’m starting to sweat on my back now which is new. I’ve been having heart palpitations going to bed at night and I’ve been measuring my HR with a pulse oximeter. At work today my HR was in between 95-130. I felt so hot, so lethargic, and my mouth and lips were really dry. I would talk so fast that people couldn’t understand me and my brain doesn’t even catch up to my words. I slur words now. By the end of the night I was getting dizzy and I would have to take breaks. I was a walking slug but my mind and heart were always going. 
I lost 20 lbs in the past two years. Mostly muscle, I used to play basketball but stopped playing after high school (165lbs now). Attributed all of that to stress and my loss of appetite. Lately, however, I’ve gone some days only eating a bowl of cereal. I seriously have no appetite or any desire to eat. Even if I do have the energy to make an actual meal (rarely), I don’t even finish my plate. Skinniest I’ve ever been.
I asked my doc for an endo referral to explore any  possible hormonal issues. My family history is full of autoimmune diseases (RA, Lupus, Hashimoto, Hyperthyroid, Graves’) and type 1 diabetes. My whole life I’ve attributed all these symptoms to my anxiety, because that’s what everyone always told me. I never thought to rule out any non-mental issues until now. My T4 and Calcium came back high. TSH was in range at 0.75. Endo says nothing is there. I don’t know what to do.
I have no desire to do anything but lay in bed all day. I’m chronically lethargic, dull, and unmotivated. I can’t take naps at all, I just stare at the ceiling. My body has a permanent adrenaline rush and nothing ever slows down for me. I can’t keep living like this. I’m always too nervous, restless, and lethargic to enjoy what makes me happy. Now I don’t even know what makes me happy anymore. I don’t have any desire to engage in conversation with people, let alone pursue a significant other. 
Nothing about my life feels right anymore. Can someone please tell me they’re feeling the same way? I can’t take it anymore.</t>
        </is>
      </c>
      <c r="D4660" t="n">
        <v>1</v>
      </c>
      <c r="E4660" t="n">
        <v>23</v>
      </c>
      <c r="F4660">
        <f>HYPERLINK("https://www.reddit.com/r/COVID19positive/comments/ievpn8/19m_month_4_i_feel_like_a_zombie_everyday_i_wake/")</f>
        <v/>
      </c>
      <c r="G4660" t="inlineStr">
        <is>
          <t>2020-08-22 19:46:31</t>
        </is>
      </c>
      <c r="H4660" t="inlineStr">
        <is>
          <t>Tested Positive - Me</t>
        </is>
      </c>
    </row>
    <row r="4661">
      <c r="A4661" t="inlineStr">
        <is>
          <t>iexfhd</t>
        </is>
      </c>
      <c r="B4661" t="inlineStr">
        <is>
          <t>Going up and down stairs sucks.</t>
        </is>
      </c>
      <c r="C4661" t="inlineStr">
        <is>
          <t>Makes my heart race among other things. Why? Bowel movements also make heart race. 130-140 BPM sometimes for no reason.</t>
        </is>
      </c>
      <c r="D4661" t="n">
        <v>1</v>
      </c>
      <c r="E4661" t="n">
        <v>2</v>
      </c>
      <c r="F4661">
        <f>HYPERLINK("https://www.reddit.com/r/COVID19positive/comments/iexfhd/going_up_and_down_stairs_sucks/")</f>
        <v/>
      </c>
      <c r="G4661" t="inlineStr">
        <is>
          <t>2020-08-22 21:58:53</t>
        </is>
      </c>
      <c r="H4661" t="inlineStr">
        <is>
          <t>Presumed Positive - From Doctor</t>
        </is>
      </c>
    </row>
    <row r="4662">
      <c r="A4662" t="inlineStr">
        <is>
          <t>iexfzn</t>
        </is>
      </c>
      <c r="B4662" t="inlineStr">
        <is>
          <t>Can two COVID positive patients be quarantined together?</t>
        </is>
      </c>
      <c r="C4662" t="inlineStr">
        <is>
          <t>My Uncle(50) and Grandfather(78) got tested positive today. As my Grandfather is at high risk, we were against isolating him by himself, and thought it would be better for him to quarantined with my uncle in the same room. Then he would have support throughout the night. But is it a good idea, as both patients ate at high risk, more so my Grandfather (having pre-existing conditions). Does it impact the severity of the virus if two patients having it are kept together?
My uncle tested positive 5 days back, and my grandfather today.</t>
        </is>
      </c>
      <c r="D4662" t="n">
        <v>1</v>
      </c>
      <c r="E4662" t="n">
        <v>12</v>
      </c>
      <c r="F4662">
        <f>HYPERLINK("https://www.reddit.com/r/COVID19positive/comments/iexfzn/can_two_covid_positive_patients_be_quarantined/")</f>
        <v/>
      </c>
      <c r="G4662" t="inlineStr">
        <is>
          <t>2020-08-22 22:00:03</t>
        </is>
      </c>
      <c r="H4662" t="inlineStr">
        <is>
          <t>Tested Positive - Family</t>
        </is>
      </c>
    </row>
    <row r="4663">
      <c r="A4663" t="inlineStr">
        <is>
          <t>iey04r</t>
        </is>
      </c>
      <c r="B4663" t="inlineStr">
        <is>
          <t>It's been about 66 days since I've been deemed positive and not much has changed.</t>
        </is>
      </c>
      <c r="C4663" t="inlineStr">
        <is>
          <t>My muscles are still weak, pressure in chest, trouble sleeping, and overall just feeling like crap. I have a mild case apparently and was told that it could be dealt with at home, but I just can't shake it.</t>
        </is>
      </c>
      <c r="D4663" t="n">
        <v>1</v>
      </c>
      <c r="E4663" t="n">
        <v>5</v>
      </c>
      <c r="F4663">
        <f>HYPERLINK("https://www.reddit.com/r/COVID19positive/comments/iey04r/its_been_about_66_days_since_ive_been_deemed/")</f>
        <v/>
      </c>
      <c r="G4663" t="inlineStr">
        <is>
          <t>2020-08-22 22:47:57</t>
        </is>
      </c>
      <c r="H4663" t="inlineStr">
        <is>
          <t>Tested Positive</t>
        </is>
      </c>
    </row>
    <row r="4664">
      <c r="A4664" t="inlineStr">
        <is>
          <t>ieztc9</t>
        </is>
      </c>
      <c r="B4664" t="inlineStr">
        <is>
          <t>The worst about having covid for me is the anxiety of maybe suddenly getting worse.</t>
        </is>
      </c>
      <c r="C4664" t="inlineStr">
        <is>
          <t>How many days need to pass so I can feel safe that I'm not suddenly gonna get worse?? I almost had a panic attack yesterday and it's a vicious cycle of feeling like I can't breathe. (But I totally can, it's just the anxiety)</t>
        </is>
      </c>
      <c r="D4664" t="n">
        <v>1</v>
      </c>
      <c r="E4664" t="n">
        <v>6</v>
      </c>
      <c r="F4664">
        <f>HYPERLINK("https://www.reddit.com/r/COVID19positive/comments/ieztc9/the_worst_about_having_covid_for_me_is_the/")</f>
        <v/>
      </c>
      <c r="G4664" t="inlineStr">
        <is>
          <t>2020-08-23 01:37:22</t>
        </is>
      </c>
      <c r="H4664" t="inlineStr">
        <is>
          <t>Tested Positive - Me</t>
        </is>
      </c>
    </row>
    <row r="4665">
      <c r="A4665" t="inlineStr">
        <is>
          <t>if0rwp</t>
        </is>
      </c>
      <c r="B4665" t="inlineStr">
        <is>
          <t>Did anyone else feel this type of Brain Fog &amp;amp; Short Attention Span?</t>
        </is>
      </c>
      <c r="C4665" t="inlineStr">
        <is>
          <t>Why is it not more known in the media that covid can cause severe cognitive problems? 
I have a Brain Fog that seems to start at random times of the day. I cant remember where I put things.
If people are talking to me, I can only seem to pay attention for a few seconds. 
This is so strange. It's like being concussed or drunk.
Has anyone else had this? I've had the brain fog for about 1 month, but I was diagnosed 3 months ago. 
It's strange that some people get mostly respiratory problems and no forgetfulness or brain fog. While others, end up with long term brain fog.
QUESTIONS:
1. Who else has this brain fog, dizzy, forgetful feeling?
2. Tell me about your own experience when you get brain fog
3. Also did anyone here fully recover from it? How did you do it?</t>
        </is>
      </c>
      <c r="D4665" t="n">
        <v>1</v>
      </c>
      <c r="E4665" t="n">
        <v>12</v>
      </c>
      <c r="F4665">
        <f>HYPERLINK("https://www.reddit.com/r/COVID19positive/comments/if0rwp/did_anyone_else_feel_this_type_of_brain_fog_short/")</f>
        <v/>
      </c>
      <c r="G4665" t="inlineStr">
        <is>
          <t>2020-08-23 03:10:39</t>
        </is>
      </c>
      <c r="H4665" t="inlineStr">
        <is>
          <t>Tested Positive - Me</t>
        </is>
      </c>
    </row>
    <row r="4666">
      <c r="A4666" t="inlineStr">
        <is>
          <t>if2a8i</t>
        </is>
      </c>
      <c r="B4666" t="inlineStr">
        <is>
          <t>It got worse? Still contagious?</t>
        </is>
      </c>
      <c r="C4666" t="inlineStr">
        <is>
          <t>My mom started with symptoms on Aug 2 On the 6th she had the same symptoms as a cold  and went to get on the  tested on the 7th by day 5 or 6 she was back to her normal self. Test came back positive on the 12th. She took another test last week on the 18th about 11 days after the taking the first test and while be are waiting for the results just today she woke up with chills, tired, dry lips and thoart.  So about 3 weeks after the first test and 2 weeks of symptoms free some sytopms have reapeared. Has anyone else experienced this? Also does that mean she needs to quarantine again?</t>
        </is>
      </c>
      <c r="D4666" t="n">
        <v>1</v>
      </c>
      <c r="E4666" t="n">
        <v>5</v>
      </c>
      <c r="F4666">
        <f>HYPERLINK("https://www.reddit.com/r/COVID19positive/comments/if2a8i/it_got_worse_still_contagious/")</f>
        <v/>
      </c>
      <c r="G4666" t="inlineStr">
        <is>
          <t>2020-08-23 05:24:48</t>
        </is>
      </c>
      <c r="H4666" t="inlineStr">
        <is>
          <t>Tested Positive - Family</t>
        </is>
      </c>
    </row>
    <row r="4667">
      <c r="A4667" t="inlineStr">
        <is>
          <t>if2kib</t>
        </is>
      </c>
      <c r="B4667" t="inlineStr">
        <is>
          <t>How to deal with this? 💔</t>
        </is>
      </c>
      <c r="C4667" t="inlineStr">
        <is>
          <t>I know I should not post  here anymore. I mean, there's no more updates to give. He's gone.  He passed away two days ago. There's no one that has the virus in my family right now. 
If you've been following my story, you know that my dad contracted the virus. He fought until he couldn't do it anymore.
I'm wearing his clothes. His old pajamas. The ones he wouldn't want to get rid of.
I'm also sleeping in his bed. The one he shared with my mom, because I know she needs me to do it. I'm sleeping where he should be sleeping right now. She could never stand the thought of being alone. She couldn't be without him. My mom and dad got married   30  years ago.
There's clothes he wore at home before being hospitalised that we never touched. We should have washed them a long time ago, but we forgot about them.
The house is awfully quiet. I don't sleep much, I forgot the feeling of being hungry, and I cry a lot. I feel empty inside. I'm tired all the time. Emotionally tired.
I still play with my dog everyday, but right now I can't enjoy it. I do it for him. He needs to be loved and cared for.
Living in the house where we created so many memories  together as a family is just devastating.
I can still see him dancing in the kitchen if I close my eyes. I started to  remember things I forgot he did for me and my sister when we were little.
He'd tell us stories and takes us to the movies. He'd so many things to make sure we were happy kids.
 He'd sing and dance while getting ready to go to work. 
He's gone. All those things I took for granted and enjoyed so much are gone, too.
I'm like a freaking robot. Typing this sad post about my hero. The one that didn't lose the fight. The one that gained a full recovery, and went to see the world without us.</t>
        </is>
      </c>
      <c r="D4667" t="n">
        <v>1</v>
      </c>
      <c r="E4667" t="n">
        <v>85</v>
      </c>
      <c r="F4667">
        <f>HYPERLINK("https://www.reddit.com/r/COVID19positive/comments/if2kib/how_to_deal_with_this/")</f>
        <v/>
      </c>
      <c r="G4667" t="inlineStr">
        <is>
          <t>2020-08-23 05:46:33</t>
        </is>
      </c>
      <c r="H4667" t="inlineStr">
        <is>
          <t>Tested Positive - Family</t>
        </is>
      </c>
    </row>
    <row r="4668">
      <c r="A4668" t="inlineStr">
        <is>
          <t>if4gip</t>
        </is>
      </c>
      <c r="B4668" t="inlineStr">
        <is>
          <t>Am I going to get worse?</t>
        </is>
      </c>
      <c r="C4668" t="inlineStr">
        <is>
          <t>I’m terrified. I was exposed on Friday 8/14. I got symptoms on Monday 8/17 (a light cough) that progressed into a low grade fever, chills, body aches, fatigue, and some tightness in my chest. Tested in 8/18. Positive test on Thursday 8/20. 
I have asthma and am obese (BMI 38). I’m terrified of it getting worse. 
I feel better today than I did yesterday. I’ve been hydrating and trying to eat. I’ve got a pulse oximeter and it’s never dipped below 95 (I check every 1-2 hours). 
I wish there was a way to predict whether it was going to get worse. The unknown is what is scaring me.</t>
        </is>
      </c>
      <c r="D4668" t="n">
        <v>1</v>
      </c>
      <c r="E4668" t="n">
        <v>46</v>
      </c>
      <c r="F4668">
        <f>HYPERLINK("https://www.reddit.com/r/COVID19positive/comments/if4gip/am_i_going_to_get_worse/")</f>
        <v/>
      </c>
      <c r="G4668" t="inlineStr">
        <is>
          <t>2020-08-23 07:49:48</t>
        </is>
      </c>
      <c r="H4668" t="inlineStr">
        <is>
          <t>Tested Positive - Me</t>
        </is>
      </c>
    </row>
    <row r="4669">
      <c r="A4669" t="inlineStr">
        <is>
          <t>if4n1z</t>
        </is>
      </c>
      <c r="B4669" t="inlineStr">
        <is>
          <t>Husband doesn’t believe me.</t>
        </is>
      </c>
      <c r="C4669" t="inlineStr">
        <is>
          <t>My husband doesn’t seem to be taking me seriously. He took our 11 month old son to hang out with our neighbours downstairs, inside their house, even though i’m running a low fever and am waiting for test results. He didn’t disclose that i’m sick. I don’t know anyone who’s tested positive, and I haven’t had exposure to anyone besides my parents in the last few weeks- but I have the symptoms and we must assume it’s positive for the safety of others. He keeps saying “it’s probably allergies”.</t>
        </is>
      </c>
      <c r="D4669" t="n">
        <v>1</v>
      </c>
      <c r="E4669" t="n">
        <v>5</v>
      </c>
      <c r="F4669">
        <f>HYPERLINK("https://www.reddit.com/r/COVID19positive/comments/if4n1z/husband_doesnt_believe_me/")</f>
        <v/>
      </c>
      <c r="G4669" t="inlineStr">
        <is>
          <t>2020-08-23 08:00:30</t>
        </is>
      </c>
      <c r="H4669" t="inlineStr">
        <is>
          <t>Presumed Positive - From Test</t>
        </is>
      </c>
    </row>
    <row r="4670">
      <c r="A4670" t="inlineStr">
        <is>
          <t>if5alx</t>
        </is>
      </c>
      <c r="B4670" t="inlineStr">
        <is>
          <t>Parents positive</t>
        </is>
      </c>
      <c r="C4670" t="inlineStr">
        <is>
          <t>Hey all. My parents have both tested positive. Moms symptoms are worrisome. Right now there is little to no cough but she is having pretty bad stomach and nausea issues. 
Anyone else have symptoms start with the stomach? I don’t know what to expect. I’m scared and looking for info. Appreciate you</t>
        </is>
      </c>
      <c r="D4670" t="n">
        <v>1</v>
      </c>
      <c r="E4670" t="n">
        <v>7</v>
      </c>
      <c r="F4670">
        <f>HYPERLINK("https://www.reddit.com/r/COVID19positive/comments/if5alx/parents_positive/")</f>
        <v/>
      </c>
      <c r="G4670" t="inlineStr">
        <is>
          <t>2020-08-23 08:38:55</t>
        </is>
      </c>
      <c r="H4670" t="inlineStr">
        <is>
          <t>Tested Positive - Family</t>
        </is>
      </c>
    </row>
    <row r="4671">
      <c r="A4671" t="inlineStr">
        <is>
          <t>if5ooy</t>
        </is>
      </c>
      <c r="B4671" t="inlineStr">
        <is>
          <t>Sorry I don’t have a good title.</t>
        </is>
      </c>
      <c r="C4671" t="inlineStr">
        <is>
          <t>I’m 18M, very healthy (as far as I know (i have hypochondria and suffer from anxiety/panic disorder))
it it my sixth day of having coronavirus. i was exposes nine days ago. i had about 3 days (wed -fri) of on/off fever and chills and temp never went above 101.5. i’ve had a very mild cough, mild congestion, no sore throat or headache. my chest had on/off pain for like one hour on wednesday . i woke up yesterday and today with almost no symptoms. 
but this morning i started reading this subreddit and it brought my anxiety out like crazy. my parents isolated so i could come outside for a few minutes so i could get some sunlight. i instantly started noticing a really fast pulse and what feels like shortness of breath. but i don’t even know what shortness of breath feels like and i can’t ever tell the difference between being short of breath and having anxiety. it 
sucks. currently i feel like i’m manually breathing and that something just feels “off” with my breath. :(</t>
        </is>
      </c>
      <c r="D4671" t="n">
        <v>1</v>
      </c>
      <c r="E4671" t="n">
        <v>6</v>
      </c>
      <c r="F4671">
        <f>HYPERLINK("https://www.reddit.com/r/COVID19positive/comments/if5ooy/sorry_i_dont_have_a_good_title/")</f>
        <v/>
      </c>
      <c r="G4671" t="inlineStr">
        <is>
          <t>2020-08-23 09:02:03</t>
        </is>
      </c>
      <c r="H4671" t="inlineStr">
        <is>
          <t>Tested Positive - Me</t>
        </is>
      </c>
    </row>
    <row r="4672">
      <c r="A4672" t="inlineStr">
        <is>
          <t>if6qqn</t>
        </is>
      </c>
      <c r="B4672" t="inlineStr">
        <is>
          <t>Girlfriend tested positive yesterday</t>
        </is>
      </c>
      <c r="C4672" t="inlineStr">
        <is>
          <t>Hey all,
Unfortunately my girlfriend tested positive yesterday. We have seen each other every day over the past week being in close contract: kissing, cuddling etc.
She originally had a headache two weeks ago with no other symptoms. We are not sure if that was the start or something unrelated. On Friday, she developed a bit of a cough. Out of an abundance of caution, she got tested Friday with the results coming back positive yesterday. 
I have been feeling a little bit of a headache and tightness of chest but it may be psychosomatic. She's staying in my bedroom while I'm out on the couch. I want to take care of her but also don't want to catch the virus if I don't already have it. 
I echo a lot of voices in this subreddit: this thing is a roller coaster - we are counting down the clicks while we ascend the first hill. The uncertainty is the worst.
Has anyone been in a similar situation?</t>
        </is>
      </c>
      <c r="D4672" t="n">
        <v>1</v>
      </c>
      <c r="E4672" t="n">
        <v>8</v>
      </c>
      <c r="F4672">
        <f>HYPERLINK("https://www.reddit.com/r/COVID19positive/comments/if6qqn/girlfriend_tested_positive_yesterday/")</f>
        <v/>
      </c>
      <c r="G4672" t="inlineStr">
        <is>
          <t>2020-08-23 10:01:45</t>
        </is>
      </c>
      <c r="H4672" t="inlineStr">
        <is>
          <t>Tested Positive - Friends</t>
        </is>
      </c>
    </row>
    <row r="4673">
      <c r="A4673" t="inlineStr">
        <is>
          <t>if708p</t>
        </is>
      </c>
      <c r="B4673" t="inlineStr">
        <is>
          <t>Contact tracing</t>
        </is>
      </c>
      <c r="C4673" t="inlineStr">
        <is>
          <t>I tested positive for COVID-19 on July 30. Today, August 23, I just got a contact tracing call from my state’s (South Carolina) department of health. Thankfully, I was responsible enough to let everyone I came into contact with about my diagnosis so they could take precautions. But a contact tracing call three weeks later seems like such a delayed response/waste of resources. 
What have your experiences been? Are there any states out there that are actually handling contact tracing well?</t>
        </is>
      </c>
      <c r="D4673" t="n">
        <v>1</v>
      </c>
      <c r="E4673" t="n">
        <v>6</v>
      </c>
      <c r="F4673">
        <f>HYPERLINK("https://www.reddit.com/r/COVID19positive/comments/if708p/contact_tracing/")</f>
        <v/>
      </c>
      <c r="G4673" t="inlineStr">
        <is>
          <t>2020-08-23 10:16:00</t>
        </is>
      </c>
      <c r="H4673" t="inlineStr">
        <is>
          <t>Tested Positive - Me</t>
        </is>
      </c>
    </row>
    <row r="4674">
      <c r="A4674" t="inlineStr">
        <is>
          <t>if7g2x</t>
        </is>
      </c>
      <c r="B4674" t="inlineStr">
        <is>
          <t>Looks like I’m a part of this now (19f)</t>
        </is>
      </c>
      <c r="C4674" t="inlineStr">
        <is>
          <t>For reference, I live in the UAE. I’ve been scrolling this sub since May in order to understand what this virus entails and to curb my want to go out. Well guys, I saw my best friend three days ago. She tested fucking positive. Her sister has a nose job scheduled for next week so she had to test and make sure she was negative. So my best friend went along. Lo and behold, she has covid. I’m so furious. I’m so stressed. My throat’s been a bit scratchy but I’ve been so aware of my throat these past few months looking out for symptoms that I just wrote it off as anxiety again. I’m 19 years old so I don’t give a shit about how this’ll affect me but I’m so afraid for my parents (46f and 49m). I’ve been around them this entire time and I might be positive I’m losing my fucking shit I’m so scared I’ve been bawling my eyes out for an hour I can’t believe after all the precautions I took that I bring this fucking virus home!!!!!!!!!! Please please please how do I deal with this mentally there’s no way I’m gonna be able to sleep and wait until tomorrow to get tested.</t>
        </is>
      </c>
      <c r="D4674" t="n">
        <v>1</v>
      </c>
      <c r="E4674" t="n">
        <v>9</v>
      </c>
      <c r="F4674">
        <f>HYPERLINK("https://www.reddit.com/r/COVID19positive/comments/if7g2x/looks_like_im_a_part_of_this_now_19f/")</f>
        <v/>
      </c>
      <c r="G4674" t="inlineStr">
        <is>
          <t>2020-08-23 10:40:11</t>
        </is>
      </c>
      <c r="H4674" t="inlineStr">
        <is>
          <t>Tested Positive - Friends</t>
        </is>
      </c>
    </row>
    <row r="4675">
      <c r="A4675" t="inlineStr">
        <is>
          <t>if7i6m</t>
        </is>
      </c>
      <c r="B4675" t="inlineStr">
        <is>
          <t>Return to work with symptoms</t>
        </is>
      </c>
      <c r="C4675" t="inlineStr">
        <is>
          <t>Has anyone had to return to work while still having symptoms? 
I’m on day 17. No fever but still having shortness of breath, sharp chest pains, and chest tightness. 
My work wants me to go back tomorrow... the state just says to go over cdc guidelines with them about symptoms improving...</t>
        </is>
      </c>
      <c r="D4675" t="n">
        <v>1</v>
      </c>
      <c r="E4675" t="n">
        <v>8</v>
      </c>
      <c r="F4675">
        <f>HYPERLINK("https://www.reddit.com/r/COVID19positive/comments/if7i6m/return_to_work_with_symptoms/")</f>
        <v/>
      </c>
      <c r="G4675" t="inlineStr">
        <is>
          <t>2020-08-23 10:43:08</t>
        </is>
      </c>
      <c r="H4675" t="inlineStr">
        <is>
          <t>Tested Positive - Me</t>
        </is>
      </c>
    </row>
    <row r="4676">
      <c r="A4676" t="inlineStr">
        <is>
          <t>if94m2</t>
        </is>
      </c>
      <c r="B4676" t="inlineStr">
        <is>
          <t>I am 90% sure I have coronavirus</t>
        </is>
      </c>
      <c r="C4676" t="inlineStr">
        <is>
          <t>It started 2 days ago I was at work and felt like I couldn’t catch my air. My anxiety kicked it and I started to panic. I had an anxiety attack and thought that was it so I rested the rest of the day. Yesterday morning I woke up with a heavy chest, it lasted like 10 mins but it went away. Later on I got a headache then I got a sore throat then I would catch myself breathing and feeling like I’m still missing air in my body. The final symptoms I got last night was nausea and diarrhea. Today I woke up with a heavy chest again and nausea. I also have an upset stomach and my breathe is harder to catch. I am hoping things don’t get worse. I’m barely 22 years old but this feeling sucks. I don’t feel like myself.</t>
        </is>
      </c>
      <c r="D4676" t="n">
        <v>1</v>
      </c>
      <c r="E4676" t="n">
        <v>4</v>
      </c>
      <c r="F4676">
        <f>HYPERLINK("https://www.reddit.com/r/COVID19positive/comments/if94m2/i_am_90_sure_i_have_coronavirus/")</f>
        <v/>
      </c>
      <c r="G4676" t="inlineStr">
        <is>
          <t>2020-08-23 12:08:40</t>
        </is>
      </c>
      <c r="H4676" t="inlineStr">
        <is>
          <t>Tested Positive - Me</t>
        </is>
      </c>
    </row>
    <row r="4677">
      <c r="A4677" t="inlineStr">
        <is>
          <t>if98od</t>
        </is>
      </c>
      <c r="B4677" t="inlineStr">
        <is>
          <t>Me (32f) and my husband (34m) identicle symptoms, one - , one +</t>
        </is>
      </c>
      <c r="C4677" t="inlineStr">
        <is>
          <t>My husband started with the typical mild symptoms, fever, cough, body aches, sore throat, fatigue, heavy tight chest and restricted breathing. He waited 3 days, then tested - positive for Covid-19. I followed his exact same progression of symptoms in the same order, same duration, just about 2 days delayed from his. So I also was tested 2 days after he was, and my test result was negative! I’m still following his symptoms, mostly fatigue. Today he completely lost his sense of smell. We tested a bottle of pure peppermint oil under his nose, deep inhalations, he smells nothing... so I guess that’s coming for me - but WHY did my test come back negative?... I’m confused. Am I just imagining these symptoms?? Bc I swear I do NOT have time for this - I have two babies still under the age of 2! And I can hardly stand up some times - I’m so weak! 
I am so grateful our doctor said to go ahead and start treatment for COVID-19 anyway. But having this negative test result bothers me a great deal...</t>
        </is>
      </c>
      <c r="D4677" t="n">
        <v>1</v>
      </c>
      <c r="E4677" t="n">
        <v>8</v>
      </c>
      <c r="F4677">
        <f>HYPERLINK("https://www.reddit.com/r/COVID19positive/comments/if98od/me_32f_and_my_husband_34m_identicle_symptoms_one/")</f>
        <v/>
      </c>
      <c r="G4677" t="inlineStr">
        <is>
          <t>2020-08-23 12:15:02</t>
        </is>
      </c>
      <c r="H4677" t="inlineStr">
        <is>
          <t>Tested Positive</t>
        </is>
      </c>
    </row>
    <row r="4678">
      <c r="A4678" t="inlineStr">
        <is>
          <t>if9uzs</t>
        </is>
      </c>
      <c r="B4678" t="inlineStr">
        <is>
          <t>Moment of complaining - can anyone relate?</t>
        </is>
      </c>
      <c r="C4678" t="inlineStr">
        <is>
          <t>I tested positive in early July. Obviously then, and even now, it is a topic of discussion because people seem so intrigued when they personally know someone who has/had it. 
Whenever talking about my experience, people will quickly change the topic (often interrupting) to themselves “thinking” they had it at some point, and continue to go on and on about it. It was much more annoying when I had just tested positive and was isolating, but it still annoys me SO MUCH that these people will go on about themselves “maybe” having it and have no regards for those who do/did that they are speaking to. 
Not to negate their experiences, covid is a crazy bitch and they very well could have had it! But I feel so frustrated when this happens. Like they go straight to “how can I make this about me” 
Has anyone else experienced a similar feeling, or am I just being a bitter brat?</t>
        </is>
      </c>
      <c r="D4678" t="n">
        <v>1</v>
      </c>
      <c r="E4678" t="n">
        <v>13</v>
      </c>
      <c r="F4678">
        <f>HYPERLINK("https://www.reddit.com/r/COVID19positive/comments/if9uzs/moment_of_complaining_can_anyone_relate/")</f>
        <v/>
      </c>
      <c r="G4678" t="inlineStr">
        <is>
          <t>2020-08-23 12:49:07</t>
        </is>
      </c>
      <c r="H4678" t="inlineStr">
        <is>
          <t>Tested Positive - Me</t>
        </is>
      </c>
    </row>
    <row r="4679">
      <c r="A4679" t="inlineStr">
        <is>
          <t>if9x65</t>
        </is>
      </c>
      <c r="B4679" t="inlineStr">
        <is>
          <t>Can someone compare smyptoms? Or tell me what's next? 21 M</t>
        </is>
      </c>
      <c r="C4679" t="inlineStr">
        <is>
          <t>I found out a co-worker I was around a lot on the 8/16 of this month was covid positive but I didn't find out until I felt sick on 8/17 or 8/18. I've had it 7 days for sure now but maybe 8-9 because not sure when he got it. I'm just curious if anyone has had similar experience and maybe could tell me what's probably next in the process. I'm also trying to base it off others to see if I have a more mild case or what.
Starting with the first day of symptoms
Day 1: Felt slight headache and weird throat feeling
Day 2: Same headache but not as slight and my throat was a little sore. Brain felt a little foggy too.
Day 3: Test came back positive on this day but I knew I was positive at this point. Had intense head &amp;amp; eye pain, brain felt foggy, started getting a little congested. Also had an off and on fever.
Day 4: Pretty much the same as day 3 with a worse fever.
Day 5: Still a little head ache, eye pain, foggy brain, and congestion but it was definitely on the lighter side and I felt better than the previous days. nose and throat was feeling very dry on day 5 and I was thinking my smell and taste was starting to go a little.
Day 6: This is where it changed a little bit. In between day 5 and 6 to 7 (Today) The head pain and eye pain went away for the most part but now I feel very light headed, very congested and stuffed up and having a hard time breathing through my nose. Brain still feels foggy and I feel kind of muscle weak and out of it more so than the previous days. Forgot to add lost my smell and taste morning of day 6 and still on day 7. 
Day 7: very light headed and out of it but eye and head ache pain is gone. very dry nose and throat and very stuffed and congested. Muscles feel weak and just almost like you will pass out if you stand up to quick. I compare today to like the last few days of the flu after you've gotten over throwing up and you just feel weak couple days before you get over it. Smell and taste is still 90% gone. Can't tell if the smell is gone because of covid or because I'm really congested hah. Taste is really off and eating soup I only taste the salt. 
During everything I haven't felt so bad that I needed to see a doctor or couldn't bare to do anything. It's also not been the easiest thing in the world I would say it's just like a cold and the flu combined but the symptoms change really frequently. Luckily I've had to chest pain or breathing issues other than from being congested. 
Just posting to see if anyone has had a similar experience and what it went like for them or how long it took to recover. I'm also curious how mild my symptoms are.
&amp;amp;#x200B;
Thanks.</t>
        </is>
      </c>
      <c r="D4679" t="n">
        <v>1</v>
      </c>
      <c r="E4679" t="n">
        <v>19</v>
      </c>
      <c r="F4679">
        <f>HYPERLINK("https://www.reddit.com/r/COVID19positive/comments/if9x65/can_someone_compare_smyptoms_or_tell_me_whats/")</f>
        <v/>
      </c>
      <c r="G4679" t="inlineStr">
        <is>
          <t>2020-08-23 12:52:29</t>
        </is>
      </c>
      <c r="H4679" t="inlineStr">
        <is>
          <t>Tested Positive - Me</t>
        </is>
      </c>
    </row>
    <row r="4680">
      <c r="A4680" t="inlineStr">
        <is>
          <t>ifbatp</t>
        </is>
      </c>
      <c r="B4680" t="inlineStr">
        <is>
          <t>Dizziness, nausea, and slightly stuffy throat</t>
        </is>
      </c>
      <c r="C4680" t="inlineStr">
        <is>
          <t>My cousin just got tested positive yesterday and I was last in contact with him Friday the 7th. I know it’s been over 14 days, but I did recently start having bouts of nausea and fatigue starting around last week. I thought it was because my doc put me on a new medication for my acid reflux that’s stronger than what I was taking before, but hearing this news today is worrying me. My only symptoms right now are fatigue and stomach aches/nausea. Gonna get tested tomorrow just curious if anyone had these symptoms? Thanks so much all responses are appreciated :)</t>
        </is>
      </c>
      <c r="D4680" t="n">
        <v>1</v>
      </c>
      <c r="E4680" t="n">
        <v>2</v>
      </c>
      <c r="F4680">
        <f>HYPERLINK("https://www.reddit.com/r/COVID19positive/comments/ifbatp/dizziness_nausea_and_slightly_stuffy_throat/")</f>
        <v/>
      </c>
      <c r="G4680" t="inlineStr">
        <is>
          <t>2020-08-23 14:06:30</t>
        </is>
      </c>
      <c r="H4680" t="inlineStr">
        <is>
          <t>Tested Positive - Family</t>
        </is>
      </c>
    </row>
    <row r="4681">
      <c r="A4681" t="inlineStr">
        <is>
          <t>ifbe87</t>
        </is>
      </c>
      <c r="B4681" t="inlineStr">
        <is>
          <t>Grandfather is on ventilator, doctor called it torture and seems to want him to come off it</t>
        </is>
      </c>
      <c r="C4681" t="inlineStr">
        <is>
          <t>Hi everyone,
My grandfather has been in the hospital for about two weeks. He is 79. He has high blood pressure but other than that, no other issues. He's been on a ventilator for about three days. From the moment it looked like he was not responding to the cannula/mask , the lung specialist said it was her suggestion to just make him comfortable and not ventilate him because people his age do not recover.
We decided to do ventilation. Now, last night apparently his vitals started seeming off and his kidneys are not working very well. The doctor seemed to tell my uncle that it may not be worth continuing and that ventilation is just like torture at this point.
I do not think this doctor is the best with bedside manner, i know his age is a huge issue and that chances are low, but I do not understand why her attitude seems so cold to me. Anyone know when the point is to take someone off a ventilator and what happens next?</t>
        </is>
      </c>
      <c r="D4681" t="n">
        <v>1</v>
      </c>
      <c r="E4681" t="n">
        <v>29</v>
      </c>
      <c r="F4681">
        <f>HYPERLINK("https://www.reddit.com/r/COVID19positive/comments/ifbe87/grandfather_is_on_ventilator_doctor_called_it/")</f>
        <v/>
      </c>
      <c r="G4681" t="inlineStr">
        <is>
          <t>2020-08-23 14:11:28</t>
        </is>
      </c>
      <c r="H4681" t="inlineStr">
        <is>
          <t>Tested Positive - Family</t>
        </is>
      </c>
    </row>
    <row r="4682">
      <c r="A4682" t="inlineStr">
        <is>
          <t>ifby9k</t>
        </is>
      </c>
      <c r="B4682" t="inlineStr">
        <is>
          <t>Shortness of breath returned after recovery?</t>
        </is>
      </c>
      <c r="C4682" t="inlineStr">
        <is>
          <t>Hello! I was presumed positive back in March, before tests were available in my area. I was sick for about two months, &amp;amp; have since recovered. I recently started exercising again, &amp;amp; my shortness of breath has come back. Has anyone else experienced this? 
Thank you!</t>
        </is>
      </c>
      <c r="D4682" t="n">
        <v>1</v>
      </c>
      <c r="E4682" t="n">
        <v>10</v>
      </c>
      <c r="F4682">
        <f>HYPERLINK("https://www.reddit.com/r/COVID19positive/comments/ifby9k/shortness_of_breath_returned_after_recovery/")</f>
        <v/>
      </c>
      <c r="G4682" t="inlineStr">
        <is>
          <t>2020-08-23 14:41:34</t>
        </is>
      </c>
      <c r="H4682" t="inlineStr">
        <is>
          <t>Presumed Positive - From Doctor</t>
        </is>
      </c>
    </row>
    <row r="4683">
      <c r="A4683" t="inlineStr">
        <is>
          <t>ife06s</t>
        </is>
      </c>
      <c r="B4683" t="inlineStr">
        <is>
          <t>Day 8 and worried</t>
        </is>
      </c>
      <c r="C4683" t="inlineStr">
        <is>
          <t>Hi All.  I've been following this subreddit for a while and now I come with questions (even though I probably already know the answer since I've read so many of the posts here in the past).  Thank you in advance for responding.
Day 1:  8/16 GI issues and thought it was food poisoning
Day 2: 8/17 more of the same
Day 3: 8/18 more of the same, then chills out of nowhere and then a fever.  My first thought was mastitis as I'm still breastfeeding, but my breasts were not engorged and I didn't have any clogged ducts.
Day 4: 8/19 Scheduled and received a Covid test.  My doctor said that Day 3 to 6 is usually when people who need to go the hospital go, so watch out for any respiratory issues.  Instead of respitarory issues, I have more GI symptoms including stomach cramps, plus waves of chills, higher temp fevers up to 102.7, muscle aches, headaches (including tingling sensations behind my head).
Day 5: 8/20 more of the same as Day 4.  My result comes back negative.
Day 6: 8/21 The GI issues subside, I take Tylenol more regularly (every 4 hours) and have a follow up Zoom appointment with my doctor.  With my symptos, she says I have Covid despite what the test says (she reminds me that the false negative rate is so high and that if it walks like a duck, quacks like a duck ... well...).  She said she'll order me an anti-body test 3 weeks from today.  The doctor said it sounds like I have a very low viral load and my symptoms are mild despite the horrific chills and headaches I've experience. My symptoms start to fade.
Day 7: 8/22 Symptoms are mostly gone.  Still taking Tylenol, but now every 5 hours.  No fever.  Continue checking the oximeter and it reads 97-99.  
Day 8: 8/23 Same as Day 7, but now taking Tylenol every 6 hours.  However, I am still scared.  I check my oximeter religously.  I am also drinking lots of water and taking in vitamin C, Zinc and magnesium.  My doctor also suggested I eat and drink lots of anti-inflammatory foods, which I'm doing.  
I'm 39f, mom of 2 (had a c section in February, but very healthy and still breastfeeding -- I wear a mask and am self-isolating when I can).  My BMI is 22, and I'm a cyclist, runner and weightlifter.  No underlying health issues.  My question is -- now what?  My doctor said the days to worry about are 3-6, but I remember posts and articles in the past saying that it's days 8-12 that are most worrisome.  Any thoughts and experiences?   
Thank you so much.  And I'm in Southern California and fortunate to have medical coverage and medical group.</t>
        </is>
      </c>
      <c r="D4683" t="n">
        <v>1</v>
      </c>
      <c r="E4683" t="n">
        <v>7</v>
      </c>
      <c r="F4683">
        <f>HYPERLINK("https://www.reddit.com/r/COVID19positive/comments/ife06s/day_8_and_worried/")</f>
        <v/>
      </c>
      <c r="G4683" t="inlineStr">
        <is>
          <t>2020-08-23 16:43:15</t>
        </is>
      </c>
      <c r="H4683" t="inlineStr">
        <is>
          <t>Presumed Positive - From Doctor</t>
        </is>
      </c>
    </row>
    <row r="4684">
      <c r="A4684" t="inlineStr">
        <is>
          <t>iffbvh</t>
        </is>
      </c>
      <c r="B4684" t="inlineStr">
        <is>
          <t>Wife and I tested positive, what to do with our teenagers?</t>
        </is>
      </c>
      <c r="C4684" t="inlineStr">
        <is>
          <t>My wife and I have both tested positive for COVID and also have two teenagers. What should we do with them, or how have others managed who are positive and have family?  Not be in the same confined space?  Sanitize after leaving the room? Masks all the time?  It would be very difficult to not see or manage our family for the next 14 days. 
Looking for guidance. Thanks</t>
        </is>
      </c>
      <c r="D4684" t="n">
        <v>1</v>
      </c>
      <c r="E4684" t="n">
        <v>6</v>
      </c>
      <c r="F4684">
        <f>HYPERLINK("https://www.reddit.com/r/COVID19positive/comments/iffbvh/wife_and_i_tested_positive_what_to_do_with_our/")</f>
        <v/>
      </c>
      <c r="G4684" t="inlineStr">
        <is>
          <t>2020-08-23 18:06:29</t>
        </is>
      </c>
      <c r="H4684" t="inlineStr">
        <is>
          <t>Tested Positive - Family</t>
        </is>
      </c>
    </row>
    <row r="4685">
      <c r="A4685" t="inlineStr">
        <is>
          <t>ifg3oj</t>
        </is>
      </c>
      <c r="B4685" t="inlineStr">
        <is>
          <t>How can I best help Mom?</t>
        </is>
      </c>
      <c r="C4685" t="inlineStr">
        <is>
          <t>My mom received her positive on 8/14. She was tested a couple days earlier alongside her husband who had symptoms. A bit of background: My mom had no symptoms at time of testing but felt crappy by the time she received her positive. My grandma who lives with my mom was also sick and presumed positive. Grandma ended up in the hospital after a fall that we think was brought on by weakness and spent about 5 days there after they found pneumonia. She is home now and still recovering but doing better. My mom’s husband ended up in the hospital 3 days ago and is in the ICU with oxygen and sugar issues. I live about 25 minutes away, married and have a 2 year old - so I’m limited on how I can help.
Back to mom, it’s hit her like a ton of bricks. Bad headaches, extreme body aches, fever, lack of smell/taste, nausea, and cough. Full on symptoms at full force for over a week now and I just don’t hear it in her voice that she’s improving.  She’s overweight and has the usual maladies of old age but nothing major beyond being susceptible to bronchitis when she gets sick. I know this puts her at a bigger risk with the lung issues this virus brings. I’ve been helping mom by dropping off groceries and medications. Other in the family have also helped by dropping of meals. I call her twice a day to check in and it’s incredible rough to hear her and not be able to physically go and help her. She’s says it’s hard to get out of bed and that the nights are horrid. I wish I could nurse her in person but I just don’t know if that’s possible with exposing myself. A pulse oximeter I ordered was delivered today, I’ll be dropping it off first thing tomorrow. 
Have any of you helped someone who is positive in person and not caught it? I’m worried that if I inject myself into the situation that I’ll infect myself and then be of no good helping her out. Any suggestions on how to best help mom while keeping myself healthy? Are there any safe ways to do this that I’m not thinking of? Access to medical grade masks/gloves is none because of the short supply everywhere. I would only have my cloth masks that I wear when I go out to run errands. Also, are there any other ways that I can support her from afar beyond food and supplies? Anything that helped you get through this that you can suggest? Right now I just feel like I’m not doing enough but also realize that this may be all I can do. It all just really sucks.</t>
        </is>
      </c>
      <c r="D4685" t="n">
        <v>1</v>
      </c>
      <c r="E4685" t="n">
        <v>6</v>
      </c>
      <c r="F4685">
        <f>HYPERLINK("https://www.reddit.com/r/COVID19positive/comments/ifg3oj/how_can_i_best_help_mom/")</f>
        <v/>
      </c>
      <c r="G4685" t="inlineStr">
        <is>
          <t>2020-08-23 18:57:24</t>
        </is>
      </c>
      <c r="H4685" t="inlineStr">
        <is>
          <t>Tested Positive - Family</t>
        </is>
      </c>
    </row>
    <row r="4686">
      <c r="A4686" t="inlineStr">
        <is>
          <t>ifgbqm</t>
        </is>
      </c>
      <c r="B4686" t="inlineStr">
        <is>
          <t>COVID-19 weird taste and smell??</t>
        </is>
      </c>
      <c r="C4686" t="inlineStr">
        <is>
          <t>i had covid (july29-aug5th)and have since recovered however everything mostly tastes weird and the same? the only way i can describe it is like a small hint of what i am eating and a strong overpowering taste of like feet? like that smell of feet but in taste its very unappealing and i was wondering if anyone is experiencing the same my smell is mostly ok i can smell fine but when it comes to taste its so strange</t>
        </is>
      </c>
      <c r="D4686" t="n">
        <v>1</v>
      </c>
      <c r="E4686" t="n">
        <v>5</v>
      </c>
      <c r="F4686">
        <f>HYPERLINK("https://www.reddit.com/r/COVID19positive/comments/ifgbqm/covid19_weird_taste_and_smell/")</f>
        <v/>
      </c>
      <c r="G4686" t="inlineStr">
        <is>
          <t>2020-08-23 19:11:50</t>
        </is>
      </c>
      <c r="H4686" t="inlineStr">
        <is>
          <t>Tested Positive - Me</t>
        </is>
      </c>
    </row>
    <row r="4687">
      <c r="A4687" t="inlineStr">
        <is>
          <t>ifgugc</t>
        </is>
      </c>
      <c r="B4687" t="inlineStr">
        <is>
          <t>1 out of 4 tested positive in same household</t>
        </is>
      </c>
      <c r="C4687" t="inlineStr">
        <is>
          <t>I’ve tested positive twice for COVID and have had symptoms for 10 days now. I live with a compromised mother and grandmother and my wife. They were all tested 2 days ago along with myself and I was the only positive result. I was just wondering if other families were having the same thing happen. 
Sorry if this has been asked before. It’s my first day in this thread</t>
        </is>
      </c>
      <c r="D4687" t="n">
        <v>1</v>
      </c>
      <c r="E4687" t="n">
        <v>21</v>
      </c>
      <c r="F4687">
        <f>HYPERLINK("https://www.reddit.com/r/COVID19positive/comments/ifgugc/1_out_of_4_tested_positive_in_same_household/")</f>
        <v/>
      </c>
      <c r="G4687" t="inlineStr">
        <is>
          <t>2020-08-23 19:45:55</t>
        </is>
      </c>
      <c r="H4687" t="inlineStr">
        <is>
          <t>Tested Positive - Family</t>
        </is>
      </c>
    </row>
    <row r="4688">
      <c r="A4688" t="inlineStr">
        <is>
          <t>ifhsvt</t>
        </is>
      </c>
      <c r="B4688" t="inlineStr">
        <is>
          <t>Skin soreness?</t>
        </is>
      </c>
      <c r="C4688" t="inlineStr">
        <is>
          <t>Does anyone else’s skin feel sore ore irritated. Any time someone brush past my skin or my cloth rubs across my skin It hurts. It feels how I think a sunburn would feel. 
Some Background: 
29 y/o AA female
O2 Sat. &amp;gt; = 97%
No Fever 
Saturday 8/15 - Possible Exposure date
Thursday 8/20 - 
AM: Slight Headache/Fatigue 
PM: Splitting Headache/ Sinus Pain / Cough / Night Sweats / Chills / Cough
Friday 8/21 - Got tested
AM: Cough / Sinus Pain / Fatigue 
PM: Cough / Sinus Pain / skin is tender / Night Sweats
Saturday 8/22- 
AM: Skin tender / Eye Pain / Sinus Pain / Cough / Fatigue 
PM: Cough / Nose Pain / Night Sweats
Sunday 8/23 - woke up felling better
AM: Lost sense of smell / Cough 
PM: Skin is sore again / Cough / No Smell</t>
        </is>
      </c>
      <c r="D4688" t="n">
        <v>1</v>
      </c>
      <c r="E4688" t="n">
        <v>2</v>
      </c>
      <c r="F4688">
        <f>HYPERLINK("https://www.reddit.com/r/COVID19positive/comments/ifhsvt/skin_soreness/")</f>
        <v/>
      </c>
      <c r="G4688" t="inlineStr">
        <is>
          <t>2020-08-23 20:50:32</t>
        </is>
      </c>
      <c r="H4688" t="inlineStr">
        <is>
          <t>Tested Positive - Me</t>
        </is>
      </c>
    </row>
    <row r="4689">
      <c r="A4689" t="inlineStr">
        <is>
          <t>ifhv0b</t>
        </is>
      </c>
      <c r="B4689" t="inlineStr">
        <is>
          <t>Skin Soreness?</t>
        </is>
      </c>
      <c r="C4689" t="inlineStr">
        <is>
          <t xml:space="preserve">
Does anyone else’s skin feel sore ore irritated. Any time someone brush past my skin or my cloth rubs across my skin It hurts. It feels how I think a sunburn would feel. 
Some Background: 
29 y/o AA female.
O2 Sat. &amp;gt; = 97%.
No Fever.
Saturday 8/15 - Possible Exposure date
Thursday 8/20 - 
AM: Slight Headache/Fatigue 
PM: Splitting Headache/ Sinus Pain / Cough / Night Sweats / Chills / Cough
Friday 8/21 - Got tested
AM: Cough / Sinus Pain / Fatigue 
PM: Cough / Sinus Pain / skin is tender / Night Sweats
Saturday 8/22- 
AM: Skin tender / Eye Pain / Sinus Pain / Cough / Fatigue 
PM: Cough / Nose Pain / Night Sweats
Sunday 8/23 - woke up felling better
AM: Lost sense of smell / Cough 
PM: Skin is sore again / Cough / No Smell</t>
        </is>
      </c>
      <c r="D4689" t="n">
        <v>1</v>
      </c>
      <c r="E4689" t="n">
        <v>6</v>
      </c>
      <c r="F4689">
        <f>HYPERLINK("https://www.reddit.com/r/COVID19positive/comments/ifhv0b/skin_soreness/")</f>
        <v/>
      </c>
      <c r="G4689" t="inlineStr">
        <is>
          <t>2020-08-23 20:54:46</t>
        </is>
      </c>
      <c r="H4689" t="inlineStr">
        <is>
          <t>Tested Positive - Me</t>
        </is>
      </c>
    </row>
    <row r="4690">
      <c r="A4690" t="inlineStr">
        <is>
          <t>ifiabe</t>
        </is>
      </c>
      <c r="B4690" t="inlineStr">
        <is>
          <t>Is it safe to go home to my partner</t>
        </is>
      </c>
      <c r="C4690" t="inlineStr">
        <is>
          <t>It has been 21 days since my(M24) symptoms started. (Only lasted for less than a week), I’ve only experienced loss of taste and smell, mild sore throat, mild body pain, fever (1 day only). Not experiencing any symptoms for over 2 weeks now. Is it safe to be intimate?</t>
        </is>
      </c>
      <c r="D4690" t="n">
        <v>1</v>
      </c>
      <c r="E4690" t="n">
        <v>5</v>
      </c>
      <c r="F4690">
        <f>HYPERLINK("https://www.reddit.com/r/COVID19positive/comments/ifiabe/is_it_safe_to_go_home_to_my_partner/")</f>
        <v/>
      </c>
      <c r="G4690" t="inlineStr">
        <is>
          <t>2020-08-23 21:24:55</t>
        </is>
      </c>
      <c r="H4690" t="inlineStr">
        <is>
          <t>Tested Positive - Me</t>
        </is>
      </c>
    </row>
    <row r="4691">
      <c r="A4691" t="inlineStr">
        <is>
          <t>ififno</t>
        </is>
      </c>
      <c r="B4691" t="inlineStr">
        <is>
          <t>Family of 4 Experience</t>
        </is>
      </c>
      <c r="C4691" t="inlineStr">
        <is>
          <t>My daughter (20F) tested positive on 8/14. Symptoms started 8/10 and progressed as follows: severe headache, slight sore throat, all-over-body rash, severe sore throat. No shortness of breath, no fever, no chills, no loss of taste or smell. She felt completely herself again on 8/20 - so roughly 10 days in total.
We are a family of 4 and immediately self-isolated to separate areas of the house on daughter's day 2. Dad (46M) tested positive on 8/21. Mom (46F) and son (22M) returned negative.
Dad symptoms started 8/19 and so far have been: moderate shortness of breath, dryness in throat, dry cough, headache, complete loss of taste/smell. No fever, no chills. Currently day ~5 and very anxious about next couple of days.
We have found comfort in reading others' experiences so thanks all for sharing. It's clear this disease presents in varied ways. Our deepest sympathies to those who have suffered severely.</t>
        </is>
      </c>
      <c r="D4691" t="n">
        <v>1</v>
      </c>
      <c r="E4691" t="n">
        <v>2</v>
      </c>
      <c r="F4691">
        <f>HYPERLINK("https://www.reddit.com/r/COVID19positive/comments/ififno/family_of_4_experience/")</f>
        <v/>
      </c>
      <c r="G4691" t="inlineStr">
        <is>
          <t>2020-08-23 21:36:07</t>
        </is>
      </c>
      <c r="H4691" t="inlineStr">
        <is>
          <t>Tested Positive - Family</t>
        </is>
      </c>
    </row>
    <row r="4692">
      <c r="A4692" t="inlineStr">
        <is>
          <t>ifiitv</t>
        </is>
      </c>
      <c r="B4692" t="inlineStr">
        <is>
          <t>My mom refuses to get tested for covid even though she has multiple symptoms and works in healthcare. I’ve already had covid and I need to know if I’ve been exposed.</t>
        </is>
      </c>
      <c r="C4692" t="inlineStr">
        <is>
          <t>My mom (46F) is a healthcare worker who’s been fighting covid on the frontlines since the pandemic started. I (20F) spent the summer working for my university so I wasn’t home at all. A week into fall classes, I had to come home for reasons I don’t wanna specify. My mom was working at the time, but I was told by my university that I was allowed to travel and would just have to continue to fill out the daily covid check forms online. So I get home on Friday. Everything is fine, until my mom starts showing covid symptoms on Saturday. She went to bed complaining about being congested and woke up with a horrible cough (wheezing because she’s coughing so much), a fever, shortness of breath, chest pain, etc. I emailed both of my bosses (I work two jobs on campus- one being a daycare) to inform them, my mom agreed to go get a rapid covid test done the next day- she has access to rapid testing through the health system she works for. She took a some medicine and laid down for a bit, when she woke up her fever had broken. She told me she wasn’t gonna her tested tomorrow like we had planned. When I told her my bosses were waiting for a test result so I could come back to campus and go to work she told me I shouldn’t have said anything about it to them. She told me she wasn’t gonna get tested because she knows the test would likely be positive and she doesn’t want to be out of work for a long period of time. While I understand she needs to make money to support our family, I think it’s incredibly selfish that she’s knowingly potentially spreading covid. When I confronted her and told her she needs to get tested like we planned, she started gaslighting me by saying things like “I’m sorry I got sick and ruined everything for you”, telling me I should’ve kept quiet, and that it doesn’t matter if I expose the kids at work because they’d get exposed somewhere else anyways. Long story short, I’m not speaking to her. She’s put me in a position where I can’t return to work or to campus until she willingly decides to get tested or is forced to get tested. I feel guilty about leaving my coworkers even more short handed than they already are. She could get a rapid test and know if she’s positive in less than a day, but she absolutely refuses. She claims I’m being ridiculous and I should’ve kept my mouth shut about her having symptoms. I’m so worried and I don’t know what to do about this.</t>
        </is>
      </c>
      <c r="D4692" t="n">
        <v>1</v>
      </c>
      <c r="E4692" t="n">
        <v>9</v>
      </c>
      <c r="F4692">
        <f>HYPERLINK("https://www.reddit.com/r/COVID19positive/comments/ifiitv/my_mom_refuses_to_get_tested_for_covid_even/")</f>
        <v/>
      </c>
      <c r="G4692" t="inlineStr">
        <is>
          <t>2020-08-23 21:42:43</t>
        </is>
      </c>
      <c r="H4692" t="inlineStr">
        <is>
          <t>Presumed Positive - From Doctor</t>
        </is>
      </c>
    </row>
    <row r="4693">
      <c r="A4693" t="inlineStr">
        <is>
          <t>ifipgn</t>
        </is>
      </c>
      <c r="B4693" t="inlineStr">
        <is>
          <t>Why is my throat soooo dry?</t>
        </is>
      </c>
      <c r="C4693" t="inlineStr">
        <is>
          <t>Im on day 7 for timeline reference. 
My throat and mouth are so dry, no amount of water or throatcoat* tea with lemon and honey help. I straight up poured honey into my throat, it helped for a moment, i bought some chloraseptic lozenges and those help for a couple of hours and then its back?
Any advice on remedies or your experiences with dry throat/mouth?
I have a dry cough and im trying not to cough hard because im also starting to lose my voice.</t>
        </is>
      </c>
      <c r="D4693" t="n">
        <v>1</v>
      </c>
      <c r="E4693" t="n">
        <v>6</v>
      </c>
      <c r="F4693">
        <f>HYPERLINK("https://www.reddit.com/r/COVID19positive/comments/ifipgn/why_is_my_throat_soooo_dry/")</f>
        <v/>
      </c>
      <c r="G4693" t="inlineStr">
        <is>
          <t>2020-08-23 21:57:17</t>
        </is>
      </c>
      <c r="H4693" t="inlineStr">
        <is>
          <t>Tested Positive - Me</t>
        </is>
      </c>
    </row>
    <row r="4694">
      <c r="A4694" t="inlineStr">
        <is>
          <t>ifjv38</t>
        </is>
      </c>
      <c r="B4694" t="inlineStr">
        <is>
          <t>6 weeks of no taste or smell, with major regressions after some progress. Starting to get seriously worried.</t>
        </is>
      </c>
      <c r="C4694" t="inlineStr">
        <is>
          <t>Background:
- 29M, 5'8", 155lbs, no pre-existing conditions, healthy
- Started feeling sick 7/9
- Tested positive 7/12 (Texas Med Clinic, rapid 15min test)
- Complete loss of all smell and taste (except tasting salt and sugar) for 3 weeks
- Tingling, almost burning sensation in nostrils for weeks, followed by smell starting to come back in week 4
- Taste followed shortly after with tingling in tongue/mouth, but still greatly diminished
- Over the following two weeks, I've had what appear to be major relapses in smell and taste. One day I wake up and can't smell much at all anymore, or my taste is severely diminished.
- Now on week 6, going through another relapse. Smell is at 15%, taste maybe at 10-15%
At this point I'm really concerned. I don't think I'm ever going to be able to smell or taste as well as I used to. Looking at all the posts on this sub about smell/taste, it seems like most people get theirs back within 1-2 weeks, and a few within a month. My smell used to be so good, I could walk into another room of the house that was closed off and smell the difference in the paint in the air. Now the only things I can smell are very strong lotions or scented products, and mabye barely some strong food flavors like garlic.
I don't want to come across as privileged by writing this. People are losing their loved ones and dying, this virus is fucking horrible. But I never thought it would affect me like this. I'm becoming seriously depressed at the thought of having to eat so much every day now. Food has no joy, I just force myself to eat. I've dropped 15lbs and struggle to maintain. I don't know what to do at this point.
Has anyone had a similar experience? I can't find any articles about worst case scenario how long your smell/taste is out of commission. And nothing about possible permanent diminished sense of smell. Has anyone seen any information on this? Is there possibly a psychosomatic component to this? Appreciate any help or advice.</t>
        </is>
      </c>
      <c r="D4694" t="n">
        <v>1</v>
      </c>
      <c r="E4694" t="n">
        <v>39</v>
      </c>
      <c r="F4694">
        <f>HYPERLINK("https://www.reddit.com/r/COVID19positive/comments/ifjv38/6_weeks_of_no_taste_or_smell_with_major/")</f>
        <v/>
      </c>
      <c r="G4694" t="inlineStr">
        <is>
          <t>2020-08-23 23:31:26</t>
        </is>
      </c>
      <c r="H4694" t="inlineStr">
        <is>
          <t>Tested Positive - Me</t>
        </is>
      </c>
    </row>
    <row r="4695">
      <c r="A4695" t="inlineStr">
        <is>
          <t>ifk2gk</t>
        </is>
      </c>
      <c r="B4695" t="inlineStr">
        <is>
          <t>Feeling helpless, any positive stories please</t>
        </is>
      </c>
      <c r="C4695" t="inlineStr">
        <is>
          <t>I am a 32 year grown man, and I am just sleepless and helpless and just don't know what to do.
A background- I grew up poor in India, my father's annual income was around 400$ but they invested everything in my education. Scholarships passed me through school and college, I started working and finally could pull ourselves out of poverty. I could because of the relentless effort my mother gave. I moved to US around 10 years back, and in fact working as an engineer for a pharma on the the covid vaccine project, against all common sense I bought a house despite immigration hassles last month, and my parents couldn't be prouder, more for them so that they can come and stay on vacations,it's a big deal for them that once while we had to starve, now their son could get a house.. and yes, I have my wife and a beautiful 1.5 yr old daughter....
My parents have been very cautious.. my mother has hypertension, diabetes and mild obesity, father has renal issues and COPD, out of the blue last Monday mother started having a fever, oxygen saturation was 95 till Friday night but by early morning it dropped to 85, rushed to hospital..mother gets tested in hospital, father at home. Mother positive, father negative. Mother has been in hospital and with oxygen , saturation not going above 95, on antibiotics, sugar 330 and given insulin, from today they placed her on bipap...
I am sleepless and barely eating thinking about what's going through with her and what will happen to father as even he is not in the clear, frustrated as to go to my city in India, it's a mandatory 14 day quarantine, not that I could add any value to treatment but atleast be with my father, I am crying as there is a possibility I might not be able to go at all as going will mean not able to come back due to consulate closures, and really don't want to put my 1.5 yr old at risk. I can go alone but my family and daughter dependent on me, with a month old mortgage and no salary , I don't know what I will do or how long i can sustain doctors will use actemra on mother today, I am being selfish by not going right now, I am not looking for validation.. so please be blunt in your replies...
Most importantly, where I want your help, any experience with actemra, any experience with bipap, any good stories just to get momentary solace? Doctors told next few days are critical, I know , I am losing it it seems...don't know what to do..</t>
        </is>
      </c>
      <c r="D4695" t="n">
        <v>1</v>
      </c>
      <c r="E4695" t="n">
        <v>7</v>
      </c>
      <c r="F4695">
        <f>HYPERLINK("https://www.reddit.com/r/COVID19positive/comments/ifk2gk/feeling_helpless_any_positive_stories_please/")</f>
        <v/>
      </c>
      <c r="G4695" t="inlineStr">
        <is>
          <t>2020-08-23 23:49:31</t>
        </is>
      </c>
      <c r="H4695" t="inlineStr">
        <is>
          <t>Tested Positive - Family</t>
        </is>
      </c>
    </row>
    <row r="4696">
      <c r="A4696" t="inlineStr">
        <is>
          <t>ifk3q9</t>
        </is>
      </c>
      <c r="B4696" t="inlineStr">
        <is>
          <t>Roommate sharing my status with other people.</t>
        </is>
      </c>
      <c r="C4696" t="inlineStr">
        <is>
          <t>I tested positive earlier this month. I’ve been asymptomatic the entire time. Told my roommates immediately. The only other people I’ve shared with were my parents and my employer. quarantined myself in my room and started masking up around the house, extra wiping down surfaces, and spending way too much on Ubereats because i was being considerate of my roommates in our common spaces. I couldn’t even pet our kitty and she usually always sleeps with me :( 
The day before i received my initial positive result i had a friend over to the apartment. My roommate decided to reach out to this person and share my personal medical information with them before i had a chance to speak to them. This person immediately messaged me and wanted to know why they were hearing this from my roommate and not me. Now i feel like a bad, shady person for not telling them first. 
Both of my roommates have tested negative and so has my boyfriend. I took another test 11 days after the first test and that one was negative. I feel extremely violated. I feel like i cannot trust my roommate with any of my personal information and my other friend says they’re not upset with me but i would be pissed at me if i was in their shoes. My mom wants me to file a slander lawsuit but i think that’s pretty dramatic 😂 So i guess I’m just looking for some practical advice on how to navigate this situation with my roommate. We already had a text message fight about this where i asked him to move out (both of our names are on the lease). He just wants us to “co-exist” and i don’t feel comfortable even being around him at the moment. 
TL;DR: Roommate told my friend i tested positive before i did. I’m mad at my roommate and i feel like a shitty friend. HALPPP!</t>
        </is>
      </c>
      <c r="D4696" t="n">
        <v>1</v>
      </c>
      <c r="E4696" t="n">
        <v>14</v>
      </c>
      <c r="F4696">
        <f>HYPERLINK("https://www.reddit.com/r/COVID19positive/comments/ifk3q9/roommate_sharing_my_status_with_other_people/")</f>
        <v/>
      </c>
      <c r="G4696" t="inlineStr">
        <is>
          <t>2020-08-23 23:52:28</t>
        </is>
      </c>
      <c r="H4696" t="inlineStr">
        <is>
          <t>Presumed Positive - From Test</t>
        </is>
      </c>
    </row>
    <row r="4697">
      <c r="A4697" t="inlineStr">
        <is>
          <t>ifk9y1</t>
        </is>
      </c>
      <c r="B4697" t="inlineStr">
        <is>
          <t>Hair loss after effects of covid real</t>
        </is>
      </c>
      <c r="C4697" t="inlineStr">
        <is>
          <t>End of may I tested positive for coronavirus. My symptoms were fatigue, high fever, loss of taste and smell, diarrhea, chills and hot flashes, headache. Most of the symptoms lasted for one and half weeks. The loss of taste and smell lasted for about 3 weeks. My fevers were around 99-103 and it was everyday from morning till I went to sleep. I fully recovered symptom free in about three weeks.
Fast forward to two months later. Hair loss. At first I didn't pay much attention. I would run my hand through my hair and notice maybe one or two pieces come off. A few days go by I was showering and notice a bunch after I was done showering in the tub. I looked at my pillowcase and hair has fallen off and was all over my pillowcase. My hair was thinning I can see my scalp more through my hair. Also the growing has kind of stopped. I usually get a haircut every two weeks and I know the length of my hair. 
I called my doctor and he said usually this is a symptom caused by trauma. Which in my case was the high fevers that lasted for one and a half weeks. It shocked my body and caused my hair to stop growing. He told me its temporary and will last a month or two. I also noticed lines/indent on all my fingernails which is also caused by stress/truama to your body. My nails stopped growing for a period of time but I can see it slowly move up and new good looking nail is growing.
I hope this hair loss is very temporary. I know I have a full head of hair and I don't want to get it to the point where I have to shave it.</t>
        </is>
      </c>
      <c r="D4697" t="n">
        <v>1</v>
      </c>
      <c r="E4697" t="n">
        <v>11</v>
      </c>
      <c r="F4697">
        <f>HYPERLINK("https://www.reddit.com/r/COVID19positive/comments/ifk9y1/hair_loss_after_effects_of_covid_real/")</f>
        <v/>
      </c>
      <c r="G4697" t="inlineStr">
        <is>
          <t>2020-08-24 00:08:21</t>
        </is>
      </c>
      <c r="H4697" t="inlineStr">
        <is>
          <t>Tested Positive</t>
        </is>
      </c>
    </row>
    <row r="4698">
      <c r="A4698" t="inlineStr">
        <is>
          <t>ifkwuo</t>
        </is>
      </c>
      <c r="B4698" t="inlineStr">
        <is>
          <t>21M need advice</t>
        </is>
      </c>
      <c r="C4698" t="inlineStr">
        <is>
          <t>Hey y’all,
So last Tuesday I tested positive for Covid-19 while I was at the hospital for a surgery. They tested me because it was mandatory, to my surprise it was positive due to the fact I didn’t have any kind of symptoms. I spoke to a doctor that was an infectious disease specialist and he said that I was asymptomatic and I should be fine.
Today(last few hours honestly), I’ve been going through YouTube videos on covid and reading this subreddit and I’ve noticed it’s become difficult for me to take a deep breath at times. I don’t know if it’s anxiety and me scaring myself or if it’s actually getting worse.
I’ve been on an antibiotic and an asprin(to prevent clotting) since I left and up until the past few hours I’ve felt pretty normal.</t>
        </is>
      </c>
      <c r="D4698" t="n">
        <v>1</v>
      </c>
      <c r="E4698" t="n">
        <v>10</v>
      </c>
      <c r="F4698">
        <f>HYPERLINK("https://www.reddit.com/r/COVID19positive/comments/ifkwuo/21m_need_advice/")</f>
        <v/>
      </c>
      <c r="G4698" t="inlineStr">
        <is>
          <t>2020-08-24 01:06:45</t>
        </is>
      </c>
      <c r="H4698" t="inlineStr">
        <is>
          <t>Tested Positive - Me</t>
        </is>
      </c>
    </row>
    <row r="4699">
      <c r="A4699" t="inlineStr">
        <is>
          <t>ifl1nj</t>
        </is>
      </c>
      <c r="B4699" t="inlineStr">
        <is>
          <t>**PSA. I caught the virus and I’ve been successfully treating my symptoms myself</t>
        </is>
      </c>
      <c r="C4699" t="inlineStr">
        <is>
          <t>As this subreddit entails, I tested positive. I’ve had the virus for roughly 2 weeks, and I feel great after treating myself, I feel great, as if I were completely normal and in fact no longer infected with the virus. (I have family in the medical field, so I have picked up some things about how medicines tend to interact with the body. I am young, but not in very good health overall, so the virus would’ve wiped me out had I not done what I did.) I will be getting retested in a day from now to confirm that I no longer have the virus. We were able to test early on, within a day showing symptoms. I have been able to get complete and total relief from symptoms by taking immunity supplements (vitamins c, d, zinc), dayquill severe flu, tylenol (to break the initial fever, and then as needed for body aches), and melatonin. The restorative properties from the melatonin and the dayquill severe flu medication has effectively fought the virus while the immunity supplements strengthened my body to take care of the rest. The doctors and other healthcare providers are an absolute bad joke where I live so I’ve been forced into treating myself, with shockingly great success. I can tell you right now, after having had the virus hit me like a freight train for two days straight, and wondering if I was literally going to die, I truly believe that this treatment works, not as a cure but as a way to let your body fight it while treating your symptoms. Had I not done this, I really believe that at best I’d be on life support and at worst I’d be taking up space in a morgue. I haven’t even felt sick for half the time I’ve been taking the treatment during my quarantine. As for the amounts of each medication I’ve been taking, it’s been as much as my body could safely handle for vitamins c and d, and zinc, and then a packet of the dayquill severe twice each day, and then tylenol for any pain if needed.
TL;DR
I caught the virus and I’ve been successfully treating my symptoms by taking the following medications:
Immunity Supplements:
Vitamin C
Vitamin D
Zinc
Medicines:
DayQuill Severe Flu
Melatonin
Tylenol</t>
        </is>
      </c>
      <c r="D4699" t="n">
        <v>1</v>
      </c>
      <c r="E4699" t="n">
        <v>15</v>
      </c>
      <c r="F4699">
        <f>HYPERLINK("https://www.reddit.com/r/COVID19positive/comments/ifl1nj/psa_i_caught_the_virus_and_ive_been_successfully/")</f>
        <v/>
      </c>
      <c r="G4699" t="inlineStr">
        <is>
          <t>2020-08-24 01:18:24</t>
        </is>
      </c>
      <c r="H4699" t="inlineStr">
        <is>
          <t>Tested Positive - Me</t>
        </is>
      </c>
    </row>
    <row r="4700">
      <c r="A4700" t="inlineStr">
        <is>
          <t>ifm7mz</t>
        </is>
      </c>
      <c r="B4700" t="inlineStr">
        <is>
          <t>Symptoms are reshowing after a week.</t>
        </is>
      </c>
      <c r="C4700" t="inlineStr">
        <is>
          <t>My wife, daughter(4y/o presumed positive) and I all tested positive on 8/11. I’m most certain I had it a week or so before 8/11 and gave it to my wife, as I had lost my sense of smell and taste the week prior to testing. My wife and I had no fever, slight shortness of breath, headache, diarrhea, slight cough, chills and loss of senses. My daughter had a cough for 3 day and was fine after. My wife was still having daily zoom appointments with PCP while I was already cleared(8/16). A few appointments before she was cleared (8/20) I started to get a stuffy nose and some minor nasal congestion, PCP said it was most likely allergies because I had no other symptoms at that time. It’s now 8/24 and im having mild fevers, chills, shortness of breath, I’ve had a constant head ache since 8/21, and I’m feeling lethargic. My wife is starting to have a similar problem with the stuffy nose and congestion (Daughter is showing no symptoms atm). We are contacting PCP later today but, I was wondering if anyone else has been cleared by their doctor and started to reshow symptoms afterwards? I’m just worried that we still have covid and it getting worse.</t>
        </is>
      </c>
      <c r="D4700" t="n">
        <v>1</v>
      </c>
      <c r="E4700" t="n">
        <v>5</v>
      </c>
      <c r="F4700">
        <f>HYPERLINK("https://www.reddit.com/r/COVID19positive/comments/ifm7mz/symptoms_are_reshowing_after_a_week/")</f>
        <v/>
      </c>
      <c r="G4700" t="inlineStr">
        <is>
          <t>2020-08-24 03:06:07</t>
        </is>
      </c>
      <c r="H4700" t="inlineStr">
        <is>
          <t>Tested Positive - Family</t>
        </is>
      </c>
    </row>
    <row r="4701">
      <c r="A4701" t="inlineStr">
        <is>
          <t>ifnfq6</t>
        </is>
      </c>
      <c r="B4701" t="inlineStr">
        <is>
          <t>what are the chances of testing PCR positive again?</t>
        </is>
      </c>
      <c r="C4701" t="inlineStr">
        <is>
          <t>Hello all, recently I had to travel to a country that requires negative PCR test before boarding the flight. Surprisingly I tested positive with no symptoms at all, now I've been quarantined for 3 weeks. I rescheduled my flight to 3 weeks later but I can't stop thinking what if I test positive again? is it possible? Am I even infectious? Any insight is appreciated.</t>
        </is>
      </c>
      <c r="D4701" t="n">
        <v>1</v>
      </c>
      <c r="E4701" t="n">
        <v>4</v>
      </c>
      <c r="F4701">
        <f>HYPERLINK("https://www.reddit.com/r/COVID19positive/comments/ifnfq6/what_are_the_chances_of_testing_pcr_positive_again/")</f>
        <v/>
      </c>
      <c r="G4701" t="inlineStr">
        <is>
          <t>2020-08-24 04:47:02</t>
        </is>
      </c>
      <c r="H4701" t="inlineStr">
        <is>
          <t>Tested Positive - Me</t>
        </is>
      </c>
    </row>
    <row r="4702">
      <c r="A4702" t="inlineStr">
        <is>
          <t>ifpv8o</t>
        </is>
      </c>
      <c r="B4702" t="inlineStr">
        <is>
          <t>Wife and myself tested positive, and our 6 month old baby did not. How can we take care of him without passing it to him?</t>
        </is>
      </c>
      <c r="C4702" t="inlineStr">
        <is>
          <t>We put on masks around him all the time, but we still have to take care of him all day. There is just no one else! But we are afraid that anything we do might get him infected. Any advice?</t>
        </is>
      </c>
      <c r="D4702" t="n">
        <v>1</v>
      </c>
      <c r="E4702" t="n">
        <v>13</v>
      </c>
      <c r="F4702">
        <f>HYPERLINK("https://www.reddit.com/r/COVID19positive/comments/ifpv8o/wife_and_myself_tested_positive_and_our_6_month/")</f>
        <v/>
      </c>
      <c r="G4702" t="inlineStr">
        <is>
          <t>2020-08-24 07:19:49</t>
        </is>
      </c>
      <c r="H4702" t="inlineStr">
        <is>
          <t>Tested Positive - Me</t>
        </is>
      </c>
    </row>
    <row r="4703">
      <c r="A4703" t="inlineStr">
        <is>
          <t>ifq6fq</t>
        </is>
      </c>
      <c r="B4703" t="inlineStr">
        <is>
          <t>Tested positive and still recovering</t>
        </is>
      </c>
      <c r="C4703" t="inlineStr">
        <is>
          <t>I hope that just one person reads this and it helps them take this more seriously. Please remember everyone is experiencing COVID differently so I wanted to share what I went through so others know what they might expect.
Background: I'm a 27 year old male who was working from home, only went to the store every two weeks and other than taking my dog outside for bathroom/walk never went outside and haven't seen anyone other than my wife since March. I do live in an apartment building but otherwise I don't know where I could have gotten it. I always wear a mask anytime I step outside my door and wash my hands religiously.
On 7.8 in the AM I was totally normal. By lunch I was tired and had a very slight cough. By dinner I didn't want to get up and was just tired and coughing maybe every 15 minutes. My wife got home from work and isolated herself from me. I was tested the next day (rapid test) along with my wife. I was positive and she was negative. We have a small 1bdrm but she stayed out in the living room and basically locked me into the bedroom and everything food, meds, etc. was passed through the bathroom. She cleaned everything and I wore a mask for two weeks to help ensure she never got it. 
On Thursday 7.9 at night I started to feel slightly sicker. By Friday my cough was much worse and I was very sore and tired. By Friday night into Saturday morning I woke up with a 104 fever, the room was spinning, and my muscles felt like they were being sucked downwards and I struggled hard just to get up out of bed. Thankfully that was the worst night and afterwards I never had a fever go over 100. The next 2 weeks I was barely awake and barely got out of bed. My whole body felt so sore, like I had just run a marathon. On July 23rd and 24th I tested negative and broke quarentine (into my living room). I've had follow up appointments with a few doctors because I'm still having trouble walking and dealing with muscle soreness/weakness. Thankfully my heart, lungs, blood work, etc are good and they think COVID just did alot of damage to my muscles.
Unfortunately I'm still recovering and don't really have a timeline of how long it will take. It's very hard to go from an active runner and playing with my 1 year old puppy to now having to drive her to the dog park because I can't walk the 5 blocks over. Just recently I was able to walk 10 blocks but it took me about an hour and a half and then the next day I was so incredibly tired and sore.
I'm very frustrated by the line "young people are fine if they get COVID" because it's obviously not true for everyone. 
Hopefully reading this will impact people to act differently.
(Side notes on the medications I was taking: an inhaler, daily vitamin, Tylenol for the pain, vitamin D supplement)</t>
        </is>
      </c>
      <c r="D4703" t="n">
        <v>1</v>
      </c>
      <c r="E4703" t="n">
        <v>3</v>
      </c>
      <c r="F4703">
        <f>HYPERLINK("https://www.reddit.com/r/COVID19positive/comments/ifq6fq/tested_positive_and_still_recovering/")</f>
        <v/>
      </c>
      <c r="G4703" t="inlineStr">
        <is>
          <t>2020-08-24 07:37:02</t>
        </is>
      </c>
      <c r="H4703" t="inlineStr">
        <is>
          <t>Tested Positive - Me</t>
        </is>
      </c>
    </row>
    <row r="4704">
      <c r="A4704" t="inlineStr">
        <is>
          <t>ifr34y</t>
        </is>
      </c>
      <c r="B4704" t="inlineStr">
        <is>
          <t>How long after Covid infection to do antibodies tests?</t>
        </is>
      </c>
      <c r="C4704" t="inlineStr">
        <is>
          <t>Hi, I got a strange rash on the plantar side of both feet and palmar side of both hands last month and did several blood tests (C reactive protein, hiv, syphilis, HBA1c, CBC to name just a few.) They all came back NEGATIVE. 
My doctor could not explain the apparition of the rash, but some people who tested positive for covid seem to have experienced very similar rashes. 
I can’t afford doing an antibody right now because it’s about 130$ in my city and I’m just a student trying to save money! I’m wondering how long do I have to do that antibodies test? Are antibodies detectable for an indeterminate amount of time or only for a couple of weeks after the infection? 
I’m (embarrassingly) a science student and I feel like this is a silly question, but I really need an answer. Thank you!</t>
        </is>
      </c>
      <c r="D4704" t="n">
        <v>1</v>
      </c>
      <c r="E4704" t="n">
        <v>4</v>
      </c>
      <c r="F4704">
        <f>HYPERLINK("https://www.reddit.com/r/COVID19positive/comments/ifr34y/how_long_after_covid_infection_to_do_antibodies/")</f>
        <v/>
      </c>
      <c r="G4704" t="inlineStr">
        <is>
          <t>2020-08-24 08:25:53</t>
        </is>
      </c>
      <c r="H4704" t="inlineStr">
        <is>
          <t>Presumed Positive - From Doctor</t>
        </is>
      </c>
    </row>
    <row r="4705">
      <c r="A4705" t="inlineStr">
        <is>
          <t>ifrgpd</t>
        </is>
      </c>
      <c r="B4705" t="inlineStr">
        <is>
          <t>Anyone experiencing weakness and weight loss months after positive result?</t>
        </is>
      </c>
      <c r="C4705" t="inlineStr">
        <is>
          <t>I no longer have it, my symptoms stopped on june 26th and no symptoms have came back, however, i feel extremely weak; when going up the stairs my legs still get extremely tired and even 15lb dumb bells feel heavy when trying to lift weights. I've also lost about 10 lbs this month unintentionally; i dont know whats going on and im trying to narrow things down as to what it can be. Its been 2 months</t>
        </is>
      </c>
      <c r="D4705" t="n">
        <v>1</v>
      </c>
      <c r="E4705" t="n">
        <v>7</v>
      </c>
      <c r="F4705">
        <f>HYPERLINK("https://www.reddit.com/r/COVID19positive/comments/ifrgpd/anyone_experiencing_weakness_and_weight_loss/")</f>
        <v/>
      </c>
      <c r="G4705" t="inlineStr">
        <is>
          <t>2020-08-24 08:45:35</t>
        </is>
      </c>
      <c r="H4705" t="inlineStr">
        <is>
          <t>Tested Positive - Me</t>
        </is>
      </c>
    </row>
    <row r="4706">
      <c r="A4706" t="inlineStr">
        <is>
          <t>ifs69v</t>
        </is>
      </c>
      <c r="B4706" t="inlineStr">
        <is>
          <t>IgG and IgM both positive?</t>
        </is>
      </c>
      <c r="C4706" t="inlineStr">
        <is>
          <t>2 weeks after testing positive (PCR test) I went and got blood test done. Both were positive. I know IgM is the first antibody to appear after infection so I was wondering if anyone knows around how long IgM sticks around for.</t>
        </is>
      </c>
      <c r="D4706" t="n">
        <v>1</v>
      </c>
      <c r="E4706" t="n">
        <v>4</v>
      </c>
      <c r="F4706">
        <f>HYPERLINK("https://www.reddit.com/r/COVID19positive/comments/ifs69v/igg_and_igm_both_positive/")</f>
        <v/>
      </c>
      <c r="G4706" t="inlineStr">
        <is>
          <t>2020-08-24 09:22:50</t>
        </is>
      </c>
      <c r="H4706" t="inlineStr">
        <is>
          <t>Tested Positive - Me</t>
        </is>
      </c>
    </row>
    <row r="4707">
      <c r="A4707" t="inlineStr">
        <is>
          <t>ifs6iz</t>
        </is>
      </c>
      <c r="B4707" t="inlineStr">
        <is>
          <t>Tested yesterday and it came back positive</t>
        </is>
      </c>
      <c r="C4707" t="inlineStr">
        <is>
          <t>Now what? 
I live with 4 at risk family members. My mom who has every malady known to man, my father who is disabled, my elderly grandmother, and my diabetic sister.
What do I do now? I dont have a primary care physician because I don't have insurance.
I'm just sort of lost on what's the next step once you test positive. I feel fine. I've got a little phlegm in my chest, a stuffy nose, and some soreness. No fever.</t>
        </is>
      </c>
      <c r="D4707" t="n">
        <v>1</v>
      </c>
      <c r="E4707" t="n">
        <v>5</v>
      </c>
      <c r="F4707">
        <f>HYPERLINK("https://www.reddit.com/r/COVID19positive/comments/ifs6iz/tested_yesterday_and_it_came_back_positive/")</f>
        <v/>
      </c>
      <c r="G4707" t="inlineStr">
        <is>
          <t>2020-08-24 09:23:09</t>
        </is>
      </c>
      <c r="H4707" t="inlineStr">
        <is>
          <t>Tested Positive - Me</t>
        </is>
      </c>
    </row>
    <row r="4708">
      <c r="A4708" t="inlineStr">
        <is>
          <t>ifsttq</t>
        </is>
      </c>
      <c r="B4708" t="inlineStr">
        <is>
          <t>Shortness of breath but very little cough?</t>
        </is>
      </c>
      <c r="C4708" t="inlineStr">
        <is>
          <t>I am on day 6 of symptoms. I thought I was feeling a little better yesterday so I tried some short walks around our property (alone, very private area with no one around) and i was a little winded but not too bad. Today I feel very short of breath with even small amounts of activity, I am extremely achey and exhausted and have had had terrible stomach pains and diarrhea since about midnight. However, I only have occasional bouts of coughing even though I feel short of breath most of the time unless I'm lying down. I am worried I'm getting worse. Has anyone else had similar progression?</t>
        </is>
      </c>
      <c r="D4708" t="n">
        <v>1</v>
      </c>
      <c r="E4708" t="n">
        <v>3</v>
      </c>
      <c r="F4708">
        <f>HYPERLINK("https://www.reddit.com/r/COVID19positive/comments/ifsttq/shortness_of_breath_but_very_little_cough/")</f>
        <v/>
      </c>
      <c r="G4708" t="inlineStr">
        <is>
          <t>2020-08-24 09:55:21</t>
        </is>
      </c>
      <c r="H4708" t="inlineStr">
        <is>
          <t>Tested Positive - Me</t>
        </is>
      </c>
    </row>
    <row r="4709">
      <c r="A4709" t="inlineStr">
        <is>
          <t>ifsyx4</t>
        </is>
      </c>
      <c r="B4709" t="inlineStr">
        <is>
          <t>Anyone still just not 100%?</t>
        </is>
      </c>
      <c r="C4709" t="inlineStr">
        <is>
          <t>Hello. I’m a 37 yr old female. Normal weight and general good heath. I got Covid on August 5th. I’ve mostly been a hermit since all this started,  in March, but my dumb luck I got it from lunch with a friend. I have asthma but my oxygen has been fine this whole time. I felt like I had a bad cold/flu for ten days. Never once felt like I needed to go to the ER or anything. Just really tired (I’m usually not a sleeper), mild temp, achey. Even hurt to walk. I’m better and out of quarantine, but I still just don’t have the same energy I had before. I’m legit on season five of the Golden Girls by now 😩😂.   Anyone else feel that way or have I just gotten lazy? Also, I know age is a big factor. I have two kids who were with me the whole time who tested negative. I know someone who is 23, tested positive (not from me) and didn’t get one symptom. The person I got it from is 29 and was sick three day’s.  Longer for me at 37.  Just an observation.</t>
        </is>
      </c>
      <c r="D4709" t="n">
        <v>1</v>
      </c>
      <c r="E4709" t="n">
        <v>18</v>
      </c>
      <c r="F4709">
        <f>HYPERLINK("https://www.reddit.com/r/COVID19positive/comments/ifsyx4/anyone_still_just_not_100/")</f>
        <v/>
      </c>
      <c r="G4709" t="inlineStr">
        <is>
          <t>2020-08-24 10:02:03</t>
        </is>
      </c>
      <c r="H4709" t="inlineStr">
        <is>
          <t>Tested Positive - Me</t>
        </is>
      </c>
    </row>
    <row r="4710">
      <c r="A4710" t="inlineStr">
        <is>
          <t>iftf80</t>
        </is>
      </c>
      <c r="B4710" t="inlineStr">
        <is>
          <t>Turns out, not allergies</t>
        </is>
      </c>
      <c r="C4710" t="inlineStr">
        <is>
          <t>I've been occasionally checking my temp, and August 10th I noticed it was slightly elevated.  Like 99.1 F. By no means a fever, but I figured I'd keep an eye on it. 
August 12th, I was very tired and went to bed early at like 8pm. But I also have a 10 month old who is exhausting so I didn't think too much of it. 
August 17th my allergies had been acting up, but I wasn't sure what was blooming. Nothing severe, didn't even need to blow my nose, just felt itchy and some sinus pressure. This evening, I had a worse reaction and was sneezing a lot. Netipot and a benedryl worked so I figured it was from using a blanket my cat had slept on. 
August 19th I finally decided to call the doctor to get their advice on this not-a-fever that would come and go. Since I measured between 99.1 and 99.6 five times in the past week, I just found it too weird. They said get tested just in case, so i did. At the test my temp was 98.4. It never rose again. 
August 24th I called about my results. When she pulled it up then said she needed to forward me to the nurse my heart dropped. Positive. I was shocked.
 Never had a definitive fever, or digestion issues, or loss of senses, or flu like symptoms. Everything I did experience had other reasons.  Slight body ache, but I had recently started working out again. Tight chest, I have mild asthma.  Headache and itchy nose, allergies. If I hadn't been checking my temp for fun I would have never even known. There's not really a way to know what was covid and what was 'normal', so if you just feel off, it doesn't hurt to get tested. And wear your mask!!!</t>
        </is>
      </c>
      <c r="D4710" t="n">
        <v>1</v>
      </c>
      <c r="E4710" t="n">
        <v>21</v>
      </c>
      <c r="F4710">
        <f>HYPERLINK("https://www.reddit.com/r/COVID19positive/comments/iftf80/turns_out_not_allergies/")</f>
        <v/>
      </c>
      <c r="G4710" t="inlineStr">
        <is>
          <t>2020-08-24 10:25:05</t>
        </is>
      </c>
      <c r="H4710" t="inlineStr">
        <is>
          <t>Tested Positive - Me</t>
        </is>
      </c>
    </row>
    <row r="4711">
      <c r="A4711" t="inlineStr">
        <is>
          <t>ifzcdu</t>
        </is>
      </c>
      <c r="B4711" t="inlineStr">
        <is>
          <t>COVID and running.</t>
        </is>
      </c>
      <c r="C4711" t="inlineStr">
        <is>
          <t>I caught the virus about a month ago. I had two weeks of flu like symptoms. Lucky I didn’t have it that bad and got over it. A few weeks before my cardio was at its best in a while, 5 mile runs 2xs a week about around 9 minute miles. And doing good overall, now 2 weeks after the sickness I’m having trouble running 2 miles. Just finished a 17 minute 2 mile! I’ve done way better then this. Does anyone else have experience  like this? I know the virus attacks your lungs, but it’s very discouraging knowing I took 10 steps back, how long will my lungs be like this.
Please don’t reply with “at least you recovered”, just want to see if anymore has the same experiences as me.</t>
        </is>
      </c>
      <c r="D4711" t="n">
        <v>1</v>
      </c>
      <c r="E4711" t="n">
        <v>12</v>
      </c>
      <c r="F4711">
        <f>HYPERLINK("https://www.reddit.com/r/COVID19positive/comments/ifzcdu/covid_and_running/")</f>
        <v/>
      </c>
      <c r="G4711" t="inlineStr">
        <is>
          <t>2020-08-24 15:21:43</t>
        </is>
      </c>
      <c r="H4711" t="inlineStr">
        <is>
          <t>Tested Positive - Me</t>
        </is>
      </c>
    </row>
    <row r="4712">
      <c r="A4712" t="inlineStr">
        <is>
          <t>ifzxl6</t>
        </is>
      </c>
      <c r="B4712" t="inlineStr">
        <is>
          <t>Is it normal to have positive IgM after a month of having the Covid?</t>
        </is>
      </c>
      <c r="C4712" t="inlineStr">
        <is>
          <t>So, first of all, thanks for reading this post.
About a month ago i started having a strong headache, lost of smell and taste and some fever. Did the PCR exam and the result was positive for the Covid.
After fifteen days, i gor the result of the serology exam and my IgM was 1.1UA/mL and the IgG was 10.0UA/mL. That was in 03/08/20.
I did another serology last week and the got the results today. My IgM still shows and 1.1UA/mL the IgG got up to 11.8UA/mL.
My question is: is it normal to have this numbers even after a month of having the virus? For what i have been reading, i'm not surprised by the IgG result, but the IgM got me thinking... and i'm worried that i might still be transmissing the damn thing.
I need to discuss this to maybe find the more accurate answer... Anyway, thanks again for the help!</t>
        </is>
      </c>
      <c r="D4712" t="n">
        <v>1</v>
      </c>
      <c r="E4712" t="n">
        <v>4</v>
      </c>
      <c r="F4712">
        <f>HYPERLINK("https://www.reddit.com/r/COVID19positive/comments/ifzxl6/is_it_normal_to_have_positive_igm_after_a_month/")</f>
        <v/>
      </c>
      <c r="G4712" t="inlineStr">
        <is>
          <t>2020-08-24 15:54:29</t>
        </is>
      </c>
      <c r="H4712" t="inlineStr">
        <is>
          <t>Tested Positive - Me</t>
        </is>
      </c>
    </row>
    <row r="4713">
      <c r="A4713" t="inlineStr">
        <is>
          <t>ig16bp</t>
        </is>
      </c>
      <c r="B4713" t="inlineStr">
        <is>
          <t>Nothing sits in my stomach constant light green diarrhea -Day 38</t>
        </is>
      </c>
      <c r="C4713" t="inlineStr">
        <is>
          <t>Nothing sits in my stomach, constant diarrhea day 38
Everything I eat causes this weird light green diarrhea even though I don’t eat anything green
Anti diarrhea medicine just hardens the upcoming stool but then its right back to diarrhea
Anyone have the same problem if so is there a fix to it?</t>
        </is>
      </c>
      <c r="D4713" t="n">
        <v>1</v>
      </c>
      <c r="E4713" t="n">
        <v>6</v>
      </c>
      <c r="F4713">
        <f>HYPERLINK("https://www.reddit.com/r/COVID19positive/comments/ig16bp/nothing_sits_in_my_stomach_constant_light_green/")</f>
        <v/>
      </c>
      <c r="G4713" t="inlineStr">
        <is>
          <t>2020-08-24 17:06:59</t>
        </is>
      </c>
      <c r="H4713" t="inlineStr">
        <is>
          <t>Tested Positive - Me</t>
        </is>
      </c>
    </row>
    <row r="4714">
      <c r="A4714" t="inlineStr">
        <is>
          <t>ig1ich</t>
        </is>
      </c>
      <c r="B4714" t="inlineStr">
        <is>
          <t>The after effects</t>
        </is>
      </c>
      <c r="C4714" t="inlineStr">
        <is>
          <t>I have noticed after recovery that my lung capacity is a lot lower than before . That after working out for longer than an hour I find it harder to breath the rest of the day . I used to run for 3-4 hours a day but now I can barely last an hour and struggling at that . Just wondering if anybody else is noticing the lower capacity of their lungs and if it ever gets better .</t>
        </is>
      </c>
      <c r="D4714" t="n">
        <v>1</v>
      </c>
      <c r="E4714" t="n">
        <v>14</v>
      </c>
      <c r="F4714">
        <f>HYPERLINK("https://www.reddit.com/r/COVID19positive/comments/ig1ich/the_after_effects/")</f>
        <v/>
      </c>
      <c r="G4714" t="inlineStr">
        <is>
          <t>2020-08-24 17:26:40</t>
        </is>
      </c>
      <c r="H4714" t="inlineStr">
        <is>
          <t>Tested Positive - Me</t>
        </is>
      </c>
    </row>
    <row r="4715">
      <c r="A4715" t="inlineStr">
        <is>
          <t>ig1w7e</t>
        </is>
      </c>
      <c r="B4715" t="inlineStr">
        <is>
          <t>Fat Survivor :)</t>
        </is>
      </c>
      <c r="C4715" t="inlineStr">
        <is>
          <t>I wanted to give my experience as a late-20’s overweight casual smoker. Before I got COVID I would lurk on this sub/other subs like this, and I would see that all the recovery stories were from very healthy, average weight, non smokers with zero preexisting conditions. I always wanted to hear of someone closer to my statistics who didn’t die.
So I’m female, 28, 5’8, and around 285lb. I smoked regularly (maybe a pack every two weeks). I had been smoking for about 6 years at this point.
My initial symptoms were extremely sore throat with blisters. I thought I had strep. Throat swab was negative for strep. My sore throat lasted 3-4 days. No fever or any other symptoms. Shortly after it subsided, I got the worst “cold” of my life. That lasted for 5 days. Cough, runny nose, chest congestion. I couldn’t sleep. 
When it seemed like my cold was finally ending, I suddenly lost my sense of smell completely. I panicked, but I knew exactly what it was. Two days after losing my sense of smell, I couldn’t breathe. It took an incredible effort to walk more than 5 steps. I would be gasping for air after walking my dog the 6 feet to my front yard. That was the absolute scariest week of my life. This past Friday is what I believe was my “peak.” I lost my appetite, had horrible stomach issues, and I was confined to my bed as I could not move without getting winded.
I can happily say that today is the best I’ve felt in three weeks. I can finally breathe. I can walk more than 10 feet without getting winded. I have my appetite back. 
I just wanted to let people know that fat people can survive this!</t>
        </is>
      </c>
      <c r="D4715" t="n">
        <v>1</v>
      </c>
      <c r="E4715" t="n">
        <v>115</v>
      </c>
      <c r="F4715">
        <f>HYPERLINK("https://www.reddit.com/r/COVID19positive/comments/ig1w7e/fat_survivor/")</f>
        <v/>
      </c>
      <c r="G4715" t="inlineStr">
        <is>
          <t>2020-08-24 17:49:55</t>
        </is>
      </c>
      <c r="H4715" t="inlineStr">
        <is>
          <t>Presumed Positive - From Doctor</t>
        </is>
      </c>
    </row>
    <row r="4716">
      <c r="A4716" t="inlineStr">
        <is>
          <t>ig1zft</t>
        </is>
      </c>
      <c r="B4716" t="inlineStr">
        <is>
          <t>Any evidence of being contagious/infecting others 10 days after symptom onset?</t>
        </is>
      </c>
      <c r="C4716" t="inlineStr">
        <is>
          <t>TL;DR: I know the general consensus is that you likely aren't contagious 10 days after symptom onset, but is there any evidence to the contrary? Do you know of anyone who contracted COVID from someone who was past 10 days of symptoms and thought they were in the clear?
**My Story**
I came in contact with a pre-symptomatic person on  August 1st and started showing symptoms on August 4th. My first test was negative, and then 5 days later I took another that was positive.  Acute symptoms lasted about a week and luckily they were very mild - nose congestion, loss of smell, partial loss of taste, diarrhea for the first two days, and the highest temp I got was 99.5 that lasted for about an hour on the first day of symptoms. Never any cough or SOB. My congestion cleared and I regained most of my smell by the 14th. Since then I've just dealt with some fatigue, and anxiety issues (but honestly, that's me at any given time so I can't really say if that's covid's fault). For the most part I'm back to normal. Also, my husband tested 3 times since I've tested positive and they have all been negative. 
My parents are coming into town and I would really love to see them, but obviously I am also terrified of infecting them. I am scheduled for another test tomorrow but I know I could still test positive and not be contagious, or test negative and still have the virus (my first test was a false negative, so I don't really have much faith in testing to begin with). I'm just wondering if anyone has heard of any instances where someone DID infect someone else even after the CDC recommended 10 days? I know it's basically impossible to know with 100% certainty if we're still contagious after 3+ weeks or not based on what I've read, so right now anecdotal evidence is the best we've got.</t>
        </is>
      </c>
      <c r="D4716" t="n">
        <v>1</v>
      </c>
      <c r="E4716" t="n">
        <v>11</v>
      </c>
      <c r="F4716">
        <f>HYPERLINK("https://www.reddit.com/r/COVID19positive/comments/ig1zft/any_evidence_of_being_contagiousinfecting_others/")</f>
        <v/>
      </c>
      <c r="G4716" t="inlineStr">
        <is>
          <t>2020-08-24 17:55:21</t>
        </is>
      </c>
      <c r="H4716" t="inlineStr">
        <is>
          <t>Tested Positive - Me</t>
        </is>
      </c>
    </row>
    <row r="4717">
      <c r="A4717" t="inlineStr">
        <is>
          <t>ig2xgh</t>
        </is>
      </c>
      <c r="B4717" t="inlineStr">
        <is>
          <t>My Lingering Symptoms</t>
        </is>
      </c>
      <c r="C4717" t="inlineStr">
        <is>
          <t>Hi. 
Just found out that these groups exist (shared this post in a Facebook group as well) and wanted to put out my experience. 
Flu like symptoms the 3rd week of March in northern Utah. Couldn't get tested I couldn't identify a vector. Was staying with my parents at the time. Dad got sick too. Doctor sent me back to Denver because they thought I just had influenza. Dad then identified a possible vector, tested positive, and though I know it's variable, the rest of the household all tested positive for antibodies later, including me. Didn't bring it home, however, as my household in Denver has tested negative. 
Primary lingering issue is that food tastes like someone mixed it with sulfur. The regular flavors are present, but covered by a taste like they'd been cooked in a geyser. Not all food, not all the time, and no way to predict other than it's mostly savory things. That is linked to continued GI tract issues. Also experiencing fatigue and stamina issues, lack of sleep, and frequent racing heart rate. I've also had a pretty notable shift in demeanor, depression, and anxiety, though that last is hard to quantify given the general but massive increase in stress in my life recently. 
I was forwarded to long hauler groups by a friend after a particularly difficult week. Just knowing that there are others out there is helpful, as trying to describe what I'm going through even to my closest confidants feels like i can't do it justice. Thanks for doing it. 
Really hoping to see improvement soon. We'll see.</t>
        </is>
      </c>
      <c r="D4717" t="n">
        <v>1</v>
      </c>
      <c r="E4717" t="n">
        <v>6</v>
      </c>
      <c r="F4717">
        <f>HYPERLINK("https://www.reddit.com/r/COVID19positive/comments/ig2xgh/my_lingering_symptoms/")</f>
        <v/>
      </c>
      <c r="G4717" t="inlineStr">
        <is>
          <t>2020-08-24 18:54:37</t>
        </is>
      </c>
      <c r="H4717" t="inlineStr">
        <is>
          <t>Presumed Positive - From Doctor</t>
        </is>
      </c>
    </row>
    <row r="4718">
      <c r="A4718" t="inlineStr">
        <is>
          <t>ig3sgp</t>
        </is>
      </c>
      <c r="B4718" t="inlineStr">
        <is>
          <t>18 y/o male with a mild/average case, tried to workout today and..</t>
        </is>
      </c>
      <c r="C4718" t="inlineStr">
        <is>
          <t>it’s day 10 since exposure for me. my only symptom today was no taste/smell. i tried to workout for a bit today and i was heavy breathing for a long time after which is unlike me. is this possible even though i haven’t had any other shortness of breath symptoms? also, how long following my recovery will i be able to do physical activity without decreased lung function?</t>
        </is>
      </c>
      <c r="D4718" t="n">
        <v>1</v>
      </c>
      <c r="E4718" t="n">
        <v>4</v>
      </c>
      <c r="F4718">
        <f>HYPERLINK("https://www.reddit.com/r/COVID19positive/comments/ig3sgp/18_yo_male_with_a_mildaverage_case_tried_to/")</f>
        <v/>
      </c>
      <c r="G4718" t="inlineStr">
        <is>
          <t>2020-08-24 19:48:38</t>
        </is>
      </c>
      <c r="H4718" t="inlineStr">
        <is>
          <t>Tested Positive - Me</t>
        </is>
      </c>
    </row>
    <row r="4719">
      <c r="A4719" t="inlineStr">
        <is>
          <t>ig4aro</t>
        </is>
      </c>
      <c r="B4719" t="inlineStr">
        <is>
          <t>School and working during a pandemic</t>
        </is>
      </c>
      <c r="C4719" t="inlineStr">
        <is>
          <t>Recently I started work AND school at the same time during COVID. And everything has been super different. Does anyone else feel that way?</t>
        </is>
      </c>
      <c r="D4719" t="n">
        <v>1</v>
      </c>
      <c r="E4719" t="n">
        <v>2</v>
      </c>
      <c r="F4719">
        <f>HYPERLINK("https://www.reddit.com/r/COVID19positive/comments/ig4aro/school_and_working_during_a_pandemic/")</f>
        <v/>
      </c>
      <c r="G4719" t="inlineStr">
        <is>
          <t>2020-08-24 20:21:17</t>
        </is>
      </c>
      <c r="H4719" t="inlineStr">
        <is>
          <t>Presumed Positive - From Doctor</t>
        </is>
      </c>
    </row>
    <row r="4720">
      <c r="A4720" t="inlineStr">
        <is>
          <t>ig4uaj</t>
        </is>
      </c>
      <c r="B4720" t="inlineStr">
        <is>
          <t>Can’t tell if taste&amp;amp;smell fully back</t>
        </is>
      </c>
      <c r="C4720" t="inlineStr">
        <is>
          <t>I can’t tell if they’re 100% back. If you ask me to taste something or smell something I can do it but I just feel like somethings off... i feel like it might also be psychological. Is there any way to like test this?</t>
        </is>
      </c>
      <c r="D4720" t="n">
        <v>1</v>
      </c>
      <c r="E4720" t="n">
        <v>5</v>
      </c>
      <c r="F4720">
        <f>HYPERLINK("https://www.reddit.com/r/COVID19positive/comments/ig4uaj/cant_tell_if_tastesmell_fully_back/")</f>
        <v/>
      </c>
      <c r="G4720" t="inlineStr">
        <is>
          <t>2020-08-24 20:56:14</t>
        </is>
      </c>
      <c r="H4720" t="inlineStr">
        <is>
          <t>Tested Positive - Me</t>
        </is>
      </c>
    </row>
    <row r="4721">
      <c r="A4721" t="inlineStr">
        <is>
          <t>ig5679</t>
        </is>
      </c>
      <c r="B4721" t="inlineStr">
        <is>
          <t>Anyone here that has had a false positive?</t>
        </is>
      </c>
      <c r="C4721" t="inlineStr">
        <is>
          <t>I got an abnormal one day and the next day I went to two places to get a retest. Neg for both. Same with those living with me which is impossible because we've literally shared food throughout these past weeks and been in close contact. I am beyond frustrated because the first place is insisting that I must still be positive and refusing a retest or an antibody test.</t>
        </is>
      </c>
      <c r="D4721" t="n">
        <v>1</v>
      </c>
      <c r="E4721" t="n">
        <v>2</v>
      </c>
      <c r="F4721">
        <f>HYPERLINK("https://www.reddit.com/r/COVID19positive/comments/ig5679/anyone_here_that_has_had_a_false_positive/")</f>
        <v/>
      </c>
      <c r="G4721" t="inlineStr">
        <is>
          <t>2020-08-24 21:19:35</t>
        </is>
      </c>
      <c r="H4721" t="inlineStr">
        <is>
          <t>Presumed Positive - From Doctor</t>
        </is>
      </c>
    </row>
    <row r="4722">
      <c r="A4722" t="inlineStr">
        <is>
          <t>ig5cum</t>
        </is>
      </c>
      <c r="B4722" t="inlineStr">
        <is>
          <t>Has anyone had to be hospitalized more than once?</t>
        </is>
      </c>
      <c r="C4722" t="inlineStr">
        <is>
          <t>So I am on my second hospitalization for covid and I’m so over it!
I was hospitalized last Friday (8/14) and was released this past Saturday (8/22). And I got readmitted today due to my oxygen levels. 
I was first admitted at 77% and I got back up to 96% ( without oxygen support) after covid treatment and other meds. Sent home with covid and viral pneumonia. 
Readmitted with oxygen stats at 84%
My doctor I have is just amazed that I’m back but I guess I’m not?  I’m one of her younger patients, 29, with no other medical issues minus being overweight. 
I just wanna be home with my kids. This is killing me 😭😭</t>
        </is>
      </c>
      <c r="D4722" t="n">
        <v>1</v>
      </c>
      <c r="E4722" t="n">
        <v>5</v>
      </c>
      <c r="F4722">
        <f>HYPERLINK("https://www.reddit.com/r/COVID19positive/comments/ig5cum/has_anyone_had_to_be_hospitalized_more_than_once/")</f>
        <v/>
      </c>
      <c r="G4722" t="inlineStr">
        <is>
          <t>2020-08-24 21:32:44</t>
        </is>
      </c>
      <c r="H4722" t="inlineStr">
        <is>
          <t>Tested Positive - Me</t>
        </is>
      </c>
    </row>
    <row r="4723">
      <c r="A4723" t="inlineStr">
        <is>
          <t>ig5x0p</t>
        </is>
      </c>
      <c r="B4723" t="inlineStr">
        <is>
          <t>How many days until you had no more symptoms?</t>
        </is>
      </c>
      <c r="C4723" t="inlineStr">
        <is>
          <t>I'm on like the 12 day of my symptoms and I almost feel normal but I just now realized I feel a little bit of flem stuck in my lungs. Really the worst is the anxiety so can you please tell me something that'll make me feel at ease? I'm 30 years old otherwise healthy.</t>
        </is>
      </c>
      <c r="D4723" t="n">
        <v>1</v>
      </c>
      <c r="E4723" t="n">
        <v>3</v>
      </c>
      <c r="F4723">
        <f>HYPERLINK("https://www.reddit.com/r/COVID19positive/comments/ig5x0p/how_many_days_until_you_had_no_more_symptoms/")</f>
        <v/>
      </c>
      <c r="G4723" t="inlineStr">
        <is>
          <t>2020-08-24 22:15:08</t>
        </is>
      </c>
      <c r="H4723" t="inlineStr">
        <is>
          <t>Tested Positive - Me</t>
        </is>
      </c>
    </row>
    <row r="4724">
      <c r="A4724" t="inlineStr">
        <is>
          <t>ig6jgp</t>
        </is>
      </c>
      <c r="B4724" t="inlineStr">
        <is>
          <t>No cough but irritation in the lungs</t>
        </is>
      </c>
      <c r="C4724" t="inlineStr">
        <is>
          <t>Hi everyone. I've recently been tested positive for Covid19. I have no symptoms, except for a ticklish feeling in my lower respiratory tract when I breathe in that makes me want to cough but I don't unless I force it. Should I be concerned? I also smoke occasionally, if that helps. Feedback and advice would be appreciated</t>
        </is>
      </c>
      <c r="D4724" t="n">
        <v>1</v>
      </c>
      <c r="E4724" t="n">
        <v>12</v>
      </c>
      <c r="F4724">
        <f>HYPERLINK("https://www.reddit.com/r/COVID19positive/comments/ig6jgp/no_cough_but_irritation_in_the_lungs/")</f>
        <v/>
      </c>
      <c r="G4724" t="inlineStr">
        <is>
          <t>2020-08-24 23:05:53</t>
        </is>
      </c>
      <c r="H4724" t="inlineStr">
        <is>
          <t>Tested Positive - Me</t>
        </is>
      </c>
    </row>
    <row r="4725">
      <c r="A4725" t="inlineStr">
        <is>
          <t>ig7b3w</t>
        </is>
      </c>
      <c r="B4725" t="inlineStr">
        <is>
          <t>Interesting and could help a lot of people!</t>
        </is>
      </c>
      <c r="C4725" t="inlineStr">
        <is>
          <t>My doctor told me something really interesting the other day that could help you understand your positive test result better. I’m currently at the hospital because I tested positive twice out of 3 tests. I’ve had no symptoms at all, but in the efforts to reduce my contact with people their protocol is to keep me here for a while. 
Back in May I had coronavirus, but was advised to stay home since my case was mild. Right now I’m at the hospital because I tested positive twice within the last 10 days, even though I have no symptoms and travelled with someone who tested negative twice. They’re finding a lot of people are testing positive months after they’ve recovered because the PCR test only detects if the virus is in your system, and does not detect if it is alive or dead. 
The virus tends to linger in the body for months after you’ve fought it off, and doctors don’t know why. In my case we know that the virus is dead, because I’ve shown no symptoms for almost two weeks and people I was around all tested negative. The strange thing is that I will continue to test positive because the virus is still in my system. If you’re testing positive and you had the virus months ago, this could be the reason why. Apparently there is another test they can do to check if the virus is active or not, but it is a very complicated process. 
I hope this can give you some clarity if you’re testing positive and are asymptomatic, or if you were previously infected by it. 
Wishing you guys all the best and a speedy recovery!</t>
        </is>
      </c>
      <c r="D4725" t="n">
        <v>1</v>
      </c>
      <c r="E4725" t="n">
        <v>11</v>
      </c>
      <c r="F4725">
        <f>HYPERLINK("https://www.reddit.com/r/COVID19positive/comments/ig7b3w/interesting_and_could_help_a_lot_of_people/")</f>
        <v/>
      </c>
      <c r="G4725" t="inlineStr">
        <is>
          <t>2020-08-25 00:11:22</t>
        </is>
      </c>
      <c r="H4725" t="inlineStr">
        <is>
          <t>Tested Positive - Me</t>
        </is>
      </c>
    </row>
    <row r="4726">
      <c r="A4726" t="inlineStr">
        <is>
          <t>ig7pa6</t>
        </is>
      </c>
      <c r="B4726" t="inlineStr">
        <is>
          <t>We’re waiting it out.</t>
        </is>
      </c>
      <c r="C4726" t="inlineStr">
        <is>
          <t>Hi, so I (19f) posted on here on the 23/08 absolutely freaked out as I had just found out a friend I had seen on 20/08 tested positive on 22/08. She showed her first symptom on 24/08 (loss of smell) and thinks she might’ve gotten infected around 18-19/08 at work. My father and I tested on the night of 23/08 and the results came back negative. So did my friend’s sister, mother, and nanny, and they all came back negative. I’m really hoping that it’s not a false negative and am holding on to the fact that she might not have been infectious yet when I had seen her, but either way I’m self-isolating in my room for the next few days. I’ll try to get tested again on the 28/08 just to be on the safe side of things. So far I don’t have any symptoms except anxiety but that’s usual with me lol. 
If I miraculously test negative again, my family and I decided to sign up for the Sinopharm Phase 3 clinical trial for their vaccine (it’s in Abu Dhabi). After the scare I experienced, I realize how important this vaccine is and being young I think I can contribute positively to the study. 
Anyway, wish me luck!</t>
        </is>
      </c>
      <c r="D4726" t="n">
        <v>1</v>
      </c>
      <c r="E4726" t="n">
        <v>4</v>
      </c>
      <c r="F4726">
        <f>HYPERLINK("https://www.reddit.com/r/COVID19positive/comments/ig7pa6/were_waiting_it_out/")</f>
        <v/>
      </c>
      <c r="G4726" t="inlineStr">
        <is>
          <t>2020-08-25 00:47:21</t>
        </is>
      </c>
      <c r="H4726" t="inlineStr">
        <is>
          <t>Tested Positive - Friends</t>
        </is>
      </c>
    </row>
    <row r="4727">
      <c r="A4727" t="inlineStr">
        <is>
          <t>igauh3</t>
        </is>
      </c>
      <c r="B4727" t="inlineStr">
        <is>
          <t>Still testing positive for IgG antibodies 5 months later - what does it mean?</t>
        </is>
      </c>
      <c r="C4727" t="inlineStr">
        <is>
          <t>Got sick in early April at the height of cases in the NY metro area. Low grade fever, body aches, minor nausea, horrible headache, and lost smell completely. I never took a PCR (nasal swab) during symptoms but tele-doctor said assume you have it. 
A couple weeks after recovering I took my first antibody test with Quest Diagnostics. It came back positive for IgG antibodies. Everyone I spoke too basically said it was a crap test and can’t be trusted. I figured why not get another test from another lab... fast forward 2 more weeks and I took a rapid antibody test from AyTu Labs. It came back instantly positive for IgG antibodies. Again - everyone said that was a crap test and can’t be trusted.
So - I decided every month I will get an antibody test to see how long and how consistent they come back positive. I’ve now taken 3 more antibody tests (June/July/August) all through LabCorp - 2 were Abbott labs and 1 was DiaSorin ... all came back positive. 
Media says these antibodies will fade - my don’t seem to be fading. 
Media says antibody tests aren’t reliable - mine have been consistently positive - 5 for 5
Bottom line question ... when can I safely assume I have immunity? 
Btw - another interesting tidbit: I’ve reached out to 7 blood banks about plasma donation and have yet to get a single call back.</t>
        </is>
      </c>
      <c r="D4727" t="n">
        <v>1</v>
      </c>
      <c r="E4727" t="n">
        <v>14</v>
      </c>
      <c r="F4727">
        <f>HYPERLINK("https://www.reddit.com/r/COVID19positive/comments/igauh3/still_testing_positive_for_igg_antibodies_5/")</f>
        <v/>
      </c>
      <c r="G4727" t="inlineStr">
        <is>
          <t>2020-08-25 05:06:44</t>
        </is>
      </c>
      <c r="H4727" t="inlineStr">
        <is>
          <t>Tested Positive - Me</t>
        </is>
      </c>
    </row>
    <row r="4728">
      <c r="A4728" t="inlineStr">
        <is>
          <t>igd2vz</t>
        </is>
      </c>
      <c r="B4728" t="inlineStr">
        <is>
          <t>Doc says that someone with COPD and high blood pressure isn't at risk. Thanks Sherlock</t>
        </is>
      </c>
      <c r="C4728" t="inlineStr">
        <is>
          <t>(I caught covid in March, my mum either didn't catch it or was incredibly lucky and didn't have 100% noticeables symptoms.)
My mum has COPD and high blood pressure. She obviously is at risk, every doc she talked with recognises it... except today's doc. 
My mum's a teacher, school starts next Monday, cases are rising again in my country (France), no measures are being taken except masks. No distancing, no online school, nothing. So, she went to the doc today, it wasn't her habitual doc (which is also incompetent but at least recognises that she's at risk). This one didn't offer any explanation to her vertigo sensations she's been having for the last two weeks, she was like "blood pressure's fine" and that's it. My mother asked if she should go back to school (she won't but needs a doctor's note). This doc told her "you're not at risk, people at risk are 65+". And bye. I am very angry: this is pathetic and hilarious in a way... 
Of course, this doc didn't wear a N95 mask - although she could, they're available to docs here, my mum's doc has them. What the fucking fuck. 
0/10 won't try this doc again. I'll have to check if I can report her somewhere... of course this is France, docs never face any consequence anyway.</t>
        </is>
      </c>
      <c r="D4728" t="n">
        <v>1</v>
      </c>
      <c r="E4728" t="n">
        <v>2</v>
      </c>
      <c r="F4728">
        <f>HYPERLINK("https://www.reddit.com/r/COVID19positive/comments/igd2vz/doc_says_that_someone_with_copd_and_high_blood/")</f>
        <v/>
      </c>
      <c r="G4728" t="inlineStr">
        <is>
          <t>2020-08-25 07:19:46</t>
        </is>
      </c>
      <c r="H4728" t="inlineStr">
        <is>
          <t>Presumed Positive - From Doctor</t>
        </is>
      </c>
    </row>
    <row r="4729">
      <c r="A4729" t="inlineStr">
        <is>
          <t>igdaz2</t>
        </is>
      </c>
      <c r="B4729" t="inlineStr">
        <is>
          <t>Prayers Needed for my Uncle</t>
        </is>
      </c>
      <c r="C4729" t="inlineStr">
        <is>
          <t>Hi everyone!  My uncle, 77, with preexisting conditions, is in the ICU fighting for his life.  He will be put on the ventilator soon.  Please please say a prayer for him, his name is Toa.  He needs all the prayers!!
Our family is working with his team to do everything to keep him alive, even though they're telling us  the prognosis is not good, and even suggesting that the ventilator wont help him much.  
Thank you all so much!!</t>
        </is>
      </c>
      <c r="D4729" t="n">
        <v>1</v>
      </c>
      <c r="E4729" t="n">
        <v>67</v>
      </c>
      <c r="F4729">
        <f>HYPERLINK("https://www.reddit.com/r/COVID19positive/comments/igdaz2/prayers_needed_for_my_uncle/")</f>
        <v/>
      </c>
      <c r="G4729" t="inlineStr">
        <is>
          <t>2020-08-25 07:32:07</t>
        </is>
      </c>
      <c r="H4729" t="inlineStr">
        <is>
          <t>Tested Positive - Family</t>
        </is>
      </c>
    </row>
    <row r="4730">
      <c r="A4730" t="inlineStr">
        <is>
          <t>igddqg</t>
        </is>
      </c>
      <c r="B4730" t="inlineStr">
        <is>
          <t>Tested positive on 08/21 - Nurse prescribed antibiotics and steroid, pretty sure that's wrong?</t>
        </is>
      </c>
      <c r="C4730" t="inlineStr">
        <is>
          <t>Hi everyone,  
24M, healthy, 6ft 200lbs so technically overweight by BMI standards but probably around 15% bodyfat
&amp;amp;#x200B;
I tested positive for Covid 19 on Friday last week, that would make today day 5 since my symptoms have started. 
Day 1-2: pretty severe fatigue/ mild headache/ and dry cough caused by what felt like post nasal drip
Day 3: Runny nose, sinuses hit hard, headache
Night 3: sinuses continue to be bad, fever all night around 101 but not exceeding 101
Day 4: No more fever, shortness of breath, mild chest pain, chest tightness - these were a little scary since I've never had something like this before
Day 5: I feel alright, just tired and some coughing. Lost sense of smell and taste
&amp;amp;#x200B;
Now, my doctor prescribed me prednisone a couple days prior to my positive test (at that point I tested negative - the steroid was for a cough I have been complaining about for a couple months now after a bad flu in December). I know that steroids are immunosuppresive so I figured I'll hold off on that. My doctor is currently on leave and the substitute nurse told me to go ahead and take the prednisone AND prescribed me an antibiotic, saying "some people have felt better taking an antibiotic during covid". Based on quick search results antibiotics nor steroids should be used to treat covid, should I get a second opinion?  
Also, as a side note, when do I know like I'm over the hill with this thing? Am I safe to assume that things will improve from now on?  
Thanks.</t>
        </is>
      </c>
      <c r="D4730" t="n">
        <v>1</v>
      </c>
      <c r="E4730" t="n">
        <v>10</v>
      </c>
      <c r="F4730">
        <f>HYPERLINK("https://www.reddit.com/r/COVID19positive/comments/igddqg/tested_positive_on_0821_nurse_prescribed/")</f>
        <v/>
      </c>
      <c r="G4730" t="inlineStr">
        <is>
          <t>2020-08-25 07:36:28</t>
        </is>
      </c>
      <c r="H4730" t="inlineStr">
        <is>
          <t>Tested Positive - Me</t>
        </is>
      </c>
    </row>
    <row r="4731">
      <c r="A4731" t="inlineStr">
        <is>
          <t>igdl9o</t>
        </is>
      </c>
      <c r="B4731" t="inlineStr">
        <is>
          <t>Relatively good experience with covid?</t>
        </is>
      </c>
      <c r="C4731" t="inlineStr">
        <is>
          <t>I’m aware this is unpopular opinion and I’m down-playing the severity of the virus, but i had a pretty good experience with it. My only symptoms were itchy throat, mild body aches for two days, some sinus pressure that lasted 2-3 days and lost of taste/smell(didn’t bother me bc I could eat/drink literally anything). I got over two weeks paid leave and was able to catch up on my studies and exercise more so than normal(at home of course). All around it was a good mental health break. Has anyone else has a similar experience?</t>
        </is>
      </c>
      <c r="D4731" t="n">
        <v>1</v>
      </c>
      <c r="E4731" t="n">
        <v>38</v>
      </c>
      <c r="F4731">
        <f>HYPERLINK("https://www.reddit.com/r/COVID19positive/comments/igdl9o/relatively_good_experience_with_covid/")</f>
        <v/>
      </c>
      <c r="G4731" t="inlineStr">
        <is>
          <t>2020-08-25 07:48:01</t>
        </is>
      </c>
      <c r="H4731" t="inlineStr">
        <is>
          <t>Tested Positive - Me</t>
        </is>
      </c>
    </row>
    <row r="4732">
      <c r="A4732" t="inlineStr">
        <is>
          <t>igevon</t>
        </is>
      </c>
      <c r="B4732" t="inlineStr">
        <is>
          <t>73 year old grand-aunt diagnosed with coronavirus</t>
        </is>
      </c>
      <c r="C4732" t="inlineStr">
        <is>
          <t>My grand-aunt has been diagnosed with COVID. She is relatively healthy and exercises everyday. She has no health problems except for a heart surgery she had years ago (I am not sure about the details however)
We are not sure about how she contracted the virus, she has not had any human interaction with anyone else except for her immediate family (who all tested negative)
A kind stranger from r/teenagers directed me to this sub, any advice you guys would give?
Thank you!</t>
        </is>
      </c>
      <c r="D4732" t="n">
        <v>1</v>
      </c>
      <c r="E4732" t="n">
        <v>5</v>
      </c>
      <c r="F4732">
        <f>HYPERLINK("https://www.reddit.com/r/COVID19positive/comments/igevon/73_year_old_grandaunt_diagnosed_with_coronavirus/")</f>
        <v/>
      </c>
      <c r="G4732" t="inlineStr">
        <is>
          <t>2020-08-25 08:56:06</t>
        </is>
      </c>
      <c r="H4732" t="inlineStr">
        <is>
          <t>Tested Positive - Family</t>
        </is>
      </c>
    </row>
    <row r="4733">
      <c r="A4733" t="inlineStr">
        <is>
          <t>igf8d3</t>
        </is>
      </c>
      <c r="B4733" t="inlineStr">
        <is>
          <t>What can you do for a patient in ICU?</t>
        </is>
      </c>
      <c r="C4733" t="inlineStr">
        <is>
          <t>Hi everyone, just wanted to look for some ideas so that we can make my uncle'a stay in the ICU more comfortable to hopefully help him with the recovery process.  Other than delivering home cooked meals, anything else you recommend doing?  Any suggestions that you have done for your loved ones, or you know of someone doing, please let me know.  I am trying to care for my uncle from thousands of miles away.  Thank you all. ❤️</t>
        </is>
      </c>
      <c r="D4733" t="n">
        <v>1</v>
      </c>
      <c r="E4733" t="n">
        <v>6</v>
      </c>
      <c r="F4733">
        <f>HYPERLINK("https://www.reddit.com/r/COVID19positive/comments/igf8d3/what_can_you_do_for_a_patient_in_icu/")</f>
        <v/>
      </c>
      <c r="G4733" t="inlineStr">
        <is>
          <t>2020-08-25 09:14:18</t>
        </is>
      </c>
      <c r="H4733" t="inlineStr">
        <is>
          <t>Tested Positive - Family</t>
        </is>
      </c>
    </row>
    <row r="4734">
      <c r="A4734" t="inlineStr">
        <is>
          <t>igfl38</t>
        </is>
      </c>
      <c r="B4734" t="inlineStr">
        <is>
          <t>Entire family just tested positive.</t>
        </is>
      </c>
      <c r="C4734" t="inlineStr">
        <is>
          <t>Any tips will be greatly appreciated</t>
        </is>
      </c>
      <c r="D4734" t="n">
        <v>1</v>
      </c>
      <c r="E4734" t="n">
        <v>4</v>
      </c>
      <c r="F4734">
        <f>HYPERLINK("https://www.reddit.com/r/COVID19positive/comments/igfl38/entire_family_just_tested_positive/")</f>
        <v/>
      </c>
      <c r="G4734" t="inlineStr">
        <is>
          <t>2020-08-25 09:32:13</t>
        </is>
      </c>
      <c r="H4734" t="inlineStr">
        <is>
          <t>Tested Positive - Family</t>
        </is>
      </c>
    </row>
    <row r="4735">
      <c r="A4735" t="inlineStr">
        <is>
          <t>igglqm</t>
        </is>
      </c>
      <c r="B4735" t="inlineStr">
        <is>
          <t>Family is recovering after 6 days</t>
        </is>
      </c>
      <c r="C4735" t="inlineStr">
        <is>
          <t>My family and I are all pretty much recovered. I know I don’t want to speak soon but it literally just felt like a mild cold for us. The only one that showed symptoms was me and I just coughing, headache, fatigue for a couple days. I wouldn’t have guessed it’s COVID I would’ve just thought it were a cold and only got tested because I was headed out of town for a friends wedding and she knew I was sick so I said I’d get tested for peace of mind. 
I have a BMI 20, non-smoker, exercise almost daily. My 4 and 6 year old coughed a few times and that was it. Husband just had fatigue. I don’t know if I actually believe we were positive but I’m thrilled that we’re over and done with it. It was not so bad 🤷🏻‍♀️ The isolation is the hardest part, six more days of boredom lol.</t>
        </is>
      </c>
      <c r="D4735" t="n">
        <v>1</v>
      </c>
      <c r="E4735" t="n">
        <v>3</v>
      </c>
      <c r="F4735">
        <f>HYPERLINK("https://www.reddit.com/r/COVID19positive/comments/igglqm/family_is_recovering_after_6_days/")</f>
        <v/>
      </c>
      <c r="G4735" t="inlineStr">
        <is>
          <t>2020-08-25 10:21:16</t>
        </is>
      </c>
      <c r="H4735" t="inlineStr">
        <is>
          <t>Tested Positive - Family</t>
        </is>
      </c>
    </row>
    <row r="4736">
      <c r="A4736" t="inlineStr">
        <is>
          <t>igivkc</t>
        </is>
      </c>
      <c r="B4736" t="inlineStr">
        <is>
          <t>To those who infected family members</t>
        </is>
      </c>
      <c r="C4736" t="inlineStr">
        <is>
          <t>Hello everyone, this is my first post on reddit. Today i had a bad day, i woke up at around 3am with severe pain in my ear. Later today it spread to my throat, so i went to the doctor and she thinks it's covid. I did a test and tomorrow i will know the results. However, yesterday i went to my grandparents, i always keep distance, but this time i forgot my mask. I also live with my mom. What if i infected them? I wouldn't know how to handle it. They are my everything.. I was always so careful, yesterday i didn't feel anything! I feel so guilty, i think if tomorrow the test is positive i might give up...</t>
        </is>
      </c>
      <c r="D4736" t="n">
        <v>1</v>
      </c>
      <c r="E4736" t="n">
        <v>2</v>
      </c>
      <c r="F4736">
        <f>HYPERLINK("https://www.reddit.com/r/COVID19positive/comments/igivkc/to_those_who_infected_family_members/")</f>
        <v/>
      </c>
      <c r="G4736" t="inlineStr">
        <is>
          <t>2020-08-25 12:12:25</t>
        </is>
      </c>
      <c r="H4736" t="inlineStr">
        <is>
          <t>Presumed Positive - From Test</t>
        </is>
      </c>
    </row>
    <row r="4737">
      <c r="A4737" t="inlineStr">
        <is>
          <t>igizcy</t>
        </is>
      </c>
      <c r="B4737" t="inlineStr">
        <is>
          <t>A day by day account of how Covid affected me.</t>
        </is>
      </c>
      <c r="C4737" t="inlineStr">
        <is>
          <t>I tested positive on Sunday.
Recap
Day 1 Friday night I had a sore throat
Day 2 Saturday night I had a headache, body aches, sore throat, and low grade fever.
Day 3 Sunday: I tested that morning. Felt fine low grade fever. Body aches
Day 4 Monday: received my + test result. no more fever. Low appetite. 
Day 5 Tuesday:
My temperature has been steady at 98.7F-99.8 depending if I've been under the blanket. My O2 has been at 97 to 99 consistently. 
Since this morning these are my current symptoms:
-A little phlegm in my throat that I cough and spit out whenever I can pull it up.
-headache
-weird tingly feeling in my nasal cavity which lead to loss of smell in my left nostril only
- semi stuffy nose
- TMI but I started my period so I attributed my cramps and back pain to that and not Covid.
- I've noticed that I have less of an attention span I cant really focus when talking on the phone with a friend the most I can hope for is 5 to 10 minutes before i zone out. Idk if that's a me thing or not
Aside from what's listed above I feel fine. Yesterday I went on a walk in my backyard with a mask on just to stretch my legs. U plan to do that again I know I'll beat this. I'm just glad that so far I have what seems like a mild case. 
I received a lot of good advice from this sub so I figured perhaps I can provide some insight on how I'm coping. Thankfully my mother is an awesome Haitian woman who swears by natural medicine. On top of my regular doses of Tylenol I have been drinking so many different teas and roots. I am forever grateful to my support system. 
The remainder of my family have gotten tested today. So now we wait.</t>
        </is>
      </c>
      <c r="D4737" t="n">
        <v>1</v>
      </c>
      <c r="E4737" t="n">
        <v>18</v>
      </c>
      <c r="F4737">
        <f>HYPERLINK("https://www.reddit.com/r/COVID19positive/comments/igizcy/a_day_by_day_account_of_how_covid_affected_me/")</f>
        <v/>
      </c>
      <c r="G4737" t="inlineStr">
        <is>
          <t>2020-08-25 12:17:43</t>
        </is>
      </c>
      <c r="H4737" t="inlineStr">
        <is>
          <t>Tested Positive - Me</t>
        </is>
      </c>
    </row>
    <row r="4738">
      <c r="A4738" t="inlineStr">
        <is>
          <t>igjuus</t>
        </is>
      </c>
      <c r="B4738" t="inlineStr">
        <is>
          <t>Friend positive, 50 year old, oxygen at 91, refuses to go to doctor, does he need to see a doctor now?</t>
        </is>
      </c>
      <c r="C4738" t="inlineStr">
        <is>
          <t>I have a friend who was confirmed as positive this weekend, I believe he has been sick about a week, but getting worst now, he is 50. I don’t think he is high risk but I do know that more than a few of his family members have asthma.
He bought a portable oxygen level machine that has shows his oxygen level showing at 91%-92%.
He is one those people who just doesn’t like going to the doctor, I’m not sure if I need to pressure him even more to at least visit an emergency center? Or not? Very stubborn.</t>
        </is>
      </c>
      <c r="D4738" t="n">
        <v>1</v>
      </c>
      <c r="E4738" t="n">
        <v>22</v>
      </c>
      <c r="F4738">
        <f>HYPERLINK("https://www.reddit.com/r/COVID19positive/comments/igjuus/friend_positive_50_year_old_oxygen_at_91_refuses/")</f>
        <v/>
      </c>
      <c r="G4738" t="inlineStr">
        <is>
          <t>2020-08-25 13:02:12</t>
        </is>
      </c>
      <c r="H4738" t="inlineStr">
        <is>
          <t>Tested Positive - Friends</t>
        </is>
      </c>
    </row>
    <row r="4739">
      <c r="A4739" t="inlineStr">
        <is>
          <t>igkqfg</t>
        </is>
      </c>
      <c r="B4739" t="inlineStr">
        <is>
          <t>tested positive in july and only starting to ha e weird symptoms now</t>
        </is>
      </c>
      <c r="C4739" t="inlineStr">
        <is>
          <t>Hi guys. I tested positive in july and it was mainly like a flu for a few days and then i was fine for a good couple of weeks. However, i am feeling like i am more shaky than usual and especially at night can feel my heart beating loudly arouns my entire body.  My blood test was all normal except low red blood cells. 
Is this a covid symptom?</t>
        </is>
      </c>
      <c r="D4739" t="n">
        <v>1</v>
      </c>
      <c r="E4739" t="n">
        <v>10</v>
      </c>
      <c r="F4739">
        <f>HYPERLINK("https://www.reddit.com/r/COVID19positive/comments/igkqfg/tested_positive_in_july_and_only_starting_to_ha_e/")</f>
        <v/>
      </c>
      <c r="G4739" t="inlineStr">
        <is>
          <t>2020-08-25 13:47:30</t>
        </is>
      </c>
      <c r="H4739" t="inlineStr">
        <is>
          <t>Tested Positive - Me</t>
        </is>
      </c>
    </row>
    <row r="4740">
      <c r="A4740" t="inlineStr">
        <is>
          <t>igktl8</t>
        </is>
      </c>
      <c r="B4740" t="inlineStr">
        <is>
          <t>How to safely support my friend who contracted covid?</t>
        </is>
      </c>
      <c r="C4740" t="inlineStr">
        <is>
          <t>Just a little background, I have not been in contact with this friend for a little while. He used to live in my apartment complex but moved to a house near ish at the start of the semester. I did not know he had covid until he casually brought up how he was self quarantining in our gc. I’m probably overreacting a little, but It startled me to hear it and now I want to do everything I can to make sure he’s ok and that he recovers and is happy. I am pretty sure he is at low risk of being heavily impacted by covid, as in he is younger with no pre existing medical concerns that I’m aware of. He’s said he feels fine with just a head cold and stuffy nose at the moment. Still, I’m a person who gets worried very easily so I just want to do what I can to help him out.
I was thinking of making him healthy home meals or getting groceries for him whenever he needs it. Otherwise Im making sure to check in on him and providing moral support. He’s told me he’s fine for now on groceries, but I’m wondering if there are any specific foods or vitamins that might help things along. I will be doing research, but I thought I’d ask here in case anyone had any personal experience with this and what might be best to get him.
Thanks!</t>
        </is>
      </c>
      <c r="D4740" t="n">
        <v>1</v>
      </c>
      <c r="E4740" t="n">
        <v>7</v>
      </c>
      <c r="F4740">
        <f>HYPERLINK("https://www.reddit.com/r/COVID19positive/comments/igktl8/how_to_safely_support_my_friend_who_contracted/")</f>
        <v/>
      </c>
      <c r="G4740" t="inlineStr">
        <is>
          <t>2020-08-25 13:52:06</t>
        </is>
      </c>
      <c r="H4740" t="inlineStr">
        <is>
          <t>Tested Positive - Friends</t>
        </is>
      </c>
    </row>
    <row r="4741">
      <c r="A4741" t="inlineStr">
        <is>
          <t>iglknf</t>
        </is>
      </c>
      <c r="B4741" t="inlineStr">
        <is>
          <t>Just lost my smell and taste</t>
        </is>
      </c>
      <c r="C4741" t="inlineStr">
        <is>
          <t>I had a terrible headache and light fever last Wednesday, didn't care about it too much. Took tylenol and then it went away. But I just lost my smell and taste completely this past Sunday. I just got tested yesterday and still waiting for the result. 
I am pretty sure I am covid positive from all the symptoms i am facing now. At what week do you guys start to regain taste and smell? I am worried :(</t>
        </is>
      </c>
      <c r="D4741" t="n">
        <v>1</v>
      </c>
      <c r="E4741" t="n">
        <v>9</v>
      </c>
      <c r="F4741">
        <f>HYPERLINK("https://www.reddit.com/r/COVID19positive/comments/iglknf/just_lost_my_smell_and_taste/")</f>
        <v/>
      </c>
      <c r="G4741" t="inlineStr">
        <is>
          <t>2020-08-25 14:30:56</t>
        </is>
      </c>
      <c r="H4741" t="inlineStr">
        <is>
          <t>Presumed Positive - From Test</t>
        </is>
      </c>
    </row>
    <row r="4742">
      <c r="A4742" t="inlineStr">
        <is>
          <t>igm9dj</t>
        </is>
      </c>
      <c r="B4742" t="inlineStr">
        <is>
          <t>Canadian uninsured in the US, COVID positive, options</t>
        </is>
      </c>
      <c r="C4742" t="inlineStr">
        <is>
          <t>How did people who are uninsured do with COVID doctors visit.
Have a friend who is 50 who has COVID, unfortunately one of the other persons who is now infected is a Canadian visiting, uninsured in the US, I believe he is 44 years old.
I think so far, he is “OK”, very sick but OK, but someone who is worried about going to the doctor, this is in Florida so driving to the border sounds difficult, I doubt he would be allowed on a plane, his symptoms are obvious and has fever, someone else driving him to Canada sounds too risky for who ever is driving him.
Do Canadians have other options while in the US? I doubt it, but maybe?</t>
        </is>
      </c>
      <c r="D4742" t="n">
        <v>1</v>
      </c>
      <c r="E4742" t="n">
        <v>5</v>
      </c>
      <c r="F4742">
        <f>HYPERLINK("https://www.reddit.com/r/COVID19positive/comments/igm9dj/canadian_uninsured_in_the_us_covid_positive/")</f>
        <v/>
      </c>
      <c r="G4742" t="inlineStr">
        <is>
          <t>2020-08-25 15:08:12</t>
        </is>
      </c>
      <c r="H4742" t="inlineStr">
        <is>
          <t>Tested Positive - Friends</t>
        </is>
      </c>
    </row>
    <row r="4743">
      <c r="A4743" t="inlineStr">
        <is>
          <t>ignt0p</t>
        </is>
      </c>
      <c r="B4743" t="inlineStr">
        <is>
          <t>This is garbage</t>
        </is>
      </c>
      <c r="C4743" t="inlineStr">
        <is>
          <t>How come if a family member tests positive, then i subsequently test negative AND avoid contact with them, the testing person still says i can’t go to school?</t>
        </is>
      </c>
      <c r="D4743" t="n">
        <v>1</v>
      </c>
      <c r="E4743" t="n">
        <v>14</v>
      </c>
      <c r="F4743">
        <f>HYPERLINK("https://www.reddit.com/r/COVID19positive/comments/ignt0p/this_is_garbage/")</f>
        <v/>
      </c>
      <c r="G4743" t="inlineStr">
        <is>
          <t>2020-08-25 16:38:19</t>
        </is>
      </c>
      <c r="H4743" t="inlineStr">
        <is>
          <t>Tested Positive - Family</t>
        </is>
      </c>
    </row>
    <row r="4744">
      <c r="A4744" t="inlineStr">
        <is>
          <t>igohjt</t>
        </is>
      </c>
      <c r="B4744" t="inlineStr">
        <is>
          <t>Fever for 5 months</t>
        </is>
      </c>
      <c r="C4744" t="inlineStr">
        <is>
          <t>Hi everyone!
I’m a 31 year old female who before this, was healthy-no preexisting conditions of any kind. 
I got sick with a pretty deep cough in April. At the time, testing wasn’t available. A week after this cough, I developed a low grade fever. It has never gone away, and it’s been 5 months. If ranges anywhere from 99.5-100.6 every single day. It peaks with activity I have noticed. If I am not active, it will still peak around mid day. I have fatigue, dizziness and spots in my vision-which I chalk up to relating to the fever. 
I have had a full body CT scan, blood tests, inflammation markers checked, and the tests have all come back ODDLY normal. 
My doctor is stumped, because no one can confirm if I in fact had COVID. I just don’t know what would be causing me this much trouble, I was otherwise healthy before this. Anyone else?</t>
        </is>
      </c>
      <c r="D4744" t="n">
        <v>1</v>
      </c>
      <c r="E4744" t="n">
        <v>23</v>
      </c>
      <c r="F4744">
        <f>HYPERLINK("https://www.reddit.com/r/COVID19positive/comments/igohjt/fever_for_5_months/")</f>
        <v/>
      </c>
      <c r="G4744" t="inlineStr">
        <is>
          <t>2020-08-25 17:19:58</t>
        </is>
      </c>
      <c r="H4744" t="inlineStr">
        <is>
          <t>Presumed Positive - From Doctor</t>
        </is>
      </c>
    </row>
    <row r="4745">
      <c r="A4745" t="inlineStr">
        <is>
          <t>igok2m</t>
        </is>
      </c>
      <c r="B4745" t="inlineStr">
        <is>
          <t>Well. I got tested positive.</t>
        </is>
      </c>
      <c r="C4745" t="inlineStr">
        <is>
          <t>So this all happened about a week ago to date. For some background info, I work for a small auto shop chain, the store I’m at, with 6 staff members total, myself included. 
On last Wednesday, my manager came in saying she wasn’t feeling good. She wore her mask of course and my coworkers and I all told her she needs to go home. Eventually she did, but she only left an hour early. 
On Thursday she was back in, saying she felt “fine” but obviously she was still under the weather. It has the rest of the staff on edge but fortunately for them they could easily distance themselves for the work day. I, however, didn’t have the same luxury. We shared and office space and so naturally I’m an easy target for getting sick. Thursday and Friday go by without incident and we say bye for the weekend. Saturday I was running around and having a good old time. 
Then Sunday hit. And it hit like a freight train. 
I had a fever right out the gate sitting in the 101-102F. I get a message from my manager saying she’s not gonna be in on Monday since she’s still feeling sick. And that’s when it hit me that it might be Covid. I instantly reach out to my  the upper big boss and let him know what’s going down. I tell him I’ve been running a fever but I could still come in, innocently praying it wasn’t Covid, and he tells me to stay home and keep an eye on it. 
Monday. I don’t even remember what happened on Monday. All I know is my Fiancée (who’s showing no symptoms yet) managed to schedule a Covid test.  Now that I’m coherent enough, she tells me that my fever spiked to 104 and I couldn’t walk. I started developing a progressive cough and it’s now while I’m relatively clear headed I’m realizing that I can’t taste anything. It’s weird, like everything has this same dead numb taste. Like it actually taste like some of my tastebuds have been rotting. Pair it up with congestion and it’s a total nightmare. 
And that brings us to today. I got the results back this afternoon and I tested positive for COVID-19. My fiancée and I are now going to sleep and stay in opposite ends of the house. And as of right now my fever sat at 102 this morning but has finally dropped to 98.5, probably because of the amount of Tylenol I’ve ingested.  I’m clear headed for the time being but the last three days have been a blur. I haven’t heard from my boss if she’s positive or not yet but I’m positive she’s the origin for me. Fortunately we think our friends and family are safe but my fiancée has already been exposed to me unknowingly since Wednesday. Fortunately she’s got a seriously kick ass immune system. She may actually fight this one off. 
I know Covid has a lot of mixed air about it, shaming, conspiracy, not as bad as it seems, and whatnot. Whatever the case may be, it still sucks seeing your name show up with a giant red bold lettered “POSITIVE” next to it. I’m hoping the fever will break soon, but I’m sure tonight is going to be rough... do your part and stay healthy.</t>
        </is>
      </c>
      <c r="D4745" t="n">
        <v>1</v>
      </c>
      <c r="E4745" t="n">
        <v>17</v>
      </c>
      <c r="F4745">
        <f>HYPERLINK("https://www.reddit.com/r/COVID19positive/comments/igok2m/well_i_got_tested_positive/")</f>
        <v/>
      </c>
      <c r="G4745" t="inlineStr">
        <is>
          <t>2020-08-25 17:24:19</t>
        </is>
      </c>
      <c r="H4745" t="inlineStr">
        <is>
          <t>Tested Positive - Me</t>
        </is>
      </c>
    </row>
    <row r="4746">
      <c r="A4746" t="inlineStr">
        <is>
          <t>igoqq8</t>
        </is>
      </c>
      <c r="B4746" t="inlineStr">
        <is>
          <t>My Husband and 5 y/o son both tested positive last week. But our 4 y/o son and I both tested negative today. How can that be?!</t>
        </is>
      </c>
      <c r="C4746" t="inlineStr">
        <is>
          <t>I’m SO confused. Last Wednesday I started coming down with symptoms. Cough, nasal drip, sore throat, headache and fatigue. I feel fine now. I was supposed to be a bridesmaid at my best friend’s wedding that weekend so I had my 5 year old son and husband get tested because they’re able to go somewhere with a rapid test and get results in an hour (lucky ducks). Anyway so Thursday comes around and they both test, BOTH ARE POSITIVE. So we assume I’m positive also and we all stay home (so sad to miss my friends wedding). They both have little to mild symptoms really, and none today. I was sicker than both of them. They’re both fine now. Well we’re all fine now truly. 
So on Friday I take a test, I just got my results today and they are negative. What the crap? I’m pissed if I missed my best friends wedding for a fucking cold. I’m so mad. I also don’t understand how it’s negative as my husband and I have had sex multiple times since he’s been positive and obviously close interaction as we live together, so how can it be negative? Should I get tested again? My 4 year old son also tested negative today. Has this happened to anyone else and what was the outcome? Thanks for reading.</t>
        </is>
      </c>
      <c r="D4746" t="n">
        <v>1</v>
      </c>
      <c r="E4746" t="n">
        <v>10</v>
      </c>
      <c r="F4746">
        <f>HYPERLINK("https://www.reddit.com/r/COVID19positive/comments/igoqq8/my_husband_and_5_yo_son_both_tested_positive_last/")</f>
        <v/>
      </c>
      <c r="G4746" t="inlineStr">
        <is>
          <t>2020-08-25 17:36:01</t>
        </is>
      </c>
      <c r="H4746" t="inlineStr">
        <is>
          <t>Tested Positive - Family</t>
        </is>
      </c>
    </row>
    <row r="4747">
      <c r="A4747" t="inlineStr">
        <is>
          <t>igoz7m</t>
        </is>
      </c>
      <c r="B4747" t="inlineStr">
        <is>
          <t>Angry at myself, me against the world</t>
        </is>
      </c>
      <c r="C4747" t="inlineStr">
        <is>
          <t>I am mad. 
Ever since  the virus outbreak I’ve been extremely anal about seeing other people, I quit my job and found one that was fully remote, never went outside, never went to restaurants, nothing. Unfortunately I had to end a long term relationship as well because of covid issues. After heartbreak and a couple of months I decided to go on a date with one person, I asked her if she had covid etc and she said no. Long story short, I have all the symptoms for covid and I got tested. 
It’s frustrating to see my friends going to bars seeing other friends and I’m shelled up in my home only to get it the only time I decide to let my guard down. It doesn’t help that It took me a year to recover from a concussion and now have nerve damage so I can’t ride my bike which is a huge part of me. I really feel so lonely and depressed that my life might not be the same because of the virus. Help please.  
thank you for listening to my rant.</t>
        </is>
      </c>
      <c r="D4747" t="n">
        <v>1</v>
      </c>
      <c r="E4747" t="n">
        <v>179</v>
      </c>
      <c r="F4747">
        <f>HYPERLINK("https://www.reddit.com/r/COVID19positive/comments/igoz7m/angry_at_myself_me_against_the_world/")</f>
        <v/>
      </c>
      <c r="G4747" t="inlineStr">
        <is>
          <t>2020-08-25 17:51:11</t>
        </is>
      </c>
      <c r="H4747" t="inlineStr">
        <is>
          <t>Presumed Positive - From Test</t>
        </is>
      </c>
    </row>
    <row r="4748">
      <c r="A4748" t="inlineStr">
        <is>
          <t>igpcvw</t>
        </is>
      </c>
      <c r="B4748" t="inlineStr">
        <is>
          <t>19 days since the symptoms started - Still feeling sick, perhaps going crazy?</t>
        </is>
      </c>
      <c r="C4748" t="inlineStr">
        <is>
          <t>Hi everyone! Since now I apologize for any mistakes on my english and any additional inf that is not needed, I'm quite nervous but I will try to make it as short as possible - I'm 23F - I don't have the sense of smell since birth but I can taste - Respiratory issues related with my nasal septum, I was waiting for a surgery before all of this
I saw a family member on August 1st, he got a Positive on August 6th - On the same day where I was feeling something funny-not-funny on my chest. It felt like a light congestion, but then I became a pressure on my chest-ribs and a headache along with a high temperature (the highest temperature that I got was 37.4° F), I was pretty dizzy and couldn't sleep for the general pain on my body - The only thing that help with it was cold towels on all my body.  This was really intense for 3-4 days.
On August 10th I got the antigen test, the results came a day after and was negative. I was still feeling the pressure, the congestion, I was having trouble sleeping because I couldn't breathe. I wasn't severe, I just woke up because I needed more oxygen. I could eat a small piece of something and felt really full, at the same time with nhausea but I just had to eat slow to avoid throw it up. The headache goes away with some dolex pills.
On August 16 I got the PCR test, the results came on August 19 and say that I'm a positive. 
Since August 20th I notice my neck swollen, I can see it and touch it. I have some cough, my voice gets scratchy and my throat hurts sometimes, it feels swollen inside. The headache comes and goes even with dipyrone pills. I'm still having issues with breathing even when I'm awake, the vaporub used to help but not anymore. My mind feels dizzy, like when you get hit and it's hard to think.
I live with my boyfriend, he got some 'light' symptoms and got the PCR test on August 21 which came back as negative today.
All the symptoms are not serious enough to go to the ER but when I talk to the doctors they say that I'm a Recover case because the 14 days since my first day with the symptoms already passed. But I'm still feeling really sick, I don't know if they believe that I'm making it up but I'm not. I feel distressed, I try to work (callcenter from home) but I can't stand my shift. What should I do?</t>
        </is>
      </c>
      <c r="D4748" t="n">
        <v>1</v>
      </c>
      <c r="E4748" t="n">
        <v>6</v>
      </c>
      <c r="F4748">
        <f>HYPERLINK("https://www.reddit.com/r/COVID19positive/comments/igpcvw/19_days_since_the_symptoms_started_still_feeling/")</f>
        <v/>
      </c>
      <c r="G4748" t="inlineStr">
        <is>
          <t>2020-08-25 18:15:09</t>
        </is>
      </c>
      <c r="H4748" t="inlineStr">
        <is>
          <t>Tested Positive - Me</t>
        </is>
      </c>
    </row>
    <row r="4749">
      <c r="A4749" t="inlineStr">
        <is>
          <t>igpplx</t>
        </is>
      </c>
      <c r="B4749" t="inlineStr">
        <is>
          <t>Persistent mucus/sinus infection smell, no nasal obstruction or other symptoms</t>
        </is>
      </c>
      <c r="C4749" t="inlineStr">
        <is>
          <t>I had my first symptoms 18 days ago (fever, aches) and a sore throat and stuffy nose 2 weeks ago. Ever since then I have been symptom free except for what smells like a sinus infection, but little to no nasal obstruction. All I can smell is a mucus-like odor in my nose though, and when I'm sniffing something that does have a strong scent, it only amplifies the mucus smell and nothing else gets through. Has anyone else experienced this? I don't know if I consider it a loss of smell because I'm still smelling something it just is the only thing I can smell. It's been 2 weeks and is really driving me insane</t>
        </is>
      </c>
      <c r="D4749" t="n">
        <v>1</v>
      </c>
      <c r="E4749" t="n">
        <v>4</v>
      </c>
      <c r="F4749">
        <f>HYPERLINK("https://www.reddit.com/r/COVID19positive/comments/igpplx/persistent_mucussinus_infection_smell_no_nasal/")</f>
        <v/>
      </c>
      <c r="G4749" t="inlineStr">
        <is>
          <t>2020-08-25 18:37:23</t>
        </is>
      </c>
      <c r="H4749" t="inlineStr">
        <is>
          <t>Tested Positive</t>
        </is>
      </c>
    </row>
    <row r="4750">
      <c r="A4750" t="inlineStr">
        <is>
          <t>igqmh7</t>
        </is>
      </c>
      <c r="B4750" t="inlineStr">
        <is>
          <t>Son (4M) tested positive. How in the world do I isolate him and still take care of the rest of the family?</t>
        </is>
      </c>
      <c r="C4750" t="inlineStr">
        <is>
          <t>Son got a PCR test yesterday, positive result today. I have two other kids (9F and 13F). They aren’t showing symptoms and so haven’t been tested. How do I keep the 4 year old away and still take care of the other two?</t>
        </is>
      </c>
      <c r="D4750" t="n">
        <v>1</v>
      </c>
      <c r="E4750" t="n">
        <v>11</v>
      </c>
      <c r="F4750">
        <f>HYPERLINK("https://www.reddit.com/r/COVID19positive/comments/igqmh7/son_4m_tested_positive_how_in_the_world_do_i/")</f>
        <v/>
      </c>
      <c r="G4750" t="inlineStr">
        <is>
          <t>2020-08-25 19:36:02</t>
        </is>
      </c>
      <c r="H4750" t="inlineStr">
        <is>
          <t>Tested Positive - Family</t>
        </is>
      </c>
    </row>
    <row r="4751">
      <c r="A4751" t="inlineStr">
        <is>
          <t>igr5hk</t>
        </is>
      </c>
      <c r="B4751" t="inlineStr">
        <is>
          <t>Weird symptoms after being "recovered"</t>
        </is>
      </c>
      <c r="C4751" t="inlineStr">
        <is>
          <t>I was confirmed positive at the beginning of the month and am considered recovered although I have some lingering symptoms. Aside from a continuous headache and lung tightness/burning I've recently started noticing a few other odd symptoms and was wondering if anyone else has experienced them.
I've been getting a weird brushing noise in my ears, most noticable when walking but also present when just sitting around as well. This is very different from tinnitus ringing and isn't like anything I've experienced before.
I've also noticed that when I smile or make other exaggerated faces my cheeks get a numb/tingling feeling to them. Both are more recent occurrences in the last few days as my other main symptoms have improved.</t>
        </is>
      </c>
      <c r="D4751" t="n">
        <v>1</v>
      </c>
      <c r="E4751" t="n">
        <v>10</v>
      </c>
      <c r="F4751">
        <f>HYPERLINK("https://www.reddit.com/r/COVID19positive/comments/igr5hk/weird_symptoms_after_being_recovered/")</f>
        <v/>
      </c>
      <c r="G4751" t="inlineStr">
        <is>
          <t>2020-08-25 20:10:08</t>
        </is>
      </c>
      <c r="H4751" t="inlineStr">
        <is>
          <t>Tested Positive - Me</t>
        </is>
      </c>
    </row>
    <row r="4752">
      <c r="A4752" t="inlineStr">
        <is>
          <t>igs77f</t>
        </is>
      </c>
      <c r="B4752" t="inlineStr">
        <is>
          <t>My brother</t>
        </is>
      </c>
      <c r="C4752" t="inlineStr">
        <is>
          <t>My sibling tested positive back in July 24 and then tested negative in Aug 3rd. He still to this day still doesn't feel 100% is that normal? He complains of a stiff neck, cold feet and overall just cold through out the day, slight fatigue and he also complains of feeling clammy but with no fever. Are these normal symptoms for someone that recovered from covid-19 even a few weeks later? Thank you</t>
        </is>
      </c>
      <c r="D4752" t="n">
        <v>1</v>
      </c>
      <c r="E4752" t="n">
        <v>4</v>
      </c>
      <c r="F4752">
        <f>HYPERLINK("https://www.reddit.com/r/COVID19positive/comments/igs77f/my_brother/")</f>
        <v/>
      </c>
      <c r="G4752" t="inlineStr">
        <is>
          <t>2020-08-25 21:22:09</t>
        </is>
      </c>
      <c r="H4752" t="inlineStr">
        <is>
          <t>Tested Positive - Family</t>
        </is>
      </c>
    </row>
    <row r="4753">
      <c r="A4753" t="inlineStr">
        <is>
          <t>igspzd</t>
        </is>
      </c>
      <c r="B4753" t="inlineStr">
        <is>
          <t>Healthcare worker suffering</t>
        </is>
      </c>
      <c r="C4753" t="inlineStr">
        <is>
          <t>My best friend/X-ray tech is currently in the ICU, sedated and ventilated for over a week. She crashed and almost died this past weekend. She works at a hospital with a high population of Covid positive inpatients. Her morning rounds include repeated visits to airborne/droplet precaution patient rooms to perform portable exams. One of the last things she texted me when she was in the ER before losing energy was “I’m scared.” If you can find the time to include her in your prayers, I’d be very grateful. She is in her early 30’s and has family &amp;amp; friends who love her very much.</t>
        </is>
      </c>
      <c r="D4753" t="n">
        <v>1</v>
      </c>
      <c r="E4753" t="n">
        <v>48</v>
      </c>
      <c r="F4753">
        <f>HYPERLINK("https://www.reddit.com/r/COVID19positive/comments/igspzd/healthcare_worker_suffering/")</f>
        <v/>
      </c>
      <c r="G4753" t="inlineStr">
        <is>
          <t>2020-08-25 22:01:45</t>
        </is>
      </c>
      <c r="H4753" t="inlineStr">
        <is>
          <t>Tested Positive</t>
        </is>
      </c>
    </row>
    <row r="4754">
      <c r="A4754" t="inlineStr">
        <is>
          <t>igte98</t>
        </is>
      </c>
      <c r="B4754" t="inlineStr">
        <is>
          <t>From Tachycardia to Bradycardia</t>
        </is>
      </c>
      <c r="C4754" t="inlineStr">
        <is>
          <t>Hi reddit,
I'll try and keep this as short as possible, which is a challenge because so much happened.
Disclaimer: all medical advice I received and share was customized for my situation. Yours could very well be different. Always have a doctor evaluate your concerns.
Me: 36M, European, not athletic but not overweight, little off balance in the muscle/fat ratio. Heart was always in good condition before 2020.
Me and my wife were sick in late february/early march. They didnt test here yet in March, we were sick and quarantined on doctors orders with most of the covid19 symptoms. We never had to go into the hospital because our saturation was acceptible, but it was weeks of 39° fever, fatigue, short of breath, a feeling of limited lung capacity, ridiculous bad cough etc. Couldnt talk for a full phrase at some point. My wife recovered fairly quick. I recovered more slowly from the first symptoms and waiting for the worst to pass. An inhaler and rest got me through the first month.
Halfway into april after feeling a bit better I collapse with a heartrate of 185 at random during the day. EKG from the ambulance was ok so I get a holter monitor after a few days and they diagnose me with tachycardia which is in my case, according to that doc, harmless but annoying.
From april until late juli, My heart races when I stand up and jumps from my already elevated sitting heart rate of 80-90 to 120+. Sometimes at random it starts beating like wild with 140+ bpm for hours, with weird palpitations and the feeling something is off-beat in my chest like a badly timed drumfill. My fitbit tracker gives me hours of "activity" and achievements each day and I end up ag the ER several times, only to get sent home because its "just tachycardia" and I should see my cardiologist about it.
Cardiologist gives me a 24hr holter, sadly on a "good day" and diagnoses nothing wrong rythmwise besides some benign pauses. Does an echocardiogram after months in july and sees it pumps well enough to immediately discharge me. I dont feel like she takes me serious at all and she keeps repeating she doesnt know what to do because we dont know covid well enough.
I lost 18 kilograms since march (12 of them in the first month) and can only since a month walk longer than 5-10 minutes where at first I couldnt walk 10 seconds to the kitchen without resting. I see progress in my overall condition. The tachy attacks become extremely rare and my bloodpressure comes down again.
Fast forward to august, 5 months in I notice my heartrate comes down to normal. Im happy. What does however concern me is that my heartrate when I relax is now suddenly extremely low for me.
I used to have a sleeping HR of 55 - 65 for years, 70- 90 with normal day to day activity and 85 - 120 when fairly active. That's my baseline.
Now I seem to have 45 - 58 during sleep, 57 - 70 when working and 70 - 100 being active. It's completely freaking me out because when Im sitting on the couch it sometimes dips to the mid 50's but when I check my BP is fine. 
Im in the mill for a second opinion where theyll make an MRI of my heart to see if there's any damage. This doctor wants to get to the bottom of it.
I did lose weight, did drop most sugar from my diet and I have started a very light workout (walks, some Light weights) but I think its scary that my resting heart rate drops almost by a point every day for the past time. Thanks to fitbit I know I came from 70 down to 61 in a matter of two weeks.
I wonder if anyone else has had a similar experience, especially regarding tachycardia and bradycardia in a later stage. I'm scared of not waking up in the morning every time I find a 40s heartrate during sleep or sering my HR drop to 52 when im awake in bed but it never shows when they do monitoring at the hospital because then you are active before the EKG. My doc saw my fitbit stats, thats why he did the MRI now.
Thanks in advance for aharing your thoughts on this, stay healthy.</t>
        </is>
      </c>
      <c r="D4754" t="n">
        <v>1</v>
      </c>
      <c r="E4754" t="n">
        <v>7</v>
      </c>
      <c r="F4754">
        <f>HYPERLINK("https://www.reddit.com/r/COVID19positive/comments/igte98/from_tachycardia_to_bradycardia/")</f>
        <v/>
      </c>
      <c r="G4754" t="inlineStr">
        <is>
          <t>2020-08-25 22:55:41</t>
        </is>
      </c>
      <c r="H4754" t="inlineStr">
        <is>
          <t>Presumed Positive - From Doctor</t>
        </is>
      </c>
    </row>
    <row r="4755">
      <c r="A4755" t="inlineStr">
        <is>
          <t>igu9yl</t>
        </is>
      </c>
      <c r="B4755" t="inlineStr">
        <is>
          <t>I am extremely germaphobic now, near OCD, and it’s awful. Covid made me so paranoid.</t>
        </is>
      </c>
      <c r="C4755" t="inlineStr">
        <is>
          <t>I am terrified to be in public now, all I think about is germs. It’s worse not knowing how I contracted the virus and now I look at everything and everyone like dirty little Petri dishes. I get angry so quickly at my family members, because they’re not careful and I’m scared they’ll pass the virus to me again. It’s straining my relationships and making me reclusive. I hate it. I feel miserable right now.</t>
        </is>
      </c>
      <c r="D4755" t="n">
        <v>1</v>
      </c>
      <c r="E4755" t="n">
        <v>20</v>
      </c>
      <c r="F4755">
        <f>HYPERLINK("https://www.reddit.com/r/COVID19positive/comments/igu9yl/i_am_extremely_germaphobic_now_near_ocd_and_its/")</f>
        <v/>
      </c>
      <c r="G4755" t="inlineStr">
        <is>
          <t>2020-08-26 00:10:02</t>
        </is>
      </c>
      <c r="H4755" t="inlineStr">
        <is>
          <t>Tested Positive - Me</t>
        </is>
      </c>
    </row>
    <row r="4756">
      <c r="A4756" t="inlineStr">
        <is>
          <t>igubyn</t>
        </is>
      </c>
      <c r="B4756" t="inlineStr">
        <is>
          <t>Question about nasal swabs</t>
        </is>
      </c>
      <c r="C4756" t="inlineStr">
        <is>
          <t>I paid $150 for a rapid nasal swab today because I was paranoid and wanted to know quickly. I’ve had a chesty cough for 2 days and some back soreness, so some symptoms too. When I went to get tested, the nurse put the swab less deep into my nose than my finger and for like one second. They called me and said my test returned positive so I will be acting like I am positive but does anyone know if one second in each nostril is deep enough to return anything conclusive, especially given I have very few symptoms?</t>
        </is>
      </c>
      <c r="D4756" t="n">
        <v>1</v>
      </c>
      <c r="E4756" t="n">
        <v>5</v>
      </c>
      <c r="F4756">
        <f>HYPERLINK("https://www.reddit.com/r/COVID19positive/comments/igubyn/question_about_nasal_swabs/")</f>
        <v/>
      </c>
      <c r="G4756" t="inlineStr">
        <is>
          <t>2020-08-26 00:14:47</t>
        </is>
      </c>
      <c r="H4756" t="inlineStr">
        <is>
          <t>Tested Positive</t>
        </is>
      </c>
    </row>
    <row r="4757">
      <c r="A4757" t="inlineStr">
        <is>
          <t>iguinp</t>
        </is>
      </c>
      <c r="B4757" t="inlineStr">
        <is>
          <t>Constant sharp pain in chest and vomiting.</t>
        </is>
      </c>
      <c r="C4757" t="inlineStr">
        <is>
          <t>Has anyone else had this?  My wife tested positive last week and symptoms keep getting worse and worse.  She says the chest pain is constant and isn’t effected by breathing.  This is horrible.  Hospital test didn’t show anything wrong in the lungs or heart.</t>
        </is>
      </c>
      <c r="D4757" t="n">
        <v>1</v>
      </c>
      <c r="E4757" t="n">
        <v>8</v>
      </c>
      <c r="F4757">
        <f>HYPERLINK("https://www.reddit.com/r/COVID19positive/comments/iguinp/constant_sharp_pain_in_chest_and_vomiting/")</f>
        <v/>
      </c>
      <c r="G4757" t="inlineStr">
        <is>
          <t>2020-08-26 00:32:10</t>
        </is>
      </c>
      <c r="H4757" t="inlineStr">
        <is>
          <t>Tested Positive - Family</t>
        </is>
      </c>
    </row>
    <row r="4758">
      <c r="A4758" t="inlineStr">
        <is>
          <t>igv03e</t>
        </is>
      </c>
      <c r="B4758" t="inlineStr">
        <is>
          <t>Things that are helping me the symptoms</t>
        </is>
      </c>
      <c r="C4758" t="inlineStr">
        <is>
          <t>Hey guys i wanted to share what is helping me to deal with this illness, hopefully you can share yours to.
1- expect the unexpected :
You can go from 0 to a 100 with in hours, not like the normal flu, this took me by surprise 
And it still does, sometimes you will feel better, but then it will comeback worse.
2- accept reality &amp;amp; be patient in the peak of your symptoms,
Having this disease will shock you, this is why you will have to prepare yourself emotionally for some rough long days,
Dont you ever deal with this with anxiety, even if you need special healthcare, contact them and go with emotional maturity, your body will thank you for this
3- N acetylcysteine
I ordered this in march because i knew it could protect the cells of the lungs and and the body, and it is the only thing that makes breathing easier for me when its hard.
But plz check with your doctor before using it.
4- zinc, C, D, and temperature lowering medicine,
You have to take these, dont let your temperature go out of control, i made that mistake and my symptoms went crazy
5- start journaling and love yourself.
Guys, this is sad, and i feel sad, kinda depressed, so putting your thoughts on paper, or voice recording it like what i do, or on video
Will take a huge burden off your chest, you will feel angry upset sad sometimes,
Maybe you are blaming yourself for how you caught it, dont, chill its time to love yourself.
Wish you all the best, &amp;amp; plz take care</t>
        </is>
      </c>
      <c r="D4758" t="n">
        <v>1</v>
      </c>
      <c r="E4758" t="n">
        <v>3</v>
      </c>
      <c r="F4758">
        <f>HYPERLINK("https://www.reddit.com/r/COVID19positive/comments/igv03e/things_that_are_helping_me_the_symptoms/")</f>
        <v/>
      </c>
      <c r="G4758" t="inlineStr">
        <is>
          <t>2020-08-26 01:17:23</t>
        </is>
      </c>
      <c r="H4758" t="inlineStr">
        <is>
          <t>Tested Positive - Me</t>
        </is>
      </c>
    </row>
    <row r="4759">
      <c r="A4759" t="inlineStr">
        <is>
          <t>igv7de</t>
        </is>
      </c>
      <c r="B4759" t="inlineStr">
        <is>
          <t>Mild/asymptomatic tested positive</t>
        </is>
      </c>
      <c r="C4759" t="inlineStr">
        <is>
          <t>I tested positive on July 16th. I most likely contracted it anywhere from July 5th - July 13th. After realizing I had close contact with family members that had it and I now most likely had it, I became extremely anxious and depressed.  It was literally the worst depression I've ever had that lasted about a month.  I tested on July 16th with no symptoms other than fatigue, anxiety, and depression. The doctor gave me hydroxyzine HCl for my anxiety and I started taking it right away. I also started taking vitamin d and c daily, and melatonin before bed. My appetite was terrible and I had to force myself to eat at least a small meal a day. About a week after testing, I started having some gastrointestinal issues (gas and mild diahrea) that lasted about 5 days. During this time, my ears started to feel like they needed to pop (this feeling lasted until a few days ago, and is still a little intermittent). I got my appetite back about a week or two ago. My energy level now seems back up to about 90-95%. Depression and anxiety has been back to normal levels for about two weeks now. I lost at least 10 lbs (I'm regularly anywhere between 155-170 lbs and am now about 145ish). I was on high alert the entire time for symptoms and occasionally had some mild sinus irritation, but not full-on cold/flu symptoms. My temperature remained normal and my oxygen level never went below 95. I also have had a mild, intermittent rash on my forearms that send to have gone away for now. Also, I was very thirsty for a couple weeks even though I was drinking lots of water and at least a glass of Pedialyte a day for a couple weeks. I'm 34 and I vape. I do smoke at least 1-2 cigarettes a week. Also, before I got my test results (took two weeks for results), I bought a couple packs of cigarettes and smoked regularly (terrible idea, I know, but it helped with the anxiety and depression - I've since stopped smoking cigarettes again and am back to vaping like normal). Overall, I feel mostly fine now.  I wanted to post this because I suffered from extreme anxiety about this. I've been hiding from this virus since March. The only people I've been around since then are my kids and my ex wife when I pick the kids up. I started working from home in March and only go to the grocery store and to pick up the kids. I wear masks everywhere and have not hung out with anyone since I went to work from home. I wash and sanitize my hands and even wipe down my groceries. Everyone in my ex's household was sick as well and recovered after mild symptoms. My kids only had a fever for a couple days. I hope this helps some people who are extremely anxious about this and/or think they may have it.  Sorry for the wall of text, but I wanted to be as informative as possible. Stay healthy and keep being careful.</t>
        </is>
      </c>
      <c r="D4759" t="n">
        <v>1</v>
      </c>
      <c r="E4759" t="n">
        <v>4</v>
      </c>
      <c r="F4759">
        <f>HYPERLINK("https://www.reddit.com/r/COVID19positive/comments/igv7de/mildasymptomatic_tested_positive/")</f>
        <v/>
      </c>
      <c r="G4759" t="inlineStr">
        <is>
          <t>2020-08-26 01:37:03</t>
        </is>
      </c>
      <c r="H4759" t="inlineStr">
        <is>
          <t>Tested Positive - Me</t>
        </is>
      </c>
    </row>
    <row r="4760">
      <c r="A4760" t="inlineStr">
        <is>
          <t>igvmnq</t>
        </is>
      </c>
      <c r="B4760" t="inlineStr">
        <is>
          <t>Pheromone smell gone</t>
        </is>
      </c>
      <c r="C4760" t="inlineStr">
        <is>
          <t>Now this is an unusual one, I don’t know anyone else who has experienced this but I found my pheromones just disappeared. My wife and I would joke about how pre Covid she loved my pheromone smell but during my
Covid symptoms phase she says that it just went completely. I only mention this now as she said she can faintly smell it coming back. Anyone else experience a similar effect?</t>
        </is>
      </c>
      <c r="D4760" t="n">
        <v>1</v>
      </c>
      <c r="E4760" t="n">
        <v>6</v>
      </c>
      <c r="F4760">
        <f>HYPERLINK("https://www.reddit.com/r/COVID19positive/comments/igvmnq/pheromone_smell_gone/")</f>
        <v/>
      </c>
      <c r="G4760" t="inlineStr">
        <is>
          <t>2020-08-26 02:17:47</t>
        </is>
      </c>
      <c r="H4760" t="inlineStr">
        <is>
          <t>Presumed Positive - From Doctor</t>
        </is>
      </c>
    </row>
    <row r="4761">
      <c r="A4761" t="inlineStr">
        <is>
          <t>igvrog</t>
        </is>
      </c>
      <c r="B4761" t="inlineStr">
        <is>
          <t>Hypothermia?</t>
        </is>
      </c>
      <c r="C4761" t="inlineStr">
        <is>
          <t>I woke up around midnight last night literally dripping with sweat, like had to change my clothes because I was so wet. Checked my temp and it read at 96.5. Three hours earlier my temp was around 98-99. 
For reference, my symptoms so far have been chest pain and pressure. I get sharp pains which I believe is costochondritis, as well as heart palpitations and pressure against the left side of my chest. I haven’t had a temp above 99. I had a mild dry cough in the beginning but it seems to have subsided. I’ve already been to the ER once and although my lungs were clear, they did not perform an ekg. 
Has anyone experienced this and have any insight? My anxiety is absolutely through the roof.</t>
        </is>
      </c>
      <c r="D4761" t="n">
        <v>1</v>
      </c>
      <c r="E4761" t="n">
        <v>2</v>
      </c>
      <c r="F4761">
        <f>HYPERLINK("https://www.reddit.com/r/COVID19positive/comments/igvrog/hypothermia/")</f>
        <v/>
      </c>
      <c r="G4761" t="inlineStr">
        <is>
          <t>2020-08-26 02:31:03</t>
        </is>
      </c>
      <c r="H4761" t="inlineStr">
        <is>
          <t>Presumed Positive - From Doctor</t>
        </is>
      </c>
    </row>
    <row r="4762">
      <c r="A4762" t="inlineStr">
        <is>
          <t>igvrt5</t>
        </is>
      </c>
      <c r="B4762" t="inlineStr">
        <is>
          <t>Hypothermia?</t>
        </is>
      </c>
      <c r="C4762" t="inlineStr">
        <is>
          <t>I woke up around midnight last night literally dripping with sweat, like had to change my clothes because I was so wet. Checked my temp and it read at 96.5. Three hours earlier my temp was around 98-99. 
For reference, my symptoms so far have been chest pain and pressure. I get sharp pains which I believe is costochondritis, as well as heart palpitations and pressure against the left side of my chest. I haven’t had a temp above 99. I had a mild dry cough in the beginning but it seems to have subsided. I’ve already been to the ER once and although my lungs were clear, they did not perform an ekg. 
Has anyone experienced this and have any insight? My anxiety is absolutely through the roof.</t>
        </is>
      </c>
      <c r="D4762" t="n">
        <v>1</v>
      </c>
      <c r="E4762" t="n">
        <v>6</v>
      </c>
      <c r="F4762">
        <f>HYPERLINK("https://www.reddit.com/r/COVID19positive/comments/igvrt5/hypothermia/")</f>
        <v/>
      </c>
      <c r="G4762" t="inlineStr">
        <is>
          <t>2020-08-26 02:31:22</t>
        </is>
      </c>
      <c r="H4762" t="inlineStr">
        <is>
          <t>Presumed Positive - From Doctor</t>
        </is>
      </c>
    </row>
    <row r="4763">
      <c r="A4763" t="inlineStr">
        <is>
          <t>igxiqg</t>
        </is>
      </c>
      <c r="B4763" t="inlineStr">
        <is>
          <t>Aches &amp;amp; Pains Suck...3 Months Later.</t>
        </is>
      </c>
      <c r="C4763" t="inlineStr">
        <is>
          <t>Hello all,
It's been a while. Still dealing with fatigue, aches and pains and headaches. The fatigue has generally improved along with the brain fog since my first post in August. 
I'll walk 2km one day, the next day my knees and legs kill like I just hiked mount Everest (haven't but will when I get better). The next day I'll clean for an hour and get a mild headache and have to stop. Today, my arms and elbows are sore. 
Why were these not initial symptoms back in April when I tested positive? I don't know. It's frustrating to have such mild symptoms only to be smacked months later for worse symptoms. 
As much as I am venting and frustrated, I am grateful to be able to do a short walk, make a dinner and read a book. I know some cant.</t>
        </is>
      </c>
      <c r="D4763" t="n">
        <v>1</v>
      </c>
      <c r="E4763" t="n">
        <v>11</v>
      </c>
      <c r="F4763">
        <f>HYPERLINK("https://www.reddit.com/r/COVID19positive/comments/igxiqg/aches_pains_suck3_months_later/")</f>
        <v/>
      </c>
      <c r="G4763" t="inlineStr">
        <is>
          <t>2020-08-26 05:00:52</t>
        </is>
      </c>
      <c r="H4763" t="inlineStr">
        <is>
          <t>Tested Positive</t>
        </is>
      </c>
    </row>
    <row r="4764">
      <c r="A4764" t="inlineStr">
        <is>
          <t>igz1nd</t>
        </is>
      </c>
      <c r="B4764" t="inlineStr">
        <is>
          <t>Menstrual irregularities + COVID positive</t>
        </is>
      </c>
      <c r="C4764" t="inlineStr">
        <is>
          <t>Anyone have similar experiences? Might be TMI
About a day before I tested positive and only a week after my last period), I started spotting/light bleeding. This bleeding lasted about 6 days and coincided with when I had symptoms. The bleeding was pretty light, never needing anything more than a pantry liner, and had a pretty dark color (brown, like dry blood).
Fast forward to now, when I’m supposed to get my period. My period’s been late for a few days. 
I do have an arm implant (nexplanon) and have had irregularities because of it, but it’s been pretty regular for the past couple of months</t>
        </is>
      </c>
      <c r="D4764" t="n">
        <v>1</v>
      </c>
      <c r="E4764" t="n">
        <v>16</v>
      </c>
      <c r="F4764">
        <f>HYPERLINK("https://www.reddit.com/r/COVID19positive/comments/igz1nd/menstrual_irregularities_covid_positive/")</f>
        <v/>
      </c>
      <c r="G4764" t="inlineStr">
        <is>
          <t>2020-08-26 06:42:29</t>
        </is>
      </c>
      <c r="H4764" t="inlineStr">
        <is>
          <t>Tested Positive</t>
        </is>
      </c>
    </row>
    <row r="4765">
      <c r="A4765" t="inlineStr">
        <is>
          <t>igz272</t>
        </is>
      </c>
      <c r="B4765" t="inlineStr">
        <is>
          <t>My fiance and I tested positive</t>
        </is>
      </c>
      <c r="C4765" t="inlineStr">
        <is>
          <t>Are we supposed to quarantine away from each other? Am I not supposed to kiss her until we no longer have it? We live in a studio apartment so it's almost impossible to be far away from each other. I'm just wondering what steps we should take together other than no leaving the house, and drinking a ton of fluids.</t>
        </is>
      </c>
      <c r="D4765" t="n">
        <v>1</v>
      </c>
      <c r="E4765" t="n">
        <v>5</v>
      </c>
      <c r="F4765">
        <f>HYPERLINK("https://www.reddit.com/r/COVID19positive/comments/igz272/my_fiance_and_i_tested_positive/")</f>
        <v/>
      </c>
      <c r="G4765" t="inlineStr">
        <is>
          <t>2020-08-26 06:43:25</t>
        </is>
      </c>
      <c r="H4765" t="inlineStr">
        <is>
          <t>Tested Positive</t>
        </is>
      </c>
    </row>
    <row r="4766">
      <c r="A4766" t="inlineStr">
        <is>
          <t>ih021z</t>
        </is>
      </c>
      <c r="B4766" t="inlineStr">
        <is>
          <t>Dad is on day 9 of symptoms, need some support</t>
        </is>
      </c>
      <c r="C4766" t="inlineStr">
        <is>
          <t>Hello, my dad tested positive this past week. He's a 52 y.o. male, history of hypertension, quit smoking 6 years ago but still vapes, walks his dog everyday. No other significant history but did have bilateral pneumonia over 10 years ago 
Day 1- Complaints of headache and sinus pressure
Day 2- low grade fever, fatigue, and mild body aches
Day 3- persistent fever, fatigue, body aches getting pretty bad. Not sleeping well, sweating like crazy from the fever
Day 4- still sams symptoms, fever comes and goes with medication but won't subside completely. Still able to walk the dog
Day 5- Still a fever, getting higher now reaching like 101. Still having body aches 
Day 6-Feeling a little bit better, sleeping better, but has nausea.
Day 7- Shortness of breath started while walking the dog. Unable to do tasks without getting winded. Vomited twice and has diarrhea 
Day 8- called family doc and told them about shoetness of breath, they advised to be seen in the ER. ER physician says that days 7-10 are usually the worst of symptoms. He has some pneumonia and his oxygen was low. They put him on 2 liters of o2 nasal cannula. Also dehydrated, so he's getting IV fluids and a couple steroids for his breathing. 
Today is day 9, just talked to him. He said he was able to take his oxygen off today while sitting but when he got up to use the restroom he couldn't quite catch his breath. Hasn't heard from the doctor. 
I'm just extremely worried about him. This is so hard because I can't be there to support or hangout with him. I'm really really really worried about the pneumonia getting worse. Any advice or feedback would be greatly appreciated.</t>
        </is>
      </c>
      <c r="D4766" t="n">
        <v>1</v>
      </c>
      <c r="E4766" t="n">
        <v>13</v>
      </c>
      <c r="F4766">
        <f>HYPERLINK("https://www.reddit.com/r/COVID19positive/comments/ih021z/dad_is_on_day_9_of_symptoms_need_some_support/")</f>
        <v/>
      </c>
      <c r="G4766" t="inlineStr">
        <is>
          <t>2020-08-26 07:40:57</t>
        </is>
      </c>
      <c r="H4766" t="inlineStr">
        <is>
          <t>Tested Positive - Family</t>
        </is>
      </c>
    </row>
    <row r="4767">
      <c r="A4767" t="inlineStr">
        <is>
          <t>ih1big</t>
        </is>
      </c>
      <c r="B4767" t="inlineStr">
        <is>
          <t>Throat/chest tickling, mild temperature &amp;amp; cough</t>
        </is>
      </c>
      <c r="C4767" t="inlineStr">
        <is>
          <t>So where to begin?
On the 1st of August, I started to feel this weird feeling in my chest/throat, tickling and like there's something with my lungs, but very mild. I did my first test on 4-5 of August, I was negative, so I just thought, maybe it's nothing. 
19th of August, I still have the same feeling and cough occasionally, feeling a bit less energetic, nothing changed pretty much. So I thought maybe it's silent lung inflammation and decided to go see the doctor, he looked at me - my throat looks perfect, the nose is ok, but she hears that my breathing has a whistling sound (well that I kind of already knew), she first thought, maybe it's some kind of allergy - all of my blood test samples were perfectly fine, so she decided to do a lung roentgenogram. So I did it on the 21st of August and it shows that everything is perfectly fine. So I thought, well maybe it's nothing again, but decided to get tested once more. Did it yesterday on 25th, and early in the morning got the results - POSITIVE. I'm in shock. I still have the same symptoms, sometimes I don't feel any tickling and don't cough at all, I hope it stays that way and goes away. 
Anyone else had similar symptoms? By the way my normal body temp. is around 37 (celsius), and now it's like 37.3, nothing special, I would say.</t>
        </is>
      </c>
      <c r="D4767" t="n">
        <v>1</v>
      </c>
      <c r="E4767" t="n">
        <v>5</v>
      </c>
      <c r="F4767">
        <f>HYPERLINK("https://www.reddit.com/r/COVID19positive/comments/ih1big/throatchest_tickling_mild_temperature_cough/")</f>
        <v/>
      </c>
      <c r="G4767" t="inlineStr">
        <is>
          <t>2020-08-26 08:49:48</t>
        </is>
      </c>
      <c r="H4767" t="inlineStr">
        <is>
          <t>Tested Positive - Me</t>
        </is>
      </c>
    </row>
    <row r="4768">
      <c r="A4768" t="inlineStr">
        <is>
          <t>ih1lpn</t>
        </is>
      </c>
      <c r="B4768" t="inlineStr">
        <is>
          <t>I can't tell if I'm symptom free...</t>
        </is>
      </c>
      <c r="C4768" t="inlineStr">
        <is>
          <t>Hey everyone
I tested positive on August 18th, after experiencing headaches, increase of nasal discharge (more than usual from hayfever) and bouts of sweating. I have been in isolation since then, my bf had to leave the house because he tested negative and is staying at my parents house. 
I felt ill for 3 days, with sweating, subfebrile temperatures, fatigue and mild SOB. This has passed, fortunately, but I continue to have headaches, a tiny bit of nose congestion and once a day I cough up some yellow sputum from deep down. I also have hay-fever and dustmite allergies. I don't know if my symptoms are part of COVID and it makes me super anxious. It feels like this will go on forever and my bf can never return home. 
Anyone who is experiencing the same? How did you cope?</t>
        </is>
      </c>
      <c r="D4768" t="n">
        <v>1</v>
      </c>
      <c r="E4768" t="n">
        <v>3</v>
      </c>
      <c r="F4768">
        <f>HYPERLINK("https://www.reddit.com/r/COVID19positive/comments/ih1lpn/i_cant_tell_if_im_symptom_free/")</f>
        <v/>
      </c>
      <c r="G4768" t="inlineStr">
        <is>
          <t>2020-08-26 09:04:12</t>
        </is>
      </c>
      <c r="H4768" t="inlineStr">
        <is>
          <t>Tested Positive - Me</t>
        </is>
      </c>
    </row>
    <row r="4769">
      <c r="A4769" t="inlineStr">
        <is>
          <t>ih274t</t>
        </is>
      </c>
      <c r="B4769" t="inlineStr">
        <is>
          <t>Dad tested positive. Mom is crying.</t>
        </is>
      </c>
      <c r="C4769" t="inlineStr">
        <is>
          <t>My Dad started showing symptoms earlier this week and wouldn't even get a test done. My sister's had to force him to take a test. I'm in a different city.
He tested positive. We first did a HRCT, his score was 18/40 and CORADS score was 5 (6 being the highest). We also did a PCR test which also confirmed presence of corona virus. 
All of us co-ordinated and called 20-25 hospitals and most of them were full. I finally got him a bed in one of the top hospitals. He's finally going to the hospital as I write this message. I'm proud of my sister's and I feel bad for my mom.
I hope he recovers soon. Thanks for reading.</t>
        </is>
      </c>
      <c r="D4769" t="n">
        <v>1</v>
      </c>
      <c r="E4769" t="n">
        <v>115</v>
      </c>
      <c r="F4769">
        <f>HYPERLINK("https://www.reddit.com/r/COVID19positive/comments/ih274t/dad_tested_positive_mom_is_crying/")</f>
        <v/>
      </c>
      <c r="G4769" t="inlineStr">
        <is>
          <t>2020-08-26 09:34:49</t>
        </is>
      </c>
      <c r="H4769" t="inlineStr">
        <is>
          <t>Tested Positive - Family</t>
        </is>
      </c>
    </row>
    <row r="4770">
      <c r="A4770" t="inlineStr">
        <is>
          <t>ih3zod</t>
        </is>
      </c>
      <c r="B4770" t="inlineStr">
        <is>
          <t>Got tested today, do these symptoms shout corona?</t>
        </is>
      </c>
      <c r="C4770" t="inlineStr">
        <is>
          <t>So I called in sick to work yesterday. Felt super feverish and had a very high temperature. I also had a really sore throat and felt really dizzy and light headed all day. No coughing or shortness of breath, no loss of taste or smell... 
Today I feel a lot better, just the sore throat and minor chills bothering me. It feels like it can't be rona as I'm already feeling more myself.
Have any of you tested positive with short and minor symptoms?</t>
        </is>
      </c>
      <c r="D4770" t="n">
        <v>1</v>
      </c>
      <c r="E4770" t="n">
        <v>11</v>
      </c>
      <c r="F4770">
        <f>HYPERLINK("https://www.reddit.com/r/COVID19positive/comments/ih3zod/got_tested_today_do_these_symptoms_shout_corona/")</f>
        <v/>
      </c>
      <c r="G4770" t="inlineStr">
        <is>
          <t>2020-08-26 11:08:08</t>
        </is>
      </c>
      <c r="H4770" t="inlineStr">
        <is>
          <t>Presumed Positive - From Doctor</t>
        </is>
      </c>
    </row>
    <row r="4771">
      <c r="A4771" t="inlineStr">
        <is>
          <t>ih4a28</t>
        </is>
      </c>
      <c r="B4771" t="inlineStr">
        <is>
          <t>Mom and dad tested positive yesterday</t>
        </is>
      </c>
      <c r="C4771" t="inlineStr">
        <is>
          <t>So on friday my dad 
(M49)had a low grade fever. 
Saturday He had a little cough. Mom also developed a cough on saturday. 
Sunday was the same
Monday was the same, and i told them to get tested. (I live with them)
Today their tests came back positive(high viral load, i dont know what that means?)
Also i am mostly having no symptoms at all, (M23, BMI 32)
I just had a very low grade fever which disappeared in in half an hour after i took a paracetamol. And i have a bit of pain when i roll my eyeball up, but i didnt get enough sleep due to my anxiety. I had slept 2 out of 24 hours.
So basically what im worried for is im overweight and a current smoker. I had my last cigarette today morning and swearing to never pick one up again. Im worried for my parents and myself.
They are feeling very good today, (6th day of symptoms for them)
Temperatures are always normal, 97-98 for all of us.
If anyone had a similar situation as mine, i would love to talk to them. 
So also, a little bit of a wierd backstory. 
On the sixth of January this year, i was travelling from new zealand via beijing. Covid was relatively new. 
I was in Beijing for a total of 1.5 days. I had their food, water , everything.  
When i came to my destination afterwards i fell really and i mean really sick on 15th of January. I was having the most terrible headache ive had in my life, cough, cold and sore throat. I recovered in 17 days. I was always wondering could that have been an early strain of covid.</t>
        </is>
      </c>
      <c r="D4771" t="n">
        <v>1</v>
      </c>
      <c r="E4771" t="n">
        <v>6</v>
      </c>
      <c r="F4771">
        <f>HYPERLINK("https://www.reddit.com/r/COVID19positive/comments/ih4a28/mom_and_dad_tested_positive_yesterday/")</f>
        <v/>
      </c>
      <c r="G4771" t="inlineStr">
        <is>
          <t>2020-08-26 11:22:56</t>
        </is>
      </c>
      <c r="H4771" t="inlineStr">
        <is>
          <t>Tested Positive - Family</t>
        </is>
      </c>
    </row>
    <row r="4772">
      <c r="A4772" t="inlineStr">
        <is>
          <t>ih4crg</t>
        </is>
      </c>
      <c r="B4772" t="inlineStr">
        <is>
          <t>Shortness of breath nearly six months after recovering</t>
        </is>
      </c>
      <c r="C4772" t="inlineStr">
        <is>
          <t>I was never hospitalized. Had the virus in March. I’ve noticed every so often I will get out of breath really easily when walking. The last two days I’ve had it bad out of nowhere. If I read an article out loud, walk, talk on the phone etc I feel really out of breath. I don’t have lightheaded ness or dizziness but I feel like I’ve exercised. Like I’m breathing but not getting enough oxygen. I’m not sure if it’s from Covid, not sleeping well, or maybe just not moving much at all while working from home. I tried to jump rope for a little bit to get some cardio in but had to stop soon after to not over do it. I will keep trying and hope for the best. Just wondering if anyone else is experiencing this too.</t>
        </is>
      </c>
      <c r="D4772" t="n">
        <v>1</v>
      </c>
      <c r="E4772" t="n">
        <v>5</v>
      </c>
      <c r="F4772">
        <f>HYPERLINK("https://www.reddit.com/r/COVID19positive/comments/ih4crg/shortness_of_breath_nearly_six_months_after/")</f>
        <v/>
      </c>
      <c r="G4772" t="inlineStr">
        <is>
          <t>2020-08-26 11:26:40</t>
        </is>
      </c>
      <c r="H4772" t="inlineStr">
        <is>
          <t>Tested Positive - Me</t>
        </is>
      </c>
    </row>
    <row r="4773">
      <c r="A4773" t="inlineStr">
        <is>
          <t>ih4ibu</t>
        </is>
      </c>
      <c r="B4773" t="inlineStr">
        <is>
          <t>Presumed positive, Awaiting Results</t>
        </is>
      </c>
      <c r="C4773" t="inlineStr">
        <is>
          <t>I stared shows symptoms of COVID-19 on the 24th with a dry throat and fatigue. Thought it was nothing until the next morning I woke up with a severe sore throat and had cough. I was tested yesterday and presumed positive and have since kept my dry cough. The sore throat has disappeared but diarrhea has joined. I honestly don’t feel that bad. Just like a bad cold or something. I wish those sicker then me a fast recovery! Remember to drink lots of fluids and use a humidifier!</t>
        </is>
      </c>
      <c r="D4773" t="n">
        <v>1</v>
      </c>
      <c r="E4773" t="n">
        <v>3</v>
      </c>
      <c r="F4773">
        <f>HYPERLINK("https://www.reddit.com/r/COVID19positive/comments/ih4ibu/presumed_positive_awaiting_results/")</f>
        <v/>
      </c>
      <c r="G4773" t="inlineStr">
        <is>
          <t>2020-08-26 11:34:30</t>
        </is>
      </c>
      <c r="H4773" t="inlineStr">
        <is>
          <t>Presumed Positive - From Test</t>
        </is>
      </c>
    </row>
    <row r="4774">
      <c r="A4774" t="inlineStr">
        <is>
          <t>ih4nmd</t>
        </is>
      </c>
      <c r="B4774" t="inlineStr">
        <is>
          <t>Almost out of the woods I think</t>
        </is>
      </c>
      <c r="C4774" t="inlineStr">
        <is>
          <t>Tested positive last Tuesday Aug.18.  Only symptoms were mild headache and some chest pressure maybe some fatigue.   What prompted me to go was a couple people in the office tested positive.  Been working from home since I was told not to return until 10 days have passed.  Now I’m 8 days in, still have a very minor headache/dizziness that comes and goes but otherwise feel pretty normal and healthy. Hoping. Nothing else pops up in the way of after effects and can get back to life and work in a few more days.   Glad this is hopefully almost behind me.  I realize I have faired better them some others...  best wishes and prayers to those out there that need them.</t>
        </is>
      </c>
      <c r="D4774" t="n">
        <v>1</v>
      </c>
      <c r="E4774" t="n">
        <v>3</v>
      </c>
      <c r="F4774">
        <f>HYPERLINK("https://www.reddit.com/r/COVID19positive/comments/ih4nmd/almost_out_of_the_woods_i_think/")</f>
        <v/>
      </c>
      <c r="G4774" t="inlineStr">
        <is>
          <t>2020-08-26 11:41:55</t>
        </is>
      </c>
      <c r="H4774" t="inlineStr">
        <is>
          <t>Tested Positive</t>
        </is>
      </c>
    </row>
    <row r="4775">
      <c r="A4775" t="inlineStr">
        <is>
          <t>ih5wut</t>
        </is>
      </c>
      <c r="B4775" t="inlineStr">
        <is>
          <t>Should I trust a rapid test ?</t>
        </is>
      </c>
      <c r="C4775" t="inlineStr">
        <is>
          <t>My city decided on this weekend to trace COVID cases and went house to house to test people and give medication. My mum told me to be the one to talk to them and give an insight about my family. None of us got terrible symptoms, we felt sometimes sick but it’s also winter here and could be some cold. I explained that one day I had a terrible headache and felt very agitated but just one day and felt normal since. They decided to get me test and I got positive. My mum got tested, she got a negative result. 
It’s been a huge deal since I use to sleep with my mum and she’s among the risk group, and obviously since I hadn’t shown symptoms I had been close all these days to my family and my partner. 
We decided to isolate me and well... I haven’t shown up any symptoms. Sometimes I cough, one day I woke up with pain in the chest but also slept in a terrible position. I feel honestly that any different I feel could be out of anxiety. 
I got a PCR test but everything in my country is so collapsed that it’ll take some times. 
I’ve told by some people that they got false positives and confirmed negative with PCR. Others said that I’m 100% positive and to take medication even without symptoms. 
I don’t know, I’m confused and my life has abruptly stopped because of this. 
I’m young, not the healthiest but I’m sure I could go through this. I’m worried about my mum.</t>
        </is>
      </c>
      <c r="D4775" t="n">
        <v>1</v>
      </c>
      <c r="E4775" t="n">
        <v>2</v>
      </c>
      <c r="F4775">
        <f>HYPERLINK("https://www.reddit.com/r/COVID19positive/comments/ih5wut/should_i_trust_a_rapid_test/")</f>
        <v/>
      </c>
      <c r="G4775" t="inlineStr">
        <is>
          <t>2020-08-26 12:45:20</t>
        </is>
      </c>
      <c r="H4775" t="inlineStr">
        <is>
          <t>Presumed Positive - From Test</t>
        </is>
      </c>
    </row>
    <row r="4776">
      <c r="A4776" t="inlineStr">
        <is>
          <t>ih6e6e</t>
        </is>
      </c>
      <c r="B4776" t="inlineStr">
        <is>
          <t>My brother tested positive</t>
        </is>
      </c>
      <c r="C4776" t="inlineStr">
        <is>
          <t>He is in college, he is symptomatic. Chills, fever, aches, drainage. It hasn’t got to his lungs so We are hoping it won’t get worse. If he gets any shortness breath or bad coughing we are planning on getting him to to doctor. A lot of people in his frat house and his girls friend and 3 of her friends also tested positive. All of them are generally healthy but symptomatic.</t>
        </is>
      </c>
      <c r="D4776" t="n">
        <v>1</v>
      </c>
      <c r="E4776" t="n">
        <v>3</v>
      </c>
      <c r="F4776">
        <f>HYPERLINK("https://www.reddit.com/r/COVID19positive/comments/ih6e6e/my_brother_tested_positive/")</f>
        <v/>
      </c>
      <c r="G4776" t="inlineStr">
        <is>
          <t>2020-08-26 13:10:09</t>
        </is>
      </c>
      <c r="H4776" t="inlineStr">
        <is>
          <t>Tested Positive - Family</t>
        </is>
      </c>
    </row>
    <row r="4777">
      <c r="A4777" t="inlineStr">
        <is>
          <t>ih7353</t>
        </is>
      </c>
      <c r="B4777" t="inlineStr">
        <is>
          <t>I have COVID and I feel... kinda fine? Is it supposed to get bad later on?</t>
        </is>
      </c>
      <c r="C4777" t="inlineStr">
        <is>
          <t>Hi,
I just received my results today that I'm positive. I started having a mild sore throat on Sunday, along with some muscle soreness. My temperature was 37.8 C though, which isnt considered a fever. I went to get a test on Monday just in case, albeit the mild symptoms, and received the result this morning that I have COVID. Since Sunday, the sore throat has subsided completely. I cough here and there but that's pretty much it so far. I also feel a slight weight on my chest when I cough which I've never felt before in a cold or flu. 
Should I celebrate that I'm \*mostly\* asymptomatic or is it too early to conclude that right now? Are there any cases in which the symptoms got worse over time? 
Thank you in advance for the info.</t>
        </is>
      </c>
      <c r="D4777" t="n">
        <v>1</v>
      </c>
      <c r="E4777" t="n">
        <v>7</v>
      </c>
      <c r="F4777">
        <f>HYPERLINK("https://www.reddit.com/r/COVID19positive/comments/ih7353/i_have_covid_and_i_feel_kinda_fine_is_it_supposed/")</f>
        <v/>
      </c>
      <c r="G4777" t="inlineStr">
        <is>
          <t>2020-08-26 13:46:39</t>
        </is>
      </c>
      <c r="H4777" t="inlineStr">
        <is>
          <t>Tested Positive - Me</t>
        </is>
      </c>
    </row>
    <row r="4778">
      <c r="A4778" t="inlineStr">
        <is>
          <t>ih768c</t>
        </is>
      </c>
      <c r="B4778" t="inlineStr">
        <is>
          <t>Covid recovery (5 months long hauler), watch out for not only Physical exertion, but also Emotion and Mental exertion</t>
        </is>
      </c>
      <c r="C4778" t="inlineStr">
        <is>
          <t>I kept telling myself to report back here when I recover to give people hope, but the truth is when I felt good (like 100% myself) I was so busy catching up with work and life I did not take the time to post anything here. Last week I hit my 5 month mark and having an unexpected relapse (I honestly thought  I was fully recovered as I had been good 100% for more than a month.). I don't mind being a long hauler, actually there is nothing i can do about it... I just hope we will fully recover one day no matter how long it takes.. 
I want to share my story here, since this is where I got all the support in the last 5 months. also share what helped me, what triggered my relapse, what made it worse... and I want to hear your advice for my latest symptom ( head pressure, sinus pressure, pressure in the inner ear, basically everything above my neck feeling off, lightheaded )
For those don't want to read the boring long post: Take care of yourself, despite my relapses, I am able to work full time and cook dinner, 2 hours walk during the weekend.  
1. What helped me: Vitamin, supplement: B, D, C, Zinc, NAC, Quercetin, curcumin, CoQ10, MSM, probiotic, Serratiopeptidase and very strong anti reflux medication (dr prescription)
2. what triggered my relapses: first 2months -White bread, processed food, coffee; mental exertion : back to work after 2 week(back in march, "mild" covid recovery is 2 weeks) relpased, got another 2 weeks off including some holidays, back to work end of April... very difficult to finish an hour conf call. Emotion triggers relapse, my dad 8000 KM away was diagnosed with late stage acute Leukemia, he passed away 2 month later. 
3. what made it worse: combination of physical, mental and emotion exertion plus sugar and lack of sleep. 
I started this roller coaster mid Mid- March, not hospitalized but 3 times ER visit.. had few waves every 2 weeks the first 2 months, each wave had newly added symptoms: diarrhea, vomiting, SOB, bloating horrendous headaches,  irregular heart beat (38-160), lost of appetite (lost 10% of body weight in 3 weeks), skin rash (frostbite), skin breakout, pins and needles, sharp pains, tietze syndrom, dizzy, vertigo, coffee intolerance... you name it, I think I had it all.  Never had high fever nor coughs though. 
I started taking supplements only at week 4, it took lots of time to search for information as it was just the beginning.. 
I took Vitamin B, D, C, Zinc, NAC, Quercetin, curcumin, I think NAC and Quercetin really helped. 
I have ginger Lemon tea everyday, on the day with bad SOB I add garlic too, worked really well for me
Week 10-11 , I felt "great", SOB disappeared, heart rate back to normal, no fatigue, no dizziness... I believed I was done with Covid, except I couldn't be more wrong! I found lumps on my chest a week after feeling great... chest swollen, painful to breath, SOB came back, heart pounding, night sweat. I stopped NAC and Quercetin. and added MSM, vitamin K, fish oil, CoQ10 as most of the lingering symptoms were inflammation and neurological (at least I believe it is). 
I started feeling better later in June, added probiotic and strong anti reflux medicine as my bloating and heartburn made my SOB worse. end of June till mid July I was getting back to the normal self till I got a call from my aunt that my dad passed away. I was (am ) 8000km away..
I tried to stay strong for my kids, I kept myself busy with my children, with work for 3 weeks (3 weeks covid didn't exist, long hauler never entered my mind).. my aquarium was my zen place, I was numb... after the 3 long weeks, My kids went to my their dad , I collapsed in my living room, here came my relapse at 5th month! 
If you are still reading this, the good news is my lungs check up came back good (CT, lungs capacity), ultrasound check for organs all good, blood work is good except elevated liver enzymes. My dr. suspected dysautonomia and vagus nerve dysfunction, I am waiting for my physiotherapy appointment now. 
I stay positive, I stay active, I still wish people will take this more serious. I pray for all of us to get better!</t>
        </is>
      </c>
      <c r="D4778" t="n">
        <v>1</v>
      </c>
      <c r="E4778" t="n">
        <v>34</v>
      </c>
      <c r="F4778">
        <f>HYPERLINK("https://www.reddit.com/r/COVID19positive/comments/ih768c/covid_recovery_5_months_long_hauler_watch_out_for/")</f>
        <v/>
      </c>
      <c r="G4778" t="inlineStr">
        <is>
          <t>2020-08-26 13:51:07</t>
        </is>
      </c>
      <c r="H4778" t="inlineStr">
        <is>
          <t>Presumed Positive - From Doctor</t>
        </is>
      </c>
    </row>
    <row r="4779">
      <c r="A4779" t="inlineStr">
        <is>
          <t>ih7p62</t>
        </is>
      </c>
      <c r="B4779" t="inlineStr">
        <is>
          <t>Change in sense of smell recently. Tested positive early July but didn’t lose sense of smell at that time.</t>
        </is>
      </c>
      <c r="C4779" t="inlineStr">
        <is>
          <t>I tested positive in early July. I’ve been symptom free for all of August except for a an issue with my sense of smell. When I had major symptoms I lost my sense of taste and didn’t notice a change in smell.  I was bedridden for maybe three days and then weak and tired for several more. Over the past week or so I’ve noticed a constant scent of smoke that isn’t present for anyone else.  I’m not sure I’m asking a question so mush as just getting the information out there for anyone researching. I’m in Michigan and after the initial contact tracing call there’s been no communication from health services.</t>
        </is>
      </c>
      <c r="D4779" t="n">
        <v>1</v>
      </c>
      <c r="E4779" t="n">
        <v>2</v>
      </c>
      <c r="F4779">
        <f>HYPERLINK("https://www.reddit.com/r/COVID19positive/comments/ih7p62/change_in_sense_of_smell_recently_tested_positive/")</f>
        <v/>
      </c>
      <c r="G4779" t="inlineStr">
        <is>
          <t>2020-08-26 14:18:25</t>
        </is>
      </c>
      <c r="H4779" t="inlineStr">
        <is>
          <t>Tested Positive - Me</t>
        </is>
      </c>
    </row>
    <row r="4780">
      <c r="A4780" t="inlineStr">
        <is>
          <t>ih7slu</t>
        </is>
      </c>
      <c r="B4780" t="inlineStr">
        <is>
          <t>Anti-Masker Cousin</t>
        </is>
      </c>
      <c r="C4780" t="inlineStr">
        <is>
          <t>I have a cousin who has been extremely adamant on sharing her opinion that "masks are communist control methods" and that "we are voluntarily giving up our freedoms to the fear-inflicting government" on Facebook. I've been *this close* to unfriending her throughout this pandemic, but today I'm so glad I didn't.
She shared with us today she tested POSITIVE for Covid-19.
As much as my mind wants to think of this as bad karma for all the hoax posts and anti-mask posts, my mind cant stop thinking about my poor aunt, uncle, cousins, her friends and strangers she's come in contact with in public who she's all exposed with her careless attitude and ignorance.
Moral of the story, wear your damn mask. This isn't the time for pseudoscience and politics. It's about caring for your fellow human. Please.</t>
        </is>
      </c>
      <c r="D4780" t="n">
        <v>1</v>
      </c>
      <c r="E4780" t="n">
        <v>13</v>
      </c>
      <c r="F4780">
        <f>HYPERLINK("https://www.reddit.com/r/COVID19positive/comments/ih7slu/antimasker_cousin/")</f>
        <v/>
      </c>
      <c r="G4780" t="inlineStr">
        <is>
          <t>2020-08-26 14:23:36</t>
        </is>
      </c>
      <c r="H4780" t="inlineStr">
        <is>
          <t>Tested Positive - Family</t>
        </is>
      </c>
    </row>
    <row r="4781">
      <c r="A4781" t="inlineStr">
        <is>
          <t>ih8284</t>
        </is>
      </c>
      <c r="B4781" t="inlineStr">
        <is>
          <t>Guilty feeling after testing positive</t>
        </is>
      </c>
      <c r="C4781" t="inlineStr">
        <is>
          <t>I am returning to university this fall. I was supposed to move in this weekend coming up but had to be tested before returning. I took the saliva test at home and sent it in only to get the result of POSITIVE. I am unsure of how this happened due to the fact that I have only been in close contact with my family and boyfriend, nobody else, in the last 2 weeks. I even wear a mask while going for walks outside if I feel like I can not social distance in the more commercial areas. I have no symptoms and was completely blindsided by the results.  I feel guilty due to the fact that I had just seen my aunt and cousins for a small outdoor gathering just so that I could say goodbye. This was after the period where my contacts were  limited to only my family and boyfriend and I had no symptoms as well. Nobody else has symptoms ( at least not yet). I had also just gotten tested 3 weeks ago ( nasal swab) and it returned a negative result. I am not sure what to do. I informed my aunt and cousins. I am also very cautious due to taking care of my grandparents. They have not left the house in over 7 months so they definitely did not pass the virus to me. I am just very upset and feel guilty due to the fact that I did everything I could have done to stay safe ( even while saying bye I stayed outside and distanced from the others) and still tested positive. I am going to a drive through clinic tomorrow to see if I can get a nasal swab to confirm by results.</t>
        </is>
      </c>
      <c r="D4781" t="n">
        <v>1</v>
      </c>
      <c r="E4781" t="n">
        <v>4</v>
      </c>
      <c r="F4781">
        <f>HYPERLINK("https://www.reddit.com/r/COVID19positive/comments/ih8284/guilty_feeling_after_testing_positive/")</f>
        <v/>
      </c>
      <c r="G4781" t="inlineStr">
        <is>
          <t>2020-08-26 14:37:48</t>
        </is>
      </c>
      <c r="H4781" t="inlineStr">
        <is>
          <t>Tested Positive</t>
        </is>
      </c>
    </row>
    <row r="4782">
      <c r="A4782" t="inlineStr">
        <is>
          <t>ih8ubi</t>
        </is>
      </c>
      <c r="B4782" t="inlineStr">
        <is>
          <t>Tested Positive for COVID but Antibody test was negative. False positive?</t>
        </is>
      </c>
      <c r="C4782" t="inlineStr">
        <is>
          <t>Forgive me if this question has been asked already. 
Here's the timeline: 
* **7.24 -** flight home from vacation. Plan was to self-isolate for 2 weeks from this date, which we did. 
* **8.4 -** (11 days later) Tested for COVID. Test came back positive. \[We tested because we'd been flying and therefore high-risk, not because of symptoms. After my positive, I noticed about a week's worth of mild GI symptoms, but none of the usual respiratory symptoms ever developed\]. 
* **8.17 -** (13 days after that) Took antibodies test. This test comes back negative. 
I should mention that my husband and our toddler also tested for both COVID and antibodies, and their tests were all negative. 
**What does this mean? Is it fair to assume that my first test was a false positive, or are there other possibilities?**</t>
        </is>
      </c>
      <c r="D4782" t="n">
        <v>1</v>
      </c>
      <c r="E4782" t="n">
        <v>10</v>
      </c>
      <c r="F4782">
        <f>HYPERLINK("https://www.reddit.com/r/COVID19positive/comments/ih8ubi/tested_positive_for_covid_but_antibody_test_was/")</f>
        <v/>
      </c>
      <c r="G4782" t="inlineStr">
        <is>
          <t>2020-08-26 15:20:17</t>
        </is>
      </c>
      <c r="H4782" t="inlineStr">
        <is>
          <t>Tested Positive - Me</t>
        </is>
      </c>
    </row>
    <row r="4783">
      <c r="A4783" t="inlineStr">
        <is>
          <t>ih9ag4</t>
        </is>
      </c>
      <c r="B4783" t="inlineStr">
        <is>
          <t>4 COVID tests later and I'm finally negative! Hang in there!</t>
        </is>
      </c>
      <c r="C4783" t="inlineStr">
        <is>
          <t>My first day of symptoms was on July 5th, got tested the next day and was confirmed positive. I had very mild symptoms, only lost sense of smell, felt like a head cold and had a mild headache that wouldn't go away.
95% feeling better, two weeks later, and another positive on the test. 
100% better, another two weeks later, and another positive on the test.
Waited 3 weeks this time and finally came back negative.
Definitely grateful that I only had mild symptoms, but the long quarantine and not knowing how long I'll stay positive for with no symptoms was getting to me! I'm so happy its negative now!</t>
        </is>
      </c>
      <c r="D4783" t="n">
        <v>1</v>
      </c>
      <c r="E4783" t="n">
        <v>6</v>
      </c>
      <c r="F4783">
        <f>HYPERLINK("https://www.reddit.com/r/COVID19positive/comments/ih9ag4/4_covid_tests_later_and_im_finally_negative_hang/")</f>
        <v/>
      </c>
      <c r="G4783" t="inlineStr">
        <is>
          <t>2020-08-26 15:46:04</t>
        </is>
      </c>
      <c r="H4783" t="inlineStr">
        <is>
          <t>Tested Positive - Me</t>
        </is>
      </c>
    </row>
    <row r="4784">
      <c r="A4784" t="inlineStr">
        <is>
          <t>ih9vsh</t>
        </is>
      </c>
      <c r="B4784" t="inlineStr">
        <is>
          <t>Need a Negative Retest</t>
        </is>
      </c>
      <c r="C4784" t="inlineStr">
        <is>
          <t>So I tested positive on 8/12, but my symptoms started on 8/8. I've been in quarantine for over 2 weeks. I gave a return-to-work letter from my doctor to my employer that also stated that the CDC doesn't recommend retest due to non-contagious virus shedding. However my employer was adamant about a negative retest as I work with other people. Most of my symptoms are gone except loss of taste and smell.
I'm getting tested through a 3rd party since my health provider is reluctant to retest. I'm thinking worse case scenario, I might still have a positive result for 3 months. I may need to test at different places.
Those who had to get a negative retest, how long did it take to get a negative and how did you go about getting the tests done (i.e. retesting how often, finding testing sites)? I live in bay area California (not SF) and it seems like there's a lot of loops to jump through just to get tested.</t>
        </is>
      </c>
      <c r="D4784" t="n">
        <v>1</v>
      </c>
      <c r="E4784" t="n">
        <v>11</v>
      </c>
      <c r="F4784">
        <f>HYPERLINK("https://www.reddit.com/r/COVID19positive/comments/ih9vsh/need_a_negative_retest/")</f>
        <v/>
      </c>
      <c r="G4784" t="inlineStr">
        <is>
          <t>2020-08-26 16:21:25</t>
        </is>
      </c>
      <c r="H4784" t="inlineStr">
        <is>
          <t>Tested Positive</t>
        </is>
      </c>
    </row>
    <row r="4785">
      <c r="A4785" t="inlineStr">
        <is>
          <t>ihcxvy</t>
        </is>
      </c>
      <c r="B4785" t="inlineStr">
        <is>
          <t>Antibody question</t>
        </is>
      </c>
      <c r="C4785" t="inlineStr">
        <is>
          <t>So lets say a person had covid but a few months later tested negative for antibodies, if they get reinfected will symptoms be just as bad as the first time they had the virus? 
Is this something no one has an answer to yet?</t>
        </is>
      </c>
      <c r="D4785" t="n">
        <v>1</v>
      </c>
      <c r="E4785" t="n">
        <v>5</v>
      </c>
      <c r="F4785">
        <f>HYPERLINK("https://www.reddit.com/r/COVID19positive/comments/ihcxvy/antibody_question/")</f>
        <v/>
      </c>
      <c r="G4785" t="inlineStr">
        <is>
          <t>2020-08-26 19:37:27</t>
        </is>
      </c>
      <c r="H4785" t="inlineStr">
        <is>
          <t>Presumed Positive - From Doctor</t>
        </is>
      </c>
    </row>
    <row r="4786">
      <c r="A4786" t="inlineStr">
        <is>
          <t>ihderv</t>
        </is>
      </c>
      <c r="B4786" t="inlineStr">
        <is>
          <t>Day by day of how Covid is affecting me [Update]</t>
        </is>
      </c>
      <c r="C4786" t="inlineStr">
        <is>
          <t>I tested positive on Sunday.
Recap
Day 1 Friday night I had a sore throat
Day 2 Saturday night I had a headache, body aches, sore throat, and low grade fever.
Day 3 Sunday: I tested that morning. Felt fine low grade fever. Body aches
Day 4 Monday: received my + test result. no more fever. Low appetite. 
Day 5 Tuesday: a little phlegm in my chest, headache, sinus tingling, beginning to lose sense of smell body ache, little focus, 
Day 6 Wednesday: my sister's results came back positive. Mucus in my cough, headache, sinus pressure, sinus pain when I switch from sitting to laying to standing, complete loss of smell, taste is starting to go as well.
Still waiting on results for my grandma and dad. We haven't had contact with either of them since Sunday. Neither of them are showing signs so we are hopeful. 
Not sure if I should continue to update on one post or create a new post each time. Let me know which would be best.</t>
        </is>
      </c>
      <c r="D4786" t="n">
        <v>1</v>
      </c>
      <c r="E4786" t="n">
        <v>5</v>
      </c>
      <c r="F4786">
        <f>HYPERLINK("https://www.reddit.com/r/COVID19positive/comments/ihderv/day_by_day_of_how_covid_is_affecting_me_update/")</f>
        <v/>
      </c>
      <c r="G4786" t="inlineStr">
        <is>
          <t>2020-08-26 20:08:33</t>
        </is>
      </c>
      <c r="H4786" t="inlineStr">
        <is>
          <t>Tested Positive - Me</t>
        </is>
      </c>
    </row>
    <row r="4787">
      <c r="A4787" t="inlineStr">
        <is>
          <t>ihenem</t>
        </is>
      </c>
      <c r="B4787" t="inlineStr">
        <is>
          <t>Positive story about a positive test</t>
        </is>
      </c>
      <c r="C4787" t="inlineStr">
        <is>
          <t>My 62-year old mother tested positive for COVID last month. She is 100% better right now. Here was her course of symptoms and the details:
Days 1 and 2: felt tired and slightly “off”, but didn’t even realize it until she felt worse the next day in retrospect
Day 3: the first day she suspected she was ill. She had the “worst headache of her life” (her face and eyes hurt), along with pretty significant myalgia in her larger muscles. She went to bed and took Tylenol AND ibuprofen. This dulled things enough to fall asleep. No fever. No cough.
***This was when I was looped in, because my 4 yo had been with her on Day 1 before we knew she was getting sick. They were in a car together for 2 hours. Neither wore a mask in the car, but there was no other physical contact except helping him buckle his car seat***
Day 4: still had headache and muscle aches. They felt slightly better first thing in the morning, then picked up again so she spent much of the day sleeping. No fever. No cough. This was the day she went to the doctor and got a positive COVID test. My family began a 14 day quarantine from the day she had contact with my son...luckily it was all over a weekend so we hadn’t left the house.
Day 5: headache and muscle aches pretty much gone, diarrhea all day, fatigue, perhaps an intermittent low-grade fever that she only felt if she got up to walk around a lot. 
Day 6: felt back to normal except for fatigue and loss of smell and taste which started today. She noted a “slight burning sensation” in her chest/lungs, very light cough 
Day 7-9: felt pretty much normal, except for tiring easily and loss of smell and taste. She coughed once or twice these days and felt the slight burning in her chest. She said she knew at this point she was probably going to be fine, but the worst part was the psychological part of not knowing the exact course of how things were going to go.
By Day 10 she was recovered except for lingering fatigue when doing lots of activity. Her doctor said this was normal. She said she only felt “sick” sick for those two days of headache and body ache.
My son never got sick and no one else in my household got sick. More interesting though is that my 63-year old father, who lives with my mother and took absolutely no precautions until she tested positive (because he obviously didn’t know she was infected), was never ill. Looking at my mom’s symptoms, he thinks he may have had it in late February, when he was similarly ill (back then he wouldn’t have gotten tested because they were only testing people with fever over 102 and an accompanying cough)...which might explain his immunity.
My mother’s primary risk factor was age. She is *maybe* 10-15 lbs overweight, but I’m sure her BMI is not over 40, so I’m not sure that is actually a risk. Luckily, she is very healthy and lives on a small farm where they grow all of their produce and have chickens that lay eggs, plus bees for honey. She walks around outside a lot too, even when she was sick, for fresh air.
Also, mom doesn’t have a clue how she got it. She only leaves the house for necessary errands and wears a mask everywhere. She probably got it somehow at the grocery store, because as we all know, masks don’t completely prevent the spread.</t>
        </is>
      </c>
      <c r="D4787" t="n">
        <v>1</v>
      </c>
      <c r="E4787" t="n">
        <v>2</v>
      </c>
      <c r="F4787">
        <f>HYPERLINK("https://www.reddit.com/r/COVID19positive/comments/ihenem/positive_story_about_a_positive_test/")</f>
        <v/>
      </c>
      <c r="G4787" t="inlineStr">
        <is>
          <t>2020-08-26 21:37:28</t>
        </is>
      </c>
      <c r="H4787" t="inlineStr">
        <is>
          <t>Tested Positive - Family</t>
        </is>
      </c>
    </row>
    <row r="4788">
      <c r="A4788" t="inlineStr">
        <is>
          <t>iheygj</t>
        </is>
      </c>
      <c r="B4788" t="inlineStr">
        <is>
          <t>low cd4?</t>
        </is>
      </c>
      <c r="C4788" t="inlineStr">
        <is>
          <t>Anyone else? I have 466 cd4. Does this thing lower immune system as such</t>
        </is>
      </c>
      <c r="D4788" t="n">
        <v>1</v>
      </c>
      <c r="E4788" t="n">
        <v>6</v>
      </c>
      <c r="F4788">
        <f>HYPERLINK("https://www.reddit.com/r/COVID19positive/comments/iheygj/low_cd4/")</f>
        <v/>
      </c>
      <c r="G4788" t="inlineStr">
        <is>
          <t>2020-08-26 22:01:36</t>
        </is>
      </c>
      <c r="H4788" t="inlineStr">
        <is>
          <t>Tested Positive</t>
        </is>
      </c>
    </row>
    <row r="4789">
      <c r="A4789" t="inlineStr">
        <is>
          <t>ihezl0</t>
        </is>
      </c>
      <c r="B4789" t="inlineStr">
        <is>
          <t>5 days have passed and symptoms are gone?</t>
        </is>
      </c>
      <c r="C4789" t="inlineStr">
        <is>
          <t>I just got done having really bad allergies and going in to get a steroid shot and I started having symptoms on 21st and 22nd. I got a fever, and then cough, so I know it's probably Covid. My mom tested positive and my brother tested positive but I never got tested since I think it's pretty useless since I'm gonna have to stay home anyways. I had the exact same symptoms as them and it was fluctuating until last night when I got really bad. That must've burnt off the rest of my symptoms because I woke up today and feel fine besides a ton of nosebleeding/ bloody nose. The only things left besides the nosebleed is I still have some phlegm and a sore throat. I'll see what happens tomorrow, but maybe it's just gone now. I will note that I had the "December cough" where everything came up negative when they tested me for flu and whatnot, and it was worse in December than it is now. It seems like to me that I built up a partial immunity in December and that helped me fight it off better this time, or the December cough was not Covid, and I've just recovered in 5 days.  
&amp;amp;nbsp;  
So my treatment plan has been as follows: Dayquil and Nyquil severe every chance I could get, mucerna pruriens, zinc/vitamin d/ vitamin c/ multivitamins. All of that and I've been trying to sleep as much as possible.</t>
        </is>
      </c>
      <c r="D4789" t="n">
        <v>1</v>
      </c>
      <c r="E4789" t="n">
        <v>5</v>
      </c>
      <c r="F4789">
        <f>HYPERLINK("https://www.reddit.com/r/COVID19positive/comments/ihezl0/5_days_have_passed_and_symptoms_are_gone/")</f>
        <v/>
      </c>
      <c r="G4789" t="inlineStr">
        <is>
          <t>2020-08-26 22:03:55</t>
        </is>
      </c>
      <c r="H4789" t="inlineStr">
        <is>
          <t>Presumed Positive - From Doctor</t>
        </is>
      </c>
    </row>
    <row r="4790">
      <c r="A4790" t="inlineStr">
        <is>
          <t>ihf8bx</t>
        </is>
      </c>
      <c r="B4790" t="inlineStr">
        <is>
          <t>Heading into day 8 with high anxiety</t>
        </is>
      </c>
      <c r="C4790" t="inlineStr">
        <is>
          <t>I’m 36F with asthma, obesity, lupus, and fibromyalgia. Husband and I got positive test results yesterday after getting sick last week.
I’m terrified about heading into day 8 of this. My chest and upper back muscles hurt from coughing. I can breathe deeply and my O2 is around 97% (got a pulse ox months ago) but there’s a ticklish/sore spot that I hit and it constantly makes me cough. And this is giving me such high anxiety since I’ve read that most hospitalizations happen around 8-10 days.</t>
        </is>
      </c>
      <c r="D4790" t="n">
        <v>1</v>
      </c>
      <c r="E4790" t="n">
        <v>28</v>
      </c>
      <c r="F4790">
        <f>HYPERLINK("https://www.reddit.com/r/COVID19positive/comments/ihf8bx/heading_into_day_8_with_high_anxiety/")</f>
        <v/>
      </c>
      <c r="G4790" t="inlineStr">
        <is>
          <t>2020-08-26 22:23:31</t>
        </is>
      </c>
      <c r="H4790" t="inlineStr">
        <is>
          <t>Tested Positive</t>
        </is>
      </c>
    </row>
    <row r="4791">
      <c r="A4791" t="inlineStr">
        <is>
          <t>ihhc28</t>
        </is>
      </c>
      <c r="B4791" t="inlineStr">
        <is>
          <t>Relapse</t>
        </is>
      </c>
      <c r="C4791" t="inlineStr">
        <is>
          <t>Guys so i was tested last August 12 and my results came back on august 16 i tested positive for covid
August 7-11 I experienced body aches, headaches, low back pain,nasal congestion, complete loss of smell and taste and a weird burning sensation on my nose when breathing.
August 11-15 fatigue and complete loss of smell and taste and i cant stop sweating
August 16- present my sense of smell and taste are back I completely recovered
Question: Sometimes my temp gets high but not high enough to be considered as fever 37.1 and i just sweat it out and my temp goes back to normal and the other day i experienced a migraine i just went to sleep and when i woke up in the morning its gone. And i easily get tired could this be a psychological problem? Cause im having anxieties and i worry that my  symptoms would relapse. Pls help🥺</t>
        </is>
      </c>
      <c r="D4791" t="n">
        <v>1</v>
      </c>
      <c r="E4791" t="n">
        <v>3</v>
      </c>
      <c r="F4791">
        <f>HYPERLINK("https://www.reddit.com/r/COVID19positive/comments/ihhc28/relapse/")</f>
        <v/>
      </c>
      <c r="G4791" t="inlineStr">
        <is>
          <t>2020-08-27 01:30:50</t>
        </is>
      </c>
      <c r="H4791" t="inlineStr">
        <is>
          <t>Tested Positive - Me</t>
        </is>
      </c>
    </row>
    <row r="4792">
      <c r="A4792" t="inlineStr">
        <is>
          <t>ihlhib</t>
        </is>
      </c>
      <c r="B4792" t="inlineStr">
        <is>
          <t>Positive to negative</t>
        </is>
      </c>
      <c r="C4792" t="inlineStr">
        <is>
          <t>How long has it taken you or family members to test negative after testing positive?</t>
        </is>
      </c>
      <c r="D4792" t="n">
        <v>1</v>
      </c>
      <c r="E4792" t="n">
        <v>6</v>
      </c>
      <c r="F4792">
        <f>HYPERLINK("https://www.reddit.com/r/COVID19positive/comments/ihlhib/positive_to_negative/")</f>
        <v/>
      </c>
      <c r="G4792" t="inlineStr">
        <is>
          <t>2020-08-27 06:57:33</t>
        </is>
      </c>
      <c r="H4792" t="inlineStr">
        <is>
          <t>Tested Positive</t>
        </is>
      </c>
    </row>
    <row r="4793">
      <c r="A4793" t="inlineStr">
        <is>
          <t>ihmb56</t>
        </is>
      </c>
      <c r="B4793" t="inlineStr">
        <is>
          <t>Is there a point to get retested?</t>
        </is>
      </c>
      <c r="C4793" t="inlineStr">
        <is>
          <t>I recently tested positive for covid 19 and coming to an end of my quarantine, I was wondering once I’m done quarantining is it a good idea to get retested for Covid to make sure it’s negative?</t>
        </is>
      </c>
      <c r="D4793" t="n">
        <v>1</v>
      </c>
      <c r="E4793" t="n">
        <v>7</v>
      </c>
      <c r="F4793">
        <f>HYPERLINK("https://www.reddit.com/r/COVID19positive/comments/ihmb56/is_there_a_point_to_get_retested/")</f>
        <v/>
      </c>
      <c r="G4793" t="inlineStr">
        <is>
          <t>2020-08-27 07:45:26</t>
        </is>
      </c>
      <c r="H4793" t="inlineStr">
        <is>
          <t>Tested Positive - Me</t>
        </is>
      </c>
    </row>
    <row r="4794">
      <c r="A4794" t="inlineStr">
        <is>
          <t>ihni5m</t>
        </is>
      </c>
      <c r="B4794" t="inlineStr">
        <is>
          <t>Headaches and University</t>
        </is>
      </c>
      <c r="C4794" t="inlineStr">
        <is>
          <t>Im on day 9 since I started showing symptoms and most of my symptoms have settled down. All I have left is the coughing, GI issues, loss of appetite and the most intense and constant headaches I’ve ever had.
I tried to do some of my homework and looked at the screen for maybe twenty minutes before the headaches became unbearable and I had to lay down. They’re constant, and they increase in severity anytime I try to do anything that’s takes even the slightest of mental energy. I’m taking ibuprofen every 4 hours and it’s helped with the body aches and fever but doesn’t seem to put a dent in the head aches.
Im not sure if the headaches are as severe as they are just from COVID or if it’s also from the fact that I pretty much stopped cold turkey on nicotine and caffeine which I was pretty addicted to. But I’ve stopped cold turkey before and never had head aches like this. 
Has anyone else had wheat aches like this? And how did you alleviate it? Please I need help cause I got school work piling up and I don’t know what to do.</t>
        </is>
      </c>
      <c r="D4794" t="n">
        <v>1</v>
      </c>
      <c r="E4794" t="n">
        <v>3</v>
      </c>
      <c r="F4794">
        <f>HYPERLINK("https://www.reddit.com/r/COVID19positive/comments/ihni5m/headaches_and_university/")</f>
        <v/>
      </c>
      <c r="G4794" t="inlineStr">
        <is>
          <t>2020-08-27 08:50:54</t>
        </is>
      </c>
      <c r="H4794" t="inlineStr">
        <is>
          <t>Tested Positive - Me</t>
        </is>
      </c>
    </row>
    <row r="4795">
      <c r="A4795" t="inlineStr">
        <is>
          <t>ihnyek</t>
        </is>
      </c>
      <c r="B4795" t="inlineStr">
        <is>
          <t>What helps with body aches?</t>
        </is>
      </c>
      <c r="C4795" t="inlineStr">
        <is>
          <t>day three for me... Have the worst body aches. Stabbing pains, burning pains, sore, aches, temperature fluctuations, just miserable.
Seems like the absolute only thing thats even helped a little bit is a hot shower, but obviously I can't be in the shower for twenty four hours a day, so what are you guys doing that helps the aches?</t>
        </is>
      </c>
      <c r="D4795" t="n">
        <v>1</v>
      </c>
      <c r="E4795" t="n">
        <v>38</v>
      </c>
      <c r="F4795">
        <f>HYPERLINK("https://www.reddit.com/r/COVID19positive/comments/ihnyek/what_helps_with_body_aches/")</f>
        <v/>
      </c>
      <c r="G4795" t="inlineStr">
        <is>
          <t>2020-08-27 09:14:17</t>
        </is>
      </c>
      <c r="H4795" t="inlineStr">
        <is>
          <t>Tested Positive - Me</t>
        </is>
      </c>
    </row>
    <row r="4796">
      <c r="A4796" t="inlineStr">
        <is>
          <t>ihozx8</t>
        </is>
      </c>
      <c r="B4796" t="inlineStr">
        <is>
          <t>Frustrated. Recently tested positive</t>
        </is>
      </c>
      <c r="C4796" t="inlineStr">
        <is>
          <t>Hello everyone, kinda just need to rant for a second if you guys don’t mind. I don’t want stress my girlfriend or mom..
To make a long story short, I woke up Sunday with flu like symptoms. I was really emotional and started crying?? My temp was up to 102 and I slept for most of the afternoon. I took a covid test on Monday and called off work and quarantined myself. I received my test results yesterday and was positive for covid : / For the past 5 days I’ve had flu like symptoms and all I feel is pain. Lower back pain, body pain, sweating, sometimes chills,my body temperature fluctuates, fever, loss my sense of tase and smell 2 days ago. I’m forcing myself to eat and drink water. I am taking 1000 mg of Tylenol every 6 hours. I just started taking vitamin c and vitamin d 
I just wanted to rant because I am pissed. 
My dad died on April 5th due to covid at the height of the lockdown. It was the worst, i was behind a gate 100 yards away watching him get buried. but before that I’ve been very careful with covid. My girlfriend and I have not gone out anywhere, only to the grocery store and work and we have quarantined to stay safe. We’ve done everything right and I see people that I know, travel, go to bars have dinner and party without a care. While we’ve been taking this shit serious and now I am suffering. It’s bullshit. 
I personally think I got it from my co worker who goes to bars and is a bit reckless. He was saying he was not feeling to well at work last week and I usually work next to him and sometimes he doesn’t wear his mask. I have to yell at him to wear his mask.
It’s impossible to really know but that’s what I think. Now I’m worried I put my girlfriend and mom at risk and I don’t want anyone of my loved ones to feel the pain I’m dealing with due to this virus. I’m a pretty healthy 30 y/o male 250lbs. 
They’re both getting tested 
Does anyone have a link or a past thread of covid-19 symptoms day by day? I’m on day 5 of flu like symptoms/ feeling like crap and I would like to know what to expect for the next couple of days. So far my chest is starting to hurt when I take a deep breath. I have an inhaler but I don’t want to use it unless I have to but I feel fine 
Thanks everyone. Take care. sorry this was all over the place</t>
        </is>
      </c>
      <c r="D4796" t="n">
        <v>1</v>
      </c>
      <c r="E4796" t="n">
        <v>57</v>
      </c>
      <c r="F4796">
        <f>HYPERLINK("https://www.reddit.com/r/COVID19positive/comments/ihozx8/frustrated_recently_tested_positive/")</f>
        <v/>
      </c>
      <c r="G4796" t="inlineStr">
        <is>
          <t>2020-08-27 10:09:53</t>
        </is>
      </c>
      <c r="H4796" t="inlineStr">
        <is>
          <t>Tested Positive</t>
        </is>
      </c>
    </row>
    <row r="4797">
      <c r="A4797" t="inlineStr">
        <is>
          <t>ihriku</t>
        </is>
      </c>
      <c r="B4797" t="inlineStr">
        <is>
          <t>What am I supposed to do</t>
        </is>
      </c>
      <c r="C4797" t="inlineStr">
        <is>
          <t>I tested positive for COVID along with my mom and dad and my sister is getting symptoms,the only one left is my 8 year old sister so who is supposed to take care of her ???Also about how long should I stay quarantined ,I only have mild symptoms and have been sick for about 5 days</t>
        </is>
      </c>
      <c r="D4797" t="n">
        <v>1</v>
      </c>
      <c r="E4797" t="n">
        <v>3</v>
      </c>
      <c r="F4797">
        <f>HYPERLINK("https://www.reddit.com/r/COVID19positive/comments/ihriku/what_am_i_supposed_to_do/")</f>
        <v/>
      </c>
      <c r="G4797" t="inlineStr">
        <is>
          <t>2020-08-27 12:19:11</t>
        </is>
      </c>
      <c r="H4797" t="inlineStr">
        <is>
          <t>Tested Positive</t>
        </is>
      </c>
    </row>
    <row r="4798">
      <c r="A4798" t="inlineStr">
        <is>
          <t>ihrv4i</t>
        </is>
      </c>
      <c r="B4798" t="inlineStr">
        <is>
          <t>For those who have returned to work. How do you battle fatigue and shortness of breath?</t>
        </is>
      </c>
      <c r="C4798" t="inlineStr">
        <is>
          <t>For those who have returned to work...
What’s your best advice for battling the fatigue, shortness of breath, and endurance issues?</t>
        </is>
      </c>
      <c r="D4798" t="n">
        <v>1</v>
      </c>
      <c r="E4798" t="n">
        <v>16</v>
      </c>
      <c r="F4798">
        <f>HYPERLINK("https://www.reddit.com/r/COVID19positive/comments/ihrv4i/for_those_who_have_returned_to_work_how_do_you/")</f>
        <v/>
      </c>
      <c r="G4798" t="inlineStr">
        <is>
          <t>2020-08-27 12:36:19</t>
        </is>
      </c>
      <c r="H4798" t="inlineStr">
        <is>
          <t>Tested Positive - Me</t>
        </is>
      </c>
    </row>
    <row r="4799">
      <c r="A4799" t="inlineStr">
        <is>
          <t>ihsjpo</t>
        </is>
      </c>
      <c r="B4799" t="inlineStr">
        <is>
          <t>Dealing with Loss of a loved one - It's different</t>
        </is>
      </c>
      <c r="C4799" t="inlineStr">
        <is>
          <t>Its been 3 weeks since my grandfather died. This is not the first time I have lost someone in my family , but a Corona virus death is very very different. With diseases like Cancer or a tumor or any other disease, in most cases we have time to prepare our mind. We know that the person is sick and there is nothing we could have done to prevent it. 
What is different here is the suddenness of the whole thing. One day the person is talking, laughing and enjoying his life and suddenly it is taken away from him for no fault of his. This does not feel like a natural death. The feeling is more like losing someone in a Car accident .. flight crash .. Like the ones where the person kisses his wife and child and leaves for office but ends up in a freak car crash. 
I have heard stories about the family members losing someone in a car crash..They run through various permutations and combinations which could have avoided the accident. Maybe if he had left 30 mins early. Maybe if had taken the train that day etc etc. My situation is exactly same. I am constantly thinking what could I have done better - Was I careless , did I buy a cheap mask, maybe a better mask could have saved his life......
The suddenness and the guilt. Even if you have already lost someone close , this death will still hit you like never before because of these 2 things. Stay home , stay safe and WEAR A MASK.. Time heals everything. I lost my grandmother 10 yrs back due to a kidney issue.  But I feel this time it will be a very Long healing process for me..</t>
        </is>
      </c>
      <c r="D4799" t="n">
        <v>1</v>
      </c>
      <c r="E4799" t="n">
        <v>6</v>
      </c>
      <c r="F4799">
        <f>HYPERLINK("https://www.reddit.com/r/COVID19positive/comments/ihsjpo/dealing_with_loss_of_a_loved_one_its_different/")</f>
        <v/>
      </c>
      <c r="G4799" t="inlineStr">
        <is>
          <t>2020-08-27 13:11:01</t>
        </is>
      </c>
      <c r="H4799" t="inlineStr">
        <is>
          <t>Tested Positive</t>
        </is>
      </c>
    </row>
    <row r="4800">
      <c r="A4800" t="inlineStr">
        <is>
          <t>ihspbs</t>
        </is>
      </c>
      <c r="B4800" t="inlineStr">
        <is>
          <t>My Mild Case Experience</t>
        </is>
      </c>
      <c r="C4800" t="inlineStr">
        <is>
          <t>Not enough stories of recovery on here so I figured I'd share my journey with a mild case! Background info: Athletic early 20s male with no underlying/risk increasing health conditions. 
8/13-8/15: Traced to possible exposure dates. 
8/15: No symptoms. 
8/16: No symptoms. 
8/17: No symptoms, was informed I had been exposed. Quarantine started. 
8/18: Woke up with a sore throat, got tested. 
8/19: Sore throat, postnasal drip, chest feels congested. Test came back positive. 
8/20: Sore throat, still congested, infrequent dry cough.
8/21: Still congested, postnasal drip, infrequent dry cough.
8/22: Still congested, postnasal drip, infrequent dry cough.
8/23: Feel pretty good. Some back pain that's most likely from sitting around all week. 
8/24: A little chest congestion. 
8/25: Chest feels better, all good.
8/26: No symptoms
8/27: No symptoms, considered most likely recovered. 
My advice: Don't let stress get to you. I sure did the first few days, before I realised the best plan is to just buckle up and go along for whatever journey the virus takes you on and do your best to manage it.  
The only things I took were Vitamin C and Zinc tablets daily, along with hot baths and plenty of sun exposure. 
I definitely got lucky with my case but I hope this post can help put some people's minds at ease since looking at recovery stories on here helped me.</t>
        </is>
      </c>
      <c r="D4800" t="n">
        <v>1</v>
      </c>
      <c r="E4800" t="n">
        <v>6</v>
      </c>
      <c r="F4800">
        <f>HYPERLINK("https://www.reddit.com/r/COVID19positive/comments/ihspbs/my_mild_case_experience/")</f>
        <v/>
      </c>
      <c r="G4800" t="inlineStr">
        <is>
          <t>2020-08-27 13:19:26</t>
        </is>
      </c>
      <c r="H4800" t="inlineStr">
        <is>
          <t>Tested Positive - Me</t>
        </is>
      </c>
    </row>
    <row r="4801">
      <c r="A4801" t="inlineStr">
        <is>
          <t>ihtec2</t>
        </is>
      </c>
      <c r="B4801" t="inlineStr">
        <is>
          <t>UPDATE!</t>
        </is>
      </c>
      <c r="C4801" t="inlineStr">
        <is>
          <t>My aunt is finally awake after a month in a medically induced coma on 90% ECMO and 10% ventilator!! She can not speak due to the tracheotomy and she is on heavy amounts of dilaudid to minimize the incredible pain she is in. She was able to squeeze my dads finger and blink to respond to his questions. She confirmed she knew who he was and why she was there. I’m starting feel hope for her again!!! Next step is toning the life support down little by little as her lungs heal❤️</t>
        </is>
      </c>
      <c r="D4801" t="n">
        <v>1</v>
      </c>
      <c r="E4801" t="n">
        <v>31</v>
      </c>
      <c r="F4801">
        <f>HYPERLINK("https://www.reddit.com/r/COVID19positive/comments/ihtec2/update/")</f>
        <v/>
      </c>
      <c r="G4801" t="inlineStr">
        <is>
          <t>2020-08-27 13:56:11</t>
        </is>
      </c>
      <c r="H4801" t="inlineStr">
        <is>
          <t>Tested Positive - Family</t>
        </is>
      </c>
    </row>
    <row r="4802">
      <c r="A4802" t="inlineStr">
        <is>
          <t>ihu0lv</t>
        </is>
      </c>
      <c r="B4802" t="inlineStr">
        <is>
          <t>Tested positive a few days ago - have zero symptoms</t>
        </is>
      </c>
      <c r="C4802" t="inlineStr">
        <is>
          <t>Hey guys, hope all is well.
My college town is running rampant with COVID cases so I got out of there six days ago, August 21st.  I was exposed to someone who tested positive two days after hanging out (we hung out August 15th, he tested positive on the 17th).  I tested positive three days ago, August 24th.  I have had NO symptoms, like at all.  How am I testing positive and having no symptoms?  Am I contagious?  I know that we aren’t medical professionals or whatever in this sub, but I need some advice, I was supposed to get a call from the health department after I had tested positive but I never received one.  Should I get another test done?  Just quarantine it out, and if so, how long is long enough considering I have no symptoms?  Am I good to see my friends and family? 
I’m really stressing out, any advice is appreciated.</t>
        </is>
      </c>
      <c r="D4802" t="n">
        <v>1</v>
      </c>
      <c r="E4802" t="n">
        <v>4</v>
      </c>
      <c r="F4802">
        <f>HYPERLINK("https://www.reddit.com/r/COVID19positive/comments/ihu0lv/tested_positive_a_few_days_ago_have_zero_symptoms/")</f>
        <v/>
      </c>
      <c r="G4802" t="inlineStr">
        <is>
          <t>2020-08-27 14:29:56</t>
        </is>
      </c>
      <c r="H4802" t="inlineStr">
        <is>
          <t>Tested Positive - Me</t>
        </is>
      </c>
    </row>
    <row r="4803">
      <c r="A4803" t="inlineStr">
        <is>
          <t>ihurhm</t>
        </is>
      </c>
      <c r="B4803" t="inlineStr">
        <is>
          <t>Healthcare worker here - going back to work?</t>
        </is>
      </c>
      <c r="C4803" t="inlineStr">
        <is>
          <t>Background - I'm an ICU nurse in an ICU serving both covid and non-covid patients. 31F. Otherwise healthy. In a state and particularly a city where cases are rising treacherously. 
I'm on day 8 of symptoms, 7 days since I tested positive. I still feel absolutely crappy: FATIGUE, headaches, cough and shortness of breath, intermittent fevers. I am required by my employer to take 10 days off after my positive test. My first shift back is supposed to be Tuesday overnight and unless things radically change for me, I'm not sure how I'm going to be able to work 12 hours overnight in full ppe like this. My employer will not cover my absence with workers comp because I was wearing ppe during all my exposures to covid patients (which have been numerous) They so very graciously "let" me go negative into my paid time off bank to cover the 5 shifts I will miss in my 10 required days off but anything after that will require a leave of absence. They do not require a negative test before I return. Is anyone else running into this? I'm scared to go back because I don't know if im ready yet to physically handle the work and if I'm still having symptoms how can I be sure I'm not still contagious without another test? (Oh, I also had to pay for my first test and will have to pay for any subsequent tests). 
Sorry for the giant pity party. Thanks for reading if you made this far. I'm just feeling like crap and just so frustrated.</t>
        </is>
      </c>
      <c r="D4803" t="n">
        <v>1</v>
      </c>
      <c r="E4803" t="n">
        <v>17</v>
      </c>
      <c r="F4803">
        <f>HYPERLINK("https://www.reddit.com/r/COVID19positive/comments/ihurhm/healthcare_worker_here_going_back_to_work/")</f>
        <v/>
      </c>
      <c r="G4803" t="inlineStr">
        <is>
          <t>2020-08-27 15:11:23</t>
        </is>
      </c>
      <c r="H4803" t="inlineStr">
        <is>
          <t>Tested Positive - Me</t>
        </is>
      </c>
    </row>
    <row r="4804">
      <c r="A4804" t="inlineStr">
        <is>
          <t>ihv0be</t>
        </is>
      </c>
      <c r="B4804" t="inlineStr">
        <is>
          <t>Friends trying to be helpful but making me feel a bit crazy...</t>
        </is>
      </c>
      <c r="C4804" t="inlineStr">
        <is>
          <t>I started showing symptoms two days ago and was tested yesterday. Test results take 2-10 days I guess so technically I don't know that what I'm experiencing is COVID, but I have so many symptoms that it feels silly to pretend that I don't have it. 
I come from a family where the best thing to do when you're sick is pretend you're not sick and keep working until you literally fall over. I cancelled everything I had planned when I started experiencing symptoms, and was already feeling a lot of guilt from that. Now friends and family are trying to be supportive by saying that hopefully it's not COVID or even that they're "certain" it isn't COVID, questioning my symptoms, questioning where I could have gotten it, etc. 
It's already so hard for me to take symptoms of anything seriously without everyone I know basically telling me I'm not feeling what I'm feeling. Does anyone else have experience with this or advice on what to say when people do this?</t>
        </is>
      </c>
      <c r="D4804" t="n">
        <v>1</v>
      </c>
      <c r="E4804" t="n">
        <v>2</v>
      </c>
      <c r="F4804">
        <f>HYPERLINK("https://www.reddit.com/r/COVID19positive/comments/ihv0be/friends_trying_to_be_helpful_but_making_me_feel_a/")</f>
        <v/>
      </c>
      <c r="G4804" t="inlineStr">
        <is>
          <t>2020-08-27 15:25:34</t>
        </is>
      </c>
      <c r="H4804" t="inlineStr">
        <is>
          <t>Presumed Positive - From Test</t>
        </is>
      </c>
    </row>
    <row r="4805">
      <c r="A4805" t="inlineStr">
        <is>
          <t>ihvdy0</t>
        </is>
      </c>
      <c r="B4805" t="inlineStr">
        <is>
          <t>How long did it take for you to get your smell 100% back?</t>
        </is>
      </c>
      <c r="C4805" t="inlineStr">
        <is>
          <t>I’m approaching 2 months since my mild case and my smell is about 75% back. It’s been improving every week albeit very slowly. My doctor said this is normal but i wanted to see if anyone else has had a similar experience.</t>
        </is>
      </c>
      <c r="D4805" t="n">
        <v>1</v>
      </c>
      <c r="E4805" t="n">
        <v>3</v>
      </c>
      <c r="F4805">
        <f>HYPERLINK("https://www.reddit.com/r/COVID19positive/comments/ihvdy0/how_long_did_it_take_for_you_to_get_your_smell/")</f>
        <v/>
      </c>
      <c r="G4805" t="inlineStr">
        <is>
          <t>2020-08-27 15:47:57</t>
        </is>
      </c>
      <c r="H4805" t="inlineStr">
        <is>
          <t>Tested Positive - Me</t>
        </is>
      </c>
    </row>
    <row r="4806">
      <c r="A4806" t="inlineStr">
        <is>
          <t>ihvzag</t>
        </is>
      </c>
      <c r="B4806" t="inlineStr">
        <is>
          <t>Covid19 positive, thought it was allergies</t>
        </is>
      </c>
      <c r="C4806" t="inlineStr">
        <is>
          <t>I got my results today for covid 19. I tested positive. I have terrible seasonal allergies, so I attributed  the stuffy nose and congestion, the occasional cough, fatigue and occasional chest tightness to allergies. Turns out i was positive
I was exposed to a coworker who was symptomatic on monday, but she was also symptomatic two weeks prior. I have felt run down for a week or so, but no body aches or symptoms that could not be attributed to allergies. On Monday and tuesday, I had a bad headache, which I thought was a tension headache.
I am totally freaking out about testing positive,  and am thinking the worst case scenario at this point, but I can't even determine what day my first symptoms were. I ran 4.5 miles today in the heat and felt fine, no difficulty breathing, but just a little fatigued
Is it possible to have a mild case? All I hear about is horror stories. I woukd just like other peoples input on their symptoms.</t>
        </is>
      </c>
      <c r="D4806" t="n">
        <v>1</v>
      </c>
      <c r="E4806" t="n">
        <v>9</v>
      </c>
      <c r="F4806">
        <f>HYPERLINK("https://www.reddit.com/r/COVID19positive/comments/ihvzag/covid19_positive_thought_it_was_allergies/")</f>
        <v/>
      </c>
      <c r="G4806" t="inlineStr">
        <is>
          <t>2020-08-27 16:22:52</t>
        </is>
      </c>
      <c r="H4806" t="inlineStr">
        <is>
          <t>Tested Positive - Me</t>
        </is>
      </c>
    </row>
    <row r="4807">
      <c r="A4807" t="inlineStr">
        <is>
          <t>ihwlg8</t>
        </is>
      </c>
      <c r="B4807" t="inlineStr">
        <is>
          <t>Taste Returns Slowly</t>
        </is>
      </c>
      <c r="C4807" t="inlineStr">
        <is>
          <t>It has been over three weeks but my taste is returning. I cant taste everything yet and damn near everything is spicy. How long did it take everyone to get back to normal for their sense of taste?</t>
        </is>
      </c>
      <c r="D4807" t="n">
        <v>1</v>
      </c>
      <c r="E4807" t="n">
        <v>2</v>
      </c>
      <c r="F4807">
        <f>HYPERLINK("https://www.reddit.com/r/COVID19positive/comments/ihwlg8/taste_returns_slowly/")</f>
        <v/>
      </c>
      <c r="G4807" t="inlineStr">
        <is>
          <t>2020-08-27 17:00:41</t>
        </is>
      </c>
      <c r="H4807" t="inlineStr">
        <is>
          <t>Tested Positive - Me</t>
        </is>
      </c>
    </row>
    <row r="4808">
      <c r="A4808" t="inlineStr">
        <is>
          <t>ihx6jl</t>
        </is>
      </c>
      <c r="B4808" t="inlineStr">
        <is>
          <t>Day 16, no smell + dry nasal canal and sinuses. Should I be concerned?</t>
        </is>
      </c>
      <c r="C4808" t="inlineStr">
        <is>
          <t>Today is my 16th day with no smell. I usually suffer from allergies, but my sinuses have been very dry. I have sneezed maybe 5 times in these 16 days and all are dry. My nasal canal has also been very dry. I still cough, but maybe only once an hour. And it is a single cough.
I did test positive.
My concern is my dry sinuses and lack of allergies. Should I be doing something??</t>
        </is>
      </c>
      <c r="D4808" t="n">
        <v>1</v>
      </c>
      <c r="E4808" t="n">
        <v>3</v>
      </c>
      <c r="F4808">
        <f>HYPERLINK("https://www.reddit.com/r/COVID19positive/comments/ihx6jl/day_16_no_smell_dry_nasal_canal_and_sinuses/")</f>
        <v/>
      </c>
      <c r="G4808" t="inlineStr">
        <is>
          <t>2020-08-27 17:37:49</t>
        </is>
      </c>
      <c r="H4808" t="inlineStr">
        <is>
          <t>Tested Positive - Me</t>
        </is>
      </c>
    </row>
    <row r="4809">
      <c r="A4809" t="inlineStr">
        <is>
          <t>ihxkcu</t>
        </is>
      </c>
      <c r="B4809" t="inlineStr">
        <is>
          <t>Covid gave me PTSD or something Close to it</t>
        </is>
      </c>
      <c r="C4809" t="inlineStr">
        <is>
          <t>You read my other post on how covid change my mental health, made me feel like i was you crazy, I have recovered but ever since I’ve been getting this weird taste in my mouth that I got from covid, water tasting funny. Everytime I taste it or smell it or do things i was doing when i had covid triggers fear for me, I start overthinking, i recall moments of my experience with covid. And just recently I feel like I have covid again! I don’t want to go check with my doc cuz then I’ll be bad for me, i will be staying home and not leaving</t>
        </is>
      </c>
      <c r="D4809" t="n">
        <v>1</v>
      </c>
      <c r="E4809" t="n">
        <v>7</v>
      </c>
      <c r="F4809">
        <f>HYPERLINK("https://www.reddit.com/r/COVID19positive/comments/ihxkcu/covid_gave_me_ptsd_or_something_close_to_it/")</f>
        <v/>
      </c>
      <c r="G4809" t="inlineStr">
        <is>
          <t>2020-08-27 18:02:45</t>
        </is>
      </c>
      <c r="H4809" t="inlineStr">
        <is>
          <t>Tested Positive</t>
        </is>
      </c>
    </row>
    <row r="4810">
      <c r="A4810" t="inlineStr">
        <is>
          <t>ihxx1u</t>
        </is>
      </c>
      <c r="B4810" t="inlineStr">
        <is>
          <t>Can my friend come over?</t>
        </is>
      </c>
      <c r="C4810" t="inlineStr">
        <is>
          <t>i live with my mother who is 55 years old, and she was on the most vulnerable list because she had cancer treatment last year. And also my grandmother who is 85 years old.
I have a free house for one day since my family are going away.   
So, my friend who i want to invite over, his mother is a nurse and got told a month ago that she has the antibody of covid. 
Should I invite him over or not?</t>
        </is>
      </c>
      <c r="D4810" t="n">
        <v>1</v>
      </c>
      <c r="E4810" t="n">
        <v>2</v>
      </c>
      <c r="F4810">
        <f>HYPERLINK("https://www.reddit.com/r/COVID19positive/comments/ihxx1u/can_my_friend_come_over/")</f>
        <v/>
      </c>
      <c r="G4810" t="inlineStr">
        <is>
          <t>2020-08-27 18:26:30</t>
        </is>
      </c>
      <c r="H4810" t="inlineStr">
        <is>
          <t>Tested Positive - Friends</t>
        </is>
      </c>
    </row>
    <row r="4811">
      <c r="A4811" t="inlineStr">
        <is>
          <t>ihxy1o</t>
        </is>
      </c>
      <c r="B4811" t="inlineStr">
        <is>
          <t>Should my friend come over to my house?</t>
        </is>
      </c>
      <c r="C4811" t="inlineStr">
        <is>
          <t>i live with my mother who is 55 years old, and she was on the most vulnerable list because she had cancer treatment last year. And also my grandmother who is 85 years old.
I have a free house for one day since my family are going away, but my friend who i want to invite over.. his mother is a nurse and got told a month ago that she has the antibody of covid. 
Should I invite him over or not?</t>
        </is>
      </c>
      <c r="D4811" t="n">
        <v>1</v>
      </c>
      <c r="E4811" t="n">
        <v>5</v>
      </c>
      <c r="F4811">
        <f>HYPERLINK("https://www.reddit.com/r/COVID19positive/comments/ihxy1o/should_my_friend_come_over_to_my_house/")</f>
        <v/>
      </c>
      <c r="G4811" t="inlineStr">
        <is>
          <t>2020-08-27 18:28:21</t>
        </is>
      </c>
      <c r="H4811" t="inlineStr">
        <is>
          <t>Tested Positive - Friends</t>
        </is>
      </c>
    </row>
    <row r="4812">
      <c r="A4812" t="inlineStr">
        <is>
          <t>ihy572</t>
        </is>
      </c>
      <c r="B4812" t="inlineStr">
        <is>
          <t>Is it possible to get pneumonia or pulmonary fibrosis having had asymptomatic Covid-19?</t>
        </is>
      </c>
      <c r="C4812" t="inlineStr">
        <is>
          <t>I'm 20 and have mild asthma. I feel a little lack of air before evening but It's been with me almost always.</t>
        </is>
      </c>
      <c r="D4812" t="n">
        <v>1</v>
      </c>
      <c r="E4812" t="n">
        <v>5</v>
      </c>
      <c r="F4812">
        <f>HYPERLINK("https://www.reddit.com/r/COVID19positive/comments/ihy572/is_it_possible_to_get_pneumonia_or_pulmonary/")</f>
        <v/>
      </c>
      <c r="G4812" t="inlineStr">
        <is>
          <t>2020-08-27 18:41:23</t>
        </is>
      </c>
      <c r="H4812" t="inlineStr">
        <is>
          <t>Tested Positive - Me</t>
        </is>
      </c>
    </row>
    <row r="4813">
      <c r="A4813" t="inlineStr">
        <is>
          <t>ihyjgo</t>
        </is>
      </c>
      <c r="B4813" t="inlineStr">
        <is>
          <t>Covid-19 ruined my tastebuds.</t>
        </is>
      </c>
      <c r="C4813" t="inlineStr">
        <is>
          <t>Hi, I’m an 18 year old female I was diagnosed with COVID-19 06/23/2020 but had it about 2 days prior to testing. To make this shorter I’ll just list my initial symptoms 
*I’m adding a conclusion to each day for those who don’t want to read in depth* 
Day One 06/21/2020- no symptoms, slight fatigue (contracted it from my boyfriend 2 days before)
•06/21/2020 Conclusion: no plausible symptoms
Day Two 06/22/2020- very fatigued, unable to stay concentrated fever of 99.7 (low grade) slight congestion (comparable to allergies) no coughing 
•06/22/2020 Conclusion: no plausible symptoms other than a low grade fever
Day Three 06/23/2020- felt fine with little congestion, slight runny nose, got tested that day, no coughing, no fever 
•06/23/2020 Conclusion: no plausible symptoms
Day Four 06/24/2020- slept 14 hours, woke up and had to force myself to eat (it took everything in me to microwave a hot pocket) I ate then went straight to bed slept for 17 hours, no coughing, no fever 
•06/24/2020 Conclusion: extreme fatigue and lack of energy
Day Five 06/25/2020- woke up feeling refreshed and energized no congestion, felt completely fine and started cleaning the house, no fever, no cough, at this point I was positive I didn’t have COVID-19 but then I received a call giving me my positive results a few hours later. 
•06/25/2020 Conclusion: no plausible symptoms 
Day Six 06/26/2020- slightly congested, honestly still felt like allergies, no fever, no coughing, I made enchiladas for dinner and I noticed they didn’t taste as strong
•06/26/2020 Conclusion: slight (small) difference of taste/smell. 
Day Seven 06/27/2020- still felt like allergies, still no coughing, and no fever. I made myself ramen noodles and noticed I couldn’t taste it smell them at all. (I tried smelling my favorite perfume- still nothing, so I went through my entire collection of perfume 40+ bottles of all different fragrances as I frantically sprayed them throughout the room, I couldn’t smell a single one. I moved on to my body wash and shampoo/conditioner- still nothing, I did laundry and even added a ton of scent beads- still. Nothing.) I cleaned the house with bleach- still. nothing. So in desperation I took a deep sniff of straight undiluted bleach: Nothing. At. All. 
•06/27/2020 Conclusion: I completely lost all sense of smell and taste.
After day 7 the only symptoms I had were loss of taste/smell, slight fatigue and drainage
The whole time I had Covid-19 I had no breathing issues other than slight shortness of breath, only when I was talking an excessive amount, my blood oxygen levels never dropped below 98 (Regular 99-100), never coughed once, only had a low grade fever, I basically had no plausible symptoms what so ever. 
After the first week-
•I lost my sense of smell/taste for about 3 weeks •My smell/taste came back around late July 
•As my smell/taste was coming back my nasal cavities burned so bad, kinda like getting water in your nose but 10x worse. 
•Once It came back it was only 30% of what it use to be. But food tasted/smelled the same (just not as strong). 
Flash forward to now, my smell is probably at 60%-65% and my taste is god awful I can’t even give a percentage because i can’t taste the same “natural taste” of foods I ate previously to Covid-19, they all taste different and disgusting (probably makes no sense to people who aren’t experiencing this) sometimes if I exhale through my nose while chewing I get a hint of the natural flavor for half a second. 
For the past two weeks foods have tasted absolutely horrible especially meats. They taste rotten/spoiled, absolutely repulsive and smell disgusting, anything that’s classified as “regular food” tastes and smells rancid, which is odd because all my fragrances smell the same as they use to (prior to COVID-19) the scents just not as strong)
Sweet things are doable- cookies, pancakes, icecream, chocolate etc. tasted somewhat the same up until yesterday sweets tasted normal, but now they’re starting to taste rotten as well. 
•The only thing that doesn’t taste absolutely putrid is cheese (weird right?) any type of cheese; cheddar, Colby jack, mozzarella, pepper jack, you name it tastes fine; it barely has a taste but I can still sense the underlying flavors with no disruption of the smell or natural taste. 
•Candy also tastes the same
•EVEN MY TOOTHPASTE IS STARTING TO TASTE RANCID !!!
It’s getting so bad that I can barely eat anything and I try to ignore the activity completely, I went from 129lbs prior to COVID-19 to 113lbs currently (I haven’t weighed this little since I was around 13). Eating has become a burden and gets worse*** day by day, I’ve tried researching but it came to no avail because COVID-19 is relatively new. All I know is this sucks, I’d rather have no taste/smell at all than to deal with everything edible tasting/smelling putrid. 
(Before someone asks, I have perfect dental hygiene, no cavities, no build up, I floss, I brush, and I use mouthwash twice a day if not three times a day) 
Anyone else experiencing this?</t>
        </is>
      </c>
      <c r="D4813" t="n">
        <v>1</v>
      </c>
      <c r="E4813" t="n">
        <v>8</v>
      </c>
      <c r="F4813">
        <f>HYPERLINK("https://www.reddit.com/r/COVID19positive/comments/ihyjgo/covid19_ruined_my_tastebuds/")</f>
        <v/>
      </c>
      <c r="G4813" t="inlineStr">
        <is>
          <t>2020-08-27 19:07:13</t>
        </is>
      </c>
      <c r="H4813" t="inlineStr">
        <is>
          <t>Tested Positive - Me</t>
        </is>
      </c>
    </row>
    <row r="4814">
      <c r="A4814" t="inlineStr">
        <is>
          <t>ii02ih</t>
        </is>
      </c>
      <c r="B4814" t="inlineStr">
        <is>
          <t>Canada - tested positive for COVID-19. No symptoms but my anxiety is HIGH.</t>
        </is>
      </c>
      <c r="C4814" t="inlineStr">
        <is>
          <t>Hi fellow covid-havers! Got tested yesterday, positive results today. No symptoms. No clue how I got it.  
I’m 24F, mildly overweight. Nonsmoker. Generally fairly healthy. Living with roommates who are isolating separately from me in the apartment so I’m alone in a room for 14 days. 
I’m very very worried about getting really really sick. 
Any tips and tricks for getting through this with my sanity and body intact?</t>
        </is>
      </c>
      <c r="D4814" t="n">
        <v>1</v>
      </c>
      <c r="E4814" t="n">
        <v>4</v>
      </c>
      <c r="F4814">
        <f>HYPERLINK("https://www.reddit.com/r/COVID19positive/comments/ii02ih/canada_tested_positive_for_covid19_no_symptoms/")</f>
        <v/>
      </c>
      <c r="G4814" t="inlineStr">
        <is>
          <t>2020-08-27 20:52:48</t>
        </is>
      </c>
      <c r="H4814" t="inlineStr">
        <is>
          <t>Tested Positive - Me</t>
        </is>
      </c>
    </row>
    <row r="4815">
      <c r="A4815" t="inlineStr">
        <is>
          <t>ii0as7</t>
        </is>
      </c>
      <c r="B4815" t="inlineStr">
        <is>
          <t>Weight loss hack: get covid and your university will starve you!</t>
        </is>
      </c>
      <c r="C4815" t="inlineStr">
        <is>
          <t>I’m starting my junior year of college next week. I tested positive for covid-19 on August 23rd. Because of this, I had to slice on my 3 roommates, and tell them that we won’t be living together because I tested positive. I moved from home straight to the “covid dorm” of my campus (where they put all students who live on campus who have tested positive, where I am 1 of 24 atm!!) 
Anyways, since I’m an upper classman and have the option to not have a meal plan this year, I didn’t purchase one. I would have had a full kitchen in our on campus duplex to cook, but now I have a lonely mini-fridge, and no access to leave till further notice. :( 
My only options for food right now are purchasing a meal plan for however long i’m positive (not financially possible rn), ordering food on door dash *only* from the hours of 5-7pm because of “covid restrictions”, or go home. My hometown is about 8 hours away from campus, so going home isn’t really an option. 
Y’all, I’m so torn. Fuck covid and fuck my college’s response to covid. I’ll be crying myself to sleep while eating stale pizza crusts, while surrounded by apartment furnishings that I will no longer be needing.</t>
        </is>
      </c>
      <c r="D4815" t="n">
        <v>1</v>
      </c>
      <c r="E4815" t="n">
        <v>9</v>
      </c>
      <c r="F4815">
        <f>HYPERLINK("https://www.reddit.com/r/COVID19positive/comments/ii0as7/weight_loss_hack_get_covid_and_your_university/")</f>
        <v/>
      </c>
      <c r="G4815" t="inlineStr">
        <is>
          <t>2020-08-27 21:09:17</t>
        </is>
      </c>
      <c r="H4815" t="inlineStr">
        <is>
          <t>Tested Positive - Me</t>
        </is>
      </c>
    </row>
    <row r="4816">
      <c r="A4816" t="inlineStr">
        <is>
          <t>ii0xj2</t>
        </is>
      </c>
      <c r="B4816" t="inlineStr">
        <is>
          <t>Tested Positive &amp;amp; Have Myasthenia Gravis, an Autoimmune Disease</t>
        </is>
      </c>
      <c r="C4816" t="inlineStr">
        <is>
          <t>My wife had symptoms since last Friday and tested positive last Tuesday. I got a test as well and it was negative. Tested today and it was positive. I have a headache growing, and a low grade temp.   
What scares me is I have this crap disease that makes it hard to breath and move as is as its a severe muscle fatiguing disease,  
Anyone else out there with the same?</t>
        </is>
      </c>
      <c r="D4816" t="n">
        <v>1</v>
      </c>
      <c r="E4816" t="n">
        <v>8</v>
      </c>
      <c r="F4816">
        <f>HYPERLINK("https://www.reddit.com/r/COVID19positive/comments/ii0xj2/tested_positive_have_myasthenia_gravis_an/")</f>
        <v/>
      </c>
      <c r="G4816" t="inlineStr">
        <is>
          <t>2020-08-27 21:57:37</t>
        </is>
      </c>
      <c r="H4816" t="inlineStr">
        <is>
          <t>Tested Positive - Me</t>
        </is>
      </c>
    </row>
    <row r="4817">
      <c r="A4817" t="inlineStr">
        <is>
          <t>ii10gr</t>
        </is>
      </c>
      <c r="B4817" t="inlineStr">
        <is>
          <t>Should I be on medications?</t>
        </is>
      </c>
      <c r="C4817" t="inlineStr">
        <is>
          <t>I have been reading a lot of posts where people are being given azithromycin, Remdesivir, dexamethasone, etc. I am on chemotherapy and also have a heart condition, asthma, and systemic lupus/scleroderma. The urgent care doctor I saw about my covid symptoms told me to just go home and drink water/rest. He never gave me any other medications. Should I be pursuing this with another doctor? I have seen some comments/articles/posts from folks who have much less symptoms than I do and have a whole host of medications. Did I miss something? Should I be concerned?</t>
        </is>
      </c>
      <c r="D4817" t="n">
        <v>1</v>
      </c>
      <c r="E4817" t="n">
        <v>9</v>
      </c>
      <c r="F4817">
        <f>HYPERLINK("https://www.reddit.com/r/COVID19positive/comments/ii10gr/should_i_be_on_medications/")</f>
        <v/>
      </c>
      <c r="G4817" t="inlineStr">
        <is>
          <t>2020-08-27 22:03:56</t>
        </is>
      </c>
      <c r="H4817" t="inlineStr">
        <is>
          <t>Tested Positive - Me</t>
        </is>
      </c>
    </row>
    <row r="4818">
      <c r="A4818" t="inlineStr">
        <is>
          <t>ii134a</t>
        </is>
      </c>
      <c r="B4818" t="inlineStr">
        <is>
          <t>Day by day account of how Covid is affecting me</t>
        </is>
      </c>
      <c r="C4818" t="inlineStr">
        <is>
          <t>I tested positive on Sunday.
Recap
Day 1 Friday night I had a sore throat
Day 2 Saturday night I had a headache, body aches, sore throat, and low grade fever.
Day 3 Sunday: I tested that morning. Felt fine low grade fever. Body aches
Day 4 Monday: received my + test result. no more fever. Low appetite. 
Day 5 Tuesday: a little phlegm in my chest, headache, sinus tingling, beginning to lose sense of smell body ache, little focus. Grandma and dad were tested this day
Day 6 Wednesday: my sister's results came back positive. Mucus in my cough, headache, sinus pressure, sinus pain when I switch from sitting to laying to standing, complete loss of smell, taste is starting to go as well.
Day 7 Thursday: my dad and grandma received their results today. Both tested negative and still have no symptoms. Today I have increased mucus in my throat. Increased sinus pressure. Plugged ears.  Headache. Really bad anxiety when I nap/sleep. I wake up in a sweat with my heart racing. O2 steady at 97-99. Temp has been 98.2 to 99.5 (No AC during the day and we live in Florida)
Not sure if I should continue to update on one post or create a new post each time. Let me know which would be best.</t>
        </is>
      </c>
      <c r="D4818" t="n">
        <v>1</v>
      </c>
      <c r="E4818" t="n">
        <v>9</v>
      </c>
      <c r="F4818">
        <f>HYPERLINK("https://www.reddit.com/r/COVID19positive/comments/ii134a/day_by_day_account_of_how_covid_is_affecting_me/")</f>
        <v/>
      </c>
      <c r="G4818" t="inlineStr">
        <is>
          <t>2020-08-27 22:09:44</t>
        </is>
      </c>
      <c r="H4818" t="inlineStr">
        <is>
          <t>Tested Positive - Me</t>
        </is>
      </c>
    </row>
    <row r="4819">
      <c r="A4819" t="inlineStr">
        <is>
          <t>ii18hq</t>
        </is>
      </c>
      <c r="B4819" t="inlineStr">
        <is>
          <t>How long for recovery?</t>
        </is>
      </c>
      <c r="C4819" t="inlineStr">
        <is>
          <t>How long does it take for the virus to even clear? I tested positive two weeks ago (my quarantine ended 3 days ag). I've been feeling mild symptoms for the past month and a half. Before I even tested positive, my body felt feverish (no fever though) and minimal chest pains that would come and go. I think this could maybe just be anxiety, but at no point did I personally think I was feeling anxious about virus because I'm young and healthy. If I was positive at the time, that means I have had the virus for at least 1 1/2 months. Also, I was not the only one in my household to have the virus. Everyone else has reported feeling normal again after a few weeks.</t>
        </is>
      </c>
      <c r="D4819" t="n">
        <v>1</v>
      </c>
      <c r="E4819" t="n">
        <v>5</v>
      </c>
      <c r="F4819">
        <f>HYPERLINK("https://www.reddit.com/r/COVID19positive/comments/ii18hq/how_long_for_recovery/")</f>
        <v/>
      </c>
      <c r="G4819" t="inlineStr">
        <is>
          <t>2020-08-27 22:22:00</t>
        </is>
      </c>
      <c r="H4819" t="inlineStr">
        <is>
          <t>Tested Positive - Me</t>
        </is>
      </c>
    </row>
    <row r="4820">
      <c r="A4820" t="inlineStr">
        <is>
          <t>ii1q89</t>
        </is>
      </c>
      <c r="B4820" t="inlineStr">
        <is>
          <t>About flu shots</t>
        </is>
      </c>
      <c r="C4820" t="inlineStr">
        <is>
          <t>There was a post sometime in the last week about getting flu shots. I can’t find it, so I’ll put this information here.
I contacted my doctor to ask about getting a flu shot. I got sick on 8/2 and my test came back positive on 8/8. Most of my symptoms are gone, but the fatigue is still terrible. I’m not strong enough to be out of bed for more than a few hours. Brain fog. Smell and taste problems.
She suggested that I wait a few weeks to get the flu vaccine. She says that since this situation is unprecedented doctors are all just feeling their way along, but her opinion is that my immune system has enough on its plate, and I should wait until I’m stronger. She said even October would be fine, but that makes me nervous as hell. I’ve never waited that late to get a flu shot.</t>
        </is>
      </c>
      <c r="D4820" t="n">
        <v>1</v>
      </c>
      <c r="E4820" t="n">
        <v>5</v>
      </c>
      <c r="F4820">
        <f>HYPERLINK("https://www.reddit.com/r/COVID19positive/comments/ii1q89/about_flu_shots/")</f>
        <v/>
      </c>
      <c r="G4820" t="inlineStr">
        <is>
          <t>2020-08-27 23:02:07</t>
        </is>
      </c>
      <c r="H4820" t="inlineStr">
        <is>
          <t>Tested Positive - Me</t>
        </is>
      </c>
    </row>
    <row r="4821">
      <c r="A4821" t="inlineStr">
        <is>
          <t>ii1yc7</t>
        </is>
      </c>
      <c r="B4821" t="inlineStr">
        <is>
          <t>Mild potential case of COVID relapsed - really worried</t>
        </is>
      </c>
      <c r="C4821" t="inlineStr">
        <is>
          <t>Hey guys, hope all is well.
I am quite worried about the condition of my health. For context, I am 22 years old and I am pretty sure I had Covid back in late March (about 5 months ago). I had tinkling in my throat, a horrible cough, low fever, very bad dehydration and brain fog. I recovered in about a week. 
Fast forward to now, I am experiencing random chest pain throughout the day. I am experiencing sore calves and sometimes it goes up to my knee caps. This might be due to the fact that I am not very active throughout the day since I am home (I was very active before but now barely move around since school is online and quarantine) but not sure. I wake up with my calves sore and sometimes they hurt throughout the day and sometimes they do not. Moreover, I sleep 8-9 hours a day and still wake up tired. I feel fatigued still and it lasts the entire day. I also experience brain fog. 
I am really worried, I do not know if this is anxiety or just post Covid long term symptoms. I really hope I am able to fully recover and enjoy a long life. I am worried that I might have chronic fatigue syndrome or something serious. If anyone is going through similar experiences, please reach out! Thank you 🙏❤️</t>
        </is>
      </c>
      <c r="D4821" t="n">
        <v>1</v>
      </c>
      <c r="E4821" t="n">
        <v>5</v>
      </c>
      <c r="F4821">
        <f>HYPERLINK("https://www.reddit.com/r/COVID19positive/comments/ii1yc7/mild_potential_case_of_covid_relapsed_really/")</f>
        <v/>
      </c>
      <c r="G4821" t="inlineStr">
        <is>
          <t>2020-08-27 23:21:16</t>
        </is>
      </c>
      <c r="H4821" t="inlineStr">
        <is>
          <t>Presumed Positive - From Doctor</t>
        </is>
      </c>
    </row>
    <row r="4822">
      <c r="A4822" t="inlineStr">
        <is>
          <t>ii27y9</t>
        </is>
      </c>
      <c r="B4822" t="inlineStr">
        <is>
          <t>My mild symptoms normal?</t>
        </is>
      </c>
      <c r="C4822" t="inlineStr">
        <is>
          <t>Hello,
I Friend I know was tested positive last Sunday and I tested positive on Monday the 25th.
So far the only thing i experienced was moderate fatigue on Monday night, the feeling u get while u work 12hr shift standing still.
I developed lymph nodes on my nick and in my arm pit, appear let it’s a gland that will help fight any viruses
my throat was little etchy the first 2 night
No fever no headache no physical pain.
IAM feeling pretty good right now
I have been taking vitamin C/D, earring raw garlic (not all of it lol) Black seed extract and honey. IMHO garlic/black seed are magical ancient remedies
I have isolated my self to help stop the spread
Anyone had similar experiences, does it usually get worse
Please excuse my poor writing skill
Stay safe stay healthy</t>
        </is>
      </c>
      <c r="D4822" t="n">
        <v>1</v>
      </c>
      <c r="E4822" t="n">
        <v>2</v>
      </c>
      <c r="F4822">
        <f>HYPERLINK("https://www.reddit.com/r/COVID19positive/comments/ii27y9/my_mild_symptoms_normal/")</f>
        <v/>
      </c>
      <c r="G4822" t="inlineStr">
        <is>
          <t>2020-08-27 23:43:45</t>
        </is>
      </c>
      <c r="H4822" t="inlineStr">
        <is>
          <t>Tested Positive - Me</t>
        </is>
      </c>
    </row>
    <row r="4823">
      <c r="A4823" t="inlineStr">
        <is>
          <t>ii3477</t>
        </is>
      </c>
      <c r="B4823" t="inlineStr">
        <is>
          <t>24 year old male and Obese tested positive for covid.</t>
        </is>
      </c>
      <c r="C4823" t="inlineStr">
        <is>
          <t>Hello,
I recently read a bunch of articles about how covid can be worse for young people who are obese and I am extremely scared. Some info on myself, before covid I was pretty healthy for a big guy, just made bad eating habits. I would work out everyday and work on breathing with my diaphragm. But while reading these articles, they made my stress go up and I really want to cry because of how scared I am. Please if anyone has recovered from covid and are obese as well. Please let me know and give me advice.. thank you</t>
        </is>
      </c>
      <c r="D4823" t="n">
        <v>1</v>
      </c>
      <c r="E4823" t="n">
        <v>14</v>
      </c>
      <c r="F4823">
        <f>HYPERLINK("https://www.reddit.com/r/COVID19positive/comments/ii3477/24_year_old_male_and_obese_tested_positive_for/")</f>
        <v/>
      </c>
      <c r="G4823" t="inlineStr">
        <is>
          <t>2020-08-28 01:05:14</t>
        </is>
      </c>
      <c r="H4823" t="inlineStr">
        <is>
          <t>Tested Positive</t>
        </is>
      </c>
    </row>
    <row r="4824">
      <c r="A4824" t="inlineStr">
        <is>
          <t>ii35no</t>
        </is>
      </c>
      <c r="B4824" t="inlineStr">
        <is>
          <t>Tested Positive Yesterday (My Exp. So Far)</t>
        </is>
      </c>
      <c r="C4824" t="inlineStr">
        <is>
          <t>I started feeling symptoms about 3 days ago. I got a rapid test yesterday. It came back positive today. Day one was easy. I had a bit of a dry nose yet runny nose but that was it. The second day the nose got a bit worse. It kind of felt like air was passing into my brain but honestly wasn't that bad. I had a very minor headache. I didn't even bother taking any Advil. The third day (today) nothing has gotten any worse. I took a tylanol and honestly didn't even feel like I was sick whatsoever. However, lost some of my sense of smell today. I have no cough, no fever, no phlem, no sore throat, and no aches. I feel energized and normal. I'm a pretty healthy 18yo and male. Is this what others are feeling or am I just asymptomatic? Anyone know if it is going to get any worse?</t>
        </is>
      </c>
      <c r="D4824" t="n">
        <v>1</v>
      </c>
      <c r="E4824" t="n">
        <v>3</v>
      </c>
      <c r="F4824">
        <f>HYPERLINK("https://www.reddit.com/r/COVID19positive/comments/ii35no/tested_positive_yesterday_my_exp_so_far/")</f>
        <v/>
      </c>
      <c r="G4824" t="inlineStr">
        <is>
          <t>2020-08-28 01:09:06</t>
        </is>
      </c>
      <c r="H4824" t="inlineStr">
        <is>
          <t>Tested Positive - Me</t>
        </is>
      </c>
    </row>
    <row r="4825">
      <c r="A4825" t="inlineStr">
        <is>
          <t>ii36db</t>
        </is>
      </c>
      <c r="B4825" t="inlineStr">
        <is>
          <t>What's the probabibility of an adult dying of covid?</t>
        </is>
      </c>
      <c r="C4825" t="inlineStr">
        <is>
          <t>My (16) mom (46) tested positive for covid. At first she was quarantined, but se went to the hospital today. I couldn't talk to her yesterday. At first she wasn't showing symptoms, but now she is already in the hospital. This happening too fast. What are the chances of an adult dying of covid?</t>
        </is>
      </c>
      <c r="D4825" t="n">
        <v>1</v>
      </c>
      <c r="E4825" t="n">
        <v>11</v>
      </c>
      <c r="F4825">
        <f>HYPERLINK("https://www.reddit.com/r/COVID19positive/comments/ii36db/whats_the_probabibility_of_an_adult_dying_of_covid/")</f>
        <v/>
      </c>
      <c r="G4825" t="inlineStr">
        <is>
          <t>2020-08-28 01:11:11</t>
        </is>
      </c>
      <c r="H4825" t="inlineStr">
        <is>
          <t>Tested Positive - Family</t>
        </is>
      </c>
    </row>
    <row r="4826">
      <c r="A4826" t="inlineStr">
        <is>
          <t>ii4zs5</t>
        </is>
      </c>
      <c r="B4826" t="inlineStr">
        <is>
          <t>Tested Positive.... Re-Test Required</t>
        </is>
      </c>
      <c r="C4826" t="inlineStr">
        <is>
          <t>Hi everyone,
I took my 5th test on Monday and proceeded to forget about it. I work in a healthcare environment and we’ve been taking part in Mass Surveillance Testing since June. 
Yesterday I get a phone call from my regions Public Health (I’m a Canadian living in Ontario). They share with me that I have tested positive..... I was at work when the call came through! I ran out of the building and proceeded to go through several hours of Public Health screening, where they tell me that myself and my husband must isolate until September 7th.
However, I then get a call from another Public Health nurse..... apparently there has been a fair number of “False Positives” that have arisen from Mass Surveillance Testing (don’t ask me why?!) and they have requested I go in for a re-test: 
I am currently trying to book an appointment with my local testing centre to get back in for the re-test, but they are understandably concerned bringing me in, as I am currently a “positive” case.
Has anyone else experienced this? Does anyone know what the rate of false positives are? I am completely asymptomatic. 
Thanks in advance! Wash your hands and stay as healthy as you can.</t>
        </is>
      </c>
      <c r="D4826" t="n">
        <v>1</v>
      </c>
      <c r="E4826" t="n">
        <v>3</v>
      </c>
      <c r="F4826">
        <f>HYPERLINK("https://www.reddit.com/r/COVID19positive/comments/ii4zs5/tested_positive_retest_required/")</f>
        <v/>
      </c>
      <c r="G4826" t="inlineStr">
        <is>
          <t>2020-08-28 03:58:42</t>
        </is>
      </c>
      <c r="H4826" t="inlineStr">
        <is>
          <t>Tested Positive - Me</t>
        </is>
      </c>
    </row>
    <row r="4827">
      <c r="A4827" t="inlineStr">
        <is>
          <t>ii64hp</t>
        </is>
      </c>
      <c r="B4827" t="inlineStr">
        <is>
          <t>Out of the woods!</t>
        </is>
      </c>
      <c r="C4827" t="inlineStr">
        <is>
          <t>I (19f) posted on here a few days ago when my friend tested positive two days after I had seen her. I tested three days after exposure and turned out negative. I self-isolated from my family for the next week worried it might’ve been a false negative. I also had a sore throat (not unusual for me, but still scary) and was worried it was a symptom. 8 days after exposure I hadn’t developed any new symptoms and decided to get tested again as it was recommended to do so after at least a week. It came back negative today. I’m super relieved but will still remain cautious around my parents (lol imagine it’s another false negative😭). Anyway thank you to this sub for calming me down and giving me pointers, your advice was super helpful!</t>
        </is>
      </c>
      <c r="D4827" t="n">
        <v>1</v>
      </c>
      <c r="E4827" t="n">
        <v>6</v>
      </c>
      <c r="F4827">
        <f>HYPERLINK("https://www.reddit.com/r/COVID19positive/comments/ii64hp/out_of_the_woods/")</f>
        <v/>
      </c>
      <c r="G4827" t="inlineStr">
        <is>
          <t>2020-08-28 05:27:55</t>
        </is>
      </c>
      <c r="H4827" t="inlineStr">
        <is>
          <t>Tested Positive - Friends</t>
        </is>
      </c>
    </row>
    <row r="4828">
      <c r="A4828" t="inlineStr">
        <is>
          <t>ii6ft4</t>
        </is>
      </c>
      <c r="B4828" t="inlineStr">
        <is>
          <t>Lost job</t>
        </is>
      </c>
      <c r="C4828" t="inlineStr">
        <is>
          <t>Someone at my job daughter has tested for cvoid-19 and i told my boss im not coming back until i get tested &amp;amp; the results come back &amp;amp; she fired me can i file for unemployment?</t>
        </is>
      </c>
      <c r="D4828" t="n">
        <v>1</v>
      </c>
      <c r="E4828" t="n">
        <v>7</v>
      </c>
      <c r="F4828">
        <f>HYPERLINK("https://www.reddit.com/r/COVID19positive/comments/ii6ft4/lost_job/")</f>
        <v/>
      </c>
      <c r="G4828" t="inlineStr">
        <is>
          <t>2020-08-28 05:50:33</t>
        </is>
      </c>
      <c r="H4828" t="inlineStr">
        <is>
          <t>Tested Positive - Friends</t>
        </is>
      </c>
    </row>
    <row r="4829">
      <c r="A4829" t="inlineStr">
        <is>
          <t>ii6jal</t>
        </is>
      </c>
      <c r="B4829" t="inlineStr">
        <is>
          <t>Anyone show any recovery from the lingering long term lung symptoms?</t>
        </is>
      </c>
      <c r="C4829" t="inlineStr">
        <is>
          <t>Hello everyone,
I’m 28 years old and about 10 weeks ago, I began experiencing unusual pulmonary symptoms. Basically at rest I would feel fine, but with any exertion I’d get winded pretty quickly. Going up two flights of stairs started to become difficult. As well, after the exertion event, I’d take a long time to recover and return to baseline. 
I also felt like I wasn’t able to take dee enough breaths. I’d try to expand my lungs as much as I could but it felt like they would max out at a volume of inhaled air that was less than what I was getting before.
Other than that I never suffered any other COVID symptoms. 
At first I wasn’t sure what to make of this, I thought maybe I was just severely out of shape. But while the symptom didn’t get worse or progress, it persisted. I didn’t go to the doctor initially, because I didn’t think this was COVID since I never had a fever or cough, and it was tough getting doctor appointments at the time, plus I was following all the recommendations for limiting COVID spread.
Eventually I got fed up and went to my doctor to discuss this. He tested me for active Covid with the nasal swab which was negative but the antibody test came back positive, so he figured that my symptoms were from the infection.
It’s by two and a half months since this all started and I’m still frequently short of breath.
**Has anyone here ever had similar symptoms where they only had shortness of breath and none of the other symptoms?**
**And more importantly, has anyone ever recovered from this shortness of breath? Is this a short term symptom? Or is this my life now?**</t>
        </is>
      </c>
      <c r="D4829" t="n">
        <v>1</v>
      </c>
      <c r="E4829" t="n">
        <v>13</v>
      </c>
      <c r="F4829">
        <f>HYPERLINK("https://www.reddit.com/r/COVID19positive/comments/ii6jal/anyone_show_any_recovery_from_the_lingering_long/")</f>
        <v/>
      </c>
      <c r="G4829" t="inlineStr">
        <is>
          <t>2020-08-28 05:57:16</t>
        </is>
      </c>
      <c r="H4829" t="inlineStr">
        <is>
          <t>Tested Positive - Me</t>
        </is>
      </c>
    </row>
    <row r="4830">
      <c r="A4830" t="inlineStr">
        <is>
          <t>ii7vif</t>
        </is>
      </c>
      <c r="B4830" t="inlineStr">
        <is>
          <t>Asshole suitemate brought back COVID</t>
        </is>
      </c>
      <c r="C4830" t="inlineStr">
        <is>
          <t>Me and all my suite mates agreed that we were going to stay away from any parties, like our school told us to. Well my suite mates next door had a different idea.
To start this off, in my dorm I share a bathroom with these two guys (they are in a suite of 6 people, and I’m in a separate one that shares their bathroom).They have been going to frat parties constantly and completely disregarding the damage that they’re doing.
Well, yesterday I went through the bathroom and went to my friends room. My friend has his own room separate from the two people partying, so it wasn’t much of an issue. We hardly saw them, they hardly saw us. Anyways, so I’m chilling with my friend and the two guys open his door and stand by the doorway.
One of them is just like, “we’re pretty sure we have covid, we’ve had symptoms for about 5 days.” He said this with a smirk like it was fucking funny. They’ve been going to frat parties nonstop, and spreading it everywhere. At this point I was feeling very uncomfortable near them, even with them just in the doorway. I don’t want to get covid because my lung collapsed a month and a half ago, so I’m terrified of the possibility of that leading to complications. Also? just a side note. They said that their symptoms were a messed up stomach, feeling generally unwell, and waking up with a sore throat. To me this sounds exactly like covid.
So anyways they’re standing in the doorway talking, and they just kind of brush over the covid thing. You could tell they really don’t care at all about any of the ramifications of them causing an outbreak. They came INTO the room without masks, and was getting close to my friend who kept creeping backwards as they got closer. I was also clearly uncomfortable with the situation, but I guess neither of us had the guts to say anything.
It’s worth mentioning that we have to share the same two showers, two sinks, and a common area. This means that if we haven’t already caught it from them, and they aren’t going to quarantine or get tested, it’s almost guaranteed that we will eventually get it.
Me and my friend were in a moral dilemma at this point. We didn’t want to miss out on memories or have to go home, but we also didn’t want to let it escape and get it ourselves(if we haven’t already). 
So, last night we went downstairs and straight up snitched on our suite mates. We told the RA who said we would likely have to all quarantine now. I believe the school is going to reach out to the two dumbasses and force them to get tested. From there we will most likely have to quarantine until the results come back, and if they’re positive we’ll probably have to quarantine even longer.
So last night me and my suite mates(not the dumbasses next door) got sloppy drunk and forgot about it for the night. It is a very fucked situation but I believe we did the right thing. It may not have the best ending for us but who knows, maybe we just saved a ton of people’s parents and grandmas. Either way, we did what the school told us to in the case of a covid outbreak, so I can at least feel good about that.</t>
        </is>
      </c>
      <c r="D4830" t="n">
        <v>1</v>
      </c>
      <c r="E4830" t="n">
        <v>99</v>
      </c>
      <c r="F4830">
        <f>HYPERLINK("https://www.reddit.com/r/COVID19positive/comments/ii7vif/asshole_suitemate_brought_back_covid/")</f>
        <v/>
      </c>
      <c r="G4830" t="inlineStr">
        <is>
          <t>2020-08-28 07:20:14</t>
        </is>
      </c>
      <c r="H4830" t="inlineStr">
        <is>
          <t>Tested Positive - Friends</t>
        </is>
      </c>
    </row>
    <row r="4831">
      <c r="A4831" t="inlineStr">
        <is>
          <t>ii8ot8</t>
        </is>
      </c>
      <c r="B4831" t="inlineStr">
        <is>
          <t>Tested positive 3 days ago</t>
        </is>
      </c>
      <c r="C4831" t="inlineStr">
        <is>
          <t xml:space="preserve">
No symptoms other than burning nose. No fever, no cough. I cant find anything about a burning nose online, has anyone else who tested positive experienced this?</t>
        </is>
      </c>
      <c r="D4831" t="n">
        <v>1</v>
      </c>
      <c r="E4831" t="n">
        <v>6</v>
      </c>
      <c r="F4831">
        <f>HYPERLINK("https://www.reddit.com/r/COVID19positive/comments/ii8ot8/tested_positive_3_days_ago/")</f>
        <v/>
      </c>
      <c r="G4831" t="inlineStr">
        <is>
          <t>2020-08-28 08:05:19</t>
        </is>
      </c>
      <c r="H4831" t="inlineStr">
        <is>
          <t>Tested Positive - Me</t>
        </is>
      </c>
    </row>
    <row r="4832">
      <c r="A4832" t="inlineStr">
        <is>
          <t>ii90db</t>
        </is>
      </c>
      <c r="B4832" t="inlineStr">
        <is>
          <t>Me (21) and my girlfriend (20) both got tested on wednesday, I came back negative but she came back positive. Worried about a false negative.</t>
        </is>
      </c>
      <c r="C4832" t="inlineStr">
        <is>
          <t>We both went to the same fire station on Wednesday for our test but we went separately. I stayed the night at her house last Sunday and we spent most of Monday at my house together. She went to work Tuesday and Wednesday and I hadn’t seen her since Monday. 
I started having a headache and mild chest discomfort sometime last week, but I could still breathe, smell and taste just fine. I did not have a fever either. On wednesday, she felt congested so we both decided to get tested and wait to see our results before we hang out again. I got a call early this morning saying my lab results came back negative, and I thought I was in the clear. I called my gf and told her to check if she got any results and it turns out she missed their call and called back. She ended up testing positive. We’re pretty sure she contracted it from a kid at the daycare she works at, who ended up testing positive after showing symptoms. 
Now I’m pretty sure my result was a false negative, and maybe I just got tested too early. If she contracted the virus sometime last week, then there were plenty of opportunities for me to have gotten it from her, especially after sleeping together Sunday and spending the day with her Monday. Like I said I did have a minor headache and chest discomfort ever since the middle of last week or so, but I didn’t think to get tested until wednesday after she told me she was congested. 
I live with my mom (55) and my younger brother (19) and I was just at my dad’s (48) house last weekend. I already told all of them what was going on. My mom and my brother are getting tested on monday, as the last time they had contact with my gf was monday of this week. Neither of them are feeling any symptoms yet, I’m the only one so far. I’m going to get myself retested on Monday as well, maybe even sooner.</t>
        </is>
      </c>
      <c r="D4832" t="n">
        <v>1</v>
      </c>
      <c r="E4832" t="n">
        <v>3</v>
      </c>
      <c r="F4832">
        <f>HYPERLINK("https://www.reddit.com/r/COVID19positive/comments/ii90db/me_21_and_my_girlfriend_20_both_got_tested_on/")</f>
        <v/>
      </c>
      <c r="G4832" t="inlineStr">
        <is>
          <t>2020-08-28 08:22:47</t>
        </is>
      </c>
      <c r="H4832" t="inlineStr">
        <is>
          <t>Tested Positive - Friends</t>
        </is>
      </c>
    </row>
    <row r="4833">
      <c r="A4833" t="inlineStr">
        <is>
          <t>ii9iyf</t>
        </is>
      </c>
      <c r="B4833" t="inlineStr">
        <is>
          <t>Shortness of breath after other symptoms went away</t>
        </is>
      </c>
      <c r="C4833" t="inlineStr">
        <is>
          <t>Hey guys, I'm about 2 weeks into this, and I'm glad to say most of my symptoms have gone away. No more fever, aches, headaches and my taste and smell are coming back as well! Overall, I definitely feel like im getting much better. The only issue is that on day 10 I started to feel a little short of breath. My lungs don't hurt, my pulse oximeter shows my blood oxygen levels are fine, but I have this consistent feeling that I'm not getting enough air, particularly if I'm laying down in any position. 
Is anyone else dealing with this as well, and if you are, have you found anything that helps? I'm really trying to not get overly anxious about it, but I'm obviously freaked out that this could lead to my lungs getting worse.</t>
        </is>
      </c>
      <c r="D4833" t="n">
        <v>1</v>
      </c>
      <c r="E4833" t="n">
        <v>9</v>
      </c>
      <c r="F4833">
        <f>HYPERLINK("https://www.reddit.com/r/COVID19positive/comments/ii9iyf/shortness_of_breath_after_other_symptoms_went_away/")</f>
        <v/>
      </c>
      <c r="G4833" t="inlineStr">
        <is>
          <t>2020-08-28 08:49:48</t>
        </is>
      </c>
      <c r="H4833" t="inlineStr">
        <is>
          <t>Tested Positive - Me</t>
        </is>
      </c>
    </row>
    <row r="4834">
      <c r="A4834" t="inlineStr">
        <is>
          <t>iia5es</t>
        </is>
      </c>
      <c r="B4834" t="inlineStr">
        <is>
          <t>Question about older folks and covid19.</t>
        </is>
      </c>
      <c r="C4834" t="inlineStr">
        <is>
          <t>Recently some of my older relatives were exposed. This includes my dad (64 years old), my uncle (68 years old) and my papaw (88 years old). This happened last Friday. They went Monday and took the quick test and all three came back negative. They went the other day and took the longer test that took 2 days for results. 
None have had any symptoms. However this morning my papaw came back positive and the other two negative. 
My question is it normal for someone his age to not show symptoms for a week? Do people his age get it and never show symptoms? 
With his age he was told to let them know if he had any symptoms. They didn’t give him any medication. 
Any information or advice would be helpful.</t>
        </is>
      </c>
      <c r="D4834" t="n">
        <v>1</v>
      </c>
      <c r="E4834" t="n">
        <v>5</v>
      </c>
      <c r="F4834">
        <f>HYPERLINK("https://www.reddit.com/r/COVID19positive/comments/iia5es/question_about_older_folks_and_covid19/")</f>
        <v/>
      </c>
      <c r="G4834" t="inlineStr">
        <is>
          <t>2020-08-28 09:21:58</t>
        </is>
      </c>
      <c r="H4834" t="inlineStr">
        <is>
          <t>Tested Positive - Family</t>
        </is>
      </c>
    </row>
    <row r="4835">
      <c r="A4835" t="inlineStr">
        <is>
          <t>iiapqh</t>
        </is>
      </c>
      <c r="B4835" t="inlineStr">
        <is>
          <t>Healthy M (23) day by day experience</t>
        </is>
      </c>
      <c r="C4835" t="inlineStr">
        <is>
          <t>Sunday, Day1: Wake up with a sore throat, don’t think too much of it but sleep the whole day. Thinking it’s just a normal Sunday might as well just catch up on sleep.
Monday, Day2: Woke up for work (work from home) still with a sore throat, but my lower back hurts and my knees feel like someone has taken a hammer to both of them.
Tuesday, Day 3: Woke up feeling the same as Day2, however night rolls around and I start developing a slight cough and a fever of 102. Get in bed and am up until 3 A.M. shivering so hard my teeth were chattering. 
Wednesday, Day4: Got tested, chills continued throughout the day and my sinuses started acting up, cough has gotten worse however I’m not coughing up mucus and have not lost my appetite once thus far. Sore throat is getting better. Body aches are getting better. 
Thursday, Day5: Hot flashes and profusely sweating at my home office doing physically nothing. Cough has become much worse accompanied by chest pain and shortness of breath. Body aches continue to get better however are still present. No test results yet. 
Friday (today), Day6: Test results came back positive. Still coughing, chest pains are going away but I am still having trouble with taking deep breathes. Throat is just scratchy now, assuming it’s from coughing so much. Hot flashes continue along with chills however no fever. 
Throughout this whole week I have been incredibly tired, I slept through all 4 of my alarms Thursday and my girlfriend (was positive but tested negative 3 weeks ago) had to wake me up. Thankfully, I have not lost my sense of taste or smell. Will update tomorrow if symptoms continue.</t>
        </is>
      </c>
      <c r="D4835" t="n">
        <v>1</v>
      </c>
      <c r="E4835" t="n">
        <v>2</v>
      </c>
      <c r="F4835">
        <f>HYPERLINK("https://www.reddit.com/r/COVID19positive/comments/iiapqh/healthy_m_23_day_by_day_experience/")</f>
        <v/>
      </c>
      <c r="G4835" t="inlineStr">
        <is>
          <t>2020-08-28 09:51:52</t>
        </is>
      </c>
      <c r="H4835" t="inlineStr">
        <is>
          <t>Tested Positive</t>
        </is>
      </c>
    </row>
    <row r="4836">
      <c r="A4836" t="inlineStr">
        <is>
          <t>iibifc</t>
        </is>
      </c>
      <c r="B4836" t="inlineStr">
        <is>
          <t>weed tastes NASTY</t>
        </is>
      </c>
      <c r="C4836" t="inlineStr">
        <is>
          <t>I know I’m not supposed to be smoking, but the taste of weed is terrible to me right now like rancid meat lol can someone who experienced this tell me how long it lasted for them?</t>
        </is>
      </c>
      <c r="D4836" t="n">
        <v>1</v>
      </c>
      <c r="E4836" t="n">
        <v>5</v>
      </c>
      <c r="F4836">
        <f>HYPERLINK("https://www.reddit.com/r/COVID19positive/comments/iibifc/weed_tastes_nasty/")</f>
        <v/>
      </c>
      <c r="G4836" t="inlineStr">
        <is>
          <t>2020-08-28 10:33:48</t>
        </is>
      </c>
      <c r="H4836" t="inlineStr">
        <is>
          <t>Tested Positive</t>
        </is>
      </c>
    </row>
    <row r="4837">
      <c r="A4837" t="inlineStr">
        <is>
          <t>iibtr2</t>
        </is>
      </c>
      <c r="B4837" t="inlineStr">
        <is>
          <t>I miss feeling good</t>
        </is>
      </c>
      <c r="C4837" t="inlineStr">
        <is>
          <t>I've been soldiering on at this, blood, sweat, and tears, for five fucking months, but, in a moment of vulnerability, in the throes of a soul-crushing headache that woke me from sleep, I would like to bow my head in humble acknowledgement that this simply sucks so hard, very few things have ever sucked so much as this.  It is a kind of ceaseless torture I never could have imagined in my wildest dreams.  Sometimes the only thing that keeps me sane is finding humor in how inventively horrible this is.  March 22nd was the last time it felt good to be in my body.  March 22nd.  Everything about this is a shrieking inferno of horror, and none of us, not one of us, deserved this.  No one understands.  No one is doing anything.  It feels like we're at war with evil itself.  We're giving it everything we've got, and it is taking everything away from us.  I did not choose this but this is my life now.  I will carry on with all the strength and dignity I can find in my broken emaciated body, but I needed a time-out to throw a small tantrum and say, this whole thing can fucking suck my ass.  I'm so proud of you all.  And I'm sorry for your pain.  That's all.</t>
        </is>
      </c>
      <c r="D4837" t="n">
        <v>1</v>
      </c>
      <c r="E4837" t="n">
        <v>20</v>
      </c>
      <c r="F4837">
        <f>HYPERLINK("https://www.reddit.com/r/COVID19positive/comments/iibtr2/i_miss_feeling_good/")</f>
        <v/>
      </c>
      <c r="G4837" t="inlineStr">
        <is>
          <t>2020-08-28 10:49:49</t>
        </is>
      </c>
      <c r="H4837" t="inlineStr">
        <is>
          <t>Presumed Positive - From Doctor</t>
        </is>
      </c>
    </row>
    <row r="4838">
      <c r="A4838" t="inlineStr">
        <is>
          <t>iicgug</t>
        </is>
      </c>
      <c r="B4838" t="inlineStr">
        <is>
          <t>Difficulty Going Back to Work</t>
        </is>
      </c>
      <c r="C4838" t="inlineStr">
        <is>
          <t>Hey y’all,
Anyone else having a horrible time trying to get back to work? I’m at the end of my 2 weeks of work-provided COVID PTO, and my company is requiring that I get two negative tests (from 2 different places) in order to return. 
1. This is expensive. I’m saving all my receipts and bills to submit for reimbursement, but until then, at $70 - $90 a test, I’m struggling.
2. Doctor’s offices don’t want to do tests on people who are doing better, which completely makes sense. I completely understand their position, but it is making things tricky as far as getting tested.
3. What am I supposed to do if I get one positive and one negative? Get tested every day until I get 2 negatives? 
4. I don’t feel better. I mean, I’m a lot better than a week ago, but I’m still coughing and completely exhausted. I think it’s real dumb to get tested again when I’m still not doing well.
I guess I’m mostly here to rant. I don’t expect actual answers. Thanks for letting me vent my frustrations here.</t>
        </is>
      </c>
      <c r="D4838" t="n">
        <v>1</v>
      </c>
      <c r="E4838" t="n">
        <v>4</v>
      </c>
      <c r="F4838">
        <f>HYPERLINK("https://www.reddit.com/r/COVID19positive/comments/iicgug/difficulty_going_back_to_work/")</f>
        <v/>
      </c>
      <c r="G4838" t="inlineStr">
        <is>
          <t>2020-08-28 11:22:44</t>
        </is>
      </c>
      <c r="H4838" t="inlineStr">
        <is>
          <t>Tested Positive - Me</t>
        </is>
      </c>
    </row>
    <row r="4839">
      <c r="A4839" t="inlineStr">
        <is>
          <t>iidezl</t>
        </is>
      </c>
      <c r="B4839" t="inlineStr">
        <is>
          <t>Foodie does a cry</t>
        </is>
      </c>
      <c r="C4839" t="inlineStr">
        <is>
          <t>Hear me out. Maybe you’ve seen my other posts with timelines along with my odious and insidious symptoms. Maybe you haven’t. 
The insult to injury happened today. I lost my sense of taste and smell. I presume it will come back like others have. 
But after 2 weeks of debilitating pain, of miserable nights, of living with extreme household protections to make sure my family isn’t infected, I’m ready to cry, cry, cry. 
I counted myself so very lucky not to have (so far) had the breathing problems or the loss of senses experienced by others. I was still able to eat right. 
You see, I’m a chef hobbyist, a foodie, an appreciator of beautiful foods... A few days ago I started to notice my appetite waning and a loss of interest in food. Today I can no longer smell or taste, and I’m crushed. 
I think depression was already coming on due to my covid experience so far, and this latest piece, this unmitigated insult, this bullshit is finally getting me to a sad place. 
Moreover, I find I’m (quietly) irrationally angry at people who don’t have it. My family, strangers, every motherfucking asshole on social media who comments on a post saying it’s a hoax. 
I know my experience is worse than some and better than others. We each have our own story to tell. 
I just.... Thank you for listening. I feel like you are the only people who can understand where I’m coming from.</t>
        </is>
      </c>
      <c r="D4839" t="n">
        <v>1</v>
      </c>
      <c r="E4839" t="n">
        <v>6</v>
      </c>
      <c r="F4839">
        <f>HYPERLINK("https://www.reddit.com/r/COVID19positive/comments/iidezl/foodie_does_a_cry/")</f>
        <v/>
      </c>
      <c r="G4839" t="inlineStr">
        <is>
          <t>2020-08-28 12:12:44</t>
        </is>
      </c>
      <c r="H4839" t="inlineStr">
        <is>
          <t>Presumed Positive - From Doctor</t>
        </is>
      </c>
    </row>
    <row r="4840">
      <c r="A4840" t="inlineStr">
        <is>
          <t>iifshu</t>
        </is>
      </c>
      <c r="B4840" t="inlineStr">
        <is>
          <t>Drinking alcohol after "recovering"?</t>
        </is>
      </c>
      <c r="C4840" t="inlineStr">
        <is>
          <t>I contracted covid-19 back in March and still haven't fully recovered. I haven't had any alcohol since then, it's been more than 5 months. But I am wondering how long exactly I should wait until I have a drink again. 
I'm sure the correct answer would be to stop drinking indefinitely, but the stress is really starting to get to me and I'm craving a drink more than ever. 
So what is the current medical recommendation for alcohol use after recovery or for long termers?</t>
        </is>
      </c>
      <c r="D4840" t="n">
        <v>1</v>
      </c>
      <c r="E4840" t="n">
        <v>5</v>
      </c>
      <c r="F4840">
        <f>HYPERLINK("https://www.reddit.com/r/COVID19positive/comments/iifshu/drinking_alcohol_after_recovering/")</f>
        <v/>
      </c>
      <c r="G4840" t="inlineStr">
        <is>
          <t>2020-08-28 14:19:28</t>
        </is>
      </c>
      <c r="H4840" t="inlineStr">
        <is>
          <t>Tested Positive - Me</t>
        </is>
      </c>
    </row>
    <row r="4841">
      <c r="A4841" t="inlineStr">
        <is>
          <t>iifw93</t>
        </is>
      </c>
      <c r="B4841" t="inlineStr">
        <is>
          <t>Sick but not Covid!</t>
        </is>
      </c>
      <c r="C4841" t="inlineStr">
        <is>
          <t>My son and I have been sick for over a week with a horrible cough, congestion, headache, chest pain. Covid test just came back negative. Dr thinks it's bronchitis.</t>
        </is>
      </c>
      <c r="D4841" t="n">
        <v>1</v>
      </c>
      <c r="E4841" t="n">
        <v>3</v>
      </c>
      <c r="F4841">
        <f>HYPERLINK("https://www.reddit.com/r/COVID19positive/comments/iifw93/sick_but_not_covid/")</f>
        <v/>
      </c>
      <c r="G4841" t="inlineStr">
        <is>
          <t>2020-08-28 14:24:58</t>
        </is>
      </c>
      <c r="H4841" t="inlineStr">
        <is>
          <t>Presumed Positive - From Doctor</t>
        </is>
      </c>
    </row>
    <row r="4842">
      <c r="A4842" t="inlineStr">
        <is>
          <t>iigctd</t>
        </is>
      </c>
      <c r="B4842" t="inlineStr">
        <is>
          <t>Overweight &amp;amp; 95% Recovered after 8 days</t>
        </is>
      </c>
      <c r="C4842" t="inlineStr">
        <is>
          <t>hey everyone, wanted to come on here and share my experience in hopes of helping someone else. 
I came down with first symptoms on August 14, that day I woke up with a sore throat and extreme fatigue and body aches. The second day the sore throat intensified and had chills and a mild fever. Third day the body aches became worst and really bad headaches. I never had a cough throughout the infection and not so much fever. I started to monitor my oxygen levels on day 5, and they were steady at 97%. I want to inform everyone that I am 5'4 and weigh 222 pounds. So Im pretty much obese, even though i am over weight I am still an active person prior to covid infection. Why do I feel that my symptoms weren't as severe? Well I followed the protocol listed on a file that was previously shared on this subreddit. I took daily Vitamin C, Zinc, quercetin and vitamin d starting on day 4 of infection per the recommendations of the protocol (will attach a link to it). And i believe that taking such supplements are what really helped me. After the 8th day I literally felt 95% back to normal health. I cant stress enough the power of vitamin c against covid. I also took aspirin as it has shown in various studies that it has specific antiviral properties and also helped with potential blood clots. I took aspirin every other day. Please look into supplements for covid, many of these supplements are already made by our bodies but if we can increase their amounts in our bodies it can aid our immune system in fighting this nasty virus. Take care!</t>
        </is>
      </c>
      <c r="D4842" t="n">
        <v>1</v>
      </c>
      <c r="E4842" t="n">
        <v>22</v>
      </c>
      <c r="F4842">
        <f>HYPERLINK("https://www.reddit.com/r/COVID19positive/comments/iigctd/overweight_95_recovered_after_8_days/")</f>
        <v/>
      </c>
      <c r="G4842" t="inlineStr">
        <is>
          <t>2020-08-28 14:50:12</t>
        </is>
      </c>
      <c r="H4842" t="inlineStr">
        <is>
          <t>Tested Positive - Me</t>
        </is>
      </c>
    </row>
    <row r="4843">
      <c r="A4843" t="inlineStr">
        <is>
          <t>iihpk1</t>
        </is>
      </c>
      <c r="B4843" t="inlineStr">
        <is>
          <t>Tested positive for Covid. Had no idea I was sick. Now my wife and I are both sick (she hasn't been tested yet). Should we be avoiding each other still? We never did to begin with. (Viral Load Question)</t>
        </is>
      </c>
      <c r="C4843" t="inlineStr">
        <is>
          <t>Hey guys,
So, I tested positive for Covid this afternoon. Despite being extremely careful. For the past few months we haven't been anywhere at all (we've gotten Instacart for groceries, etc.), except I went to the doctor's office ONE time and had to sit in the waiting room with allegedly no sick people for 20 minutes. Bam, Covid. 
I'd say I'm moderately ill. I have a low-grade fever, really bad body aches, a horribly sore throat, a cough, diarrhea, etc. I've been sick for maybe 4-5 days. During that time, my wife and I did NOT distance from each other. We had no idea you were even supposed to; we just figured if you were sharing the same tiny house, you were both gonna get it, end of story, so it didn't matter.
My doctor today said we need to stay away from each other so she doesn't get sick. But that's really hard in our house. We don't even have a couch, just recliners that don't go back all the way, so how would we not share a bed? I could technically sleep sitting up, but I'm worried about not sleeping well and that affecting my ability to fight this off.
Anyway... she started coughing this afternoon and has a sore throat, headache, body aches and fatigue. No fever though. At least not yet.
**So... I mean... isn't it too late to socially distance at this point? :( Or will being around me still increase her viral load and make her sicker?**
Thanks and hope you're all doing well!</t>
        </is>
      </c>
      <c r="D4843" t="n">
        <v>1</v>
      </c>
      <c r="E4843" t="n">
        <v>2</v>
      </c>
      <c r="F4843">
        <f>HYPERLINK("https://www.reddit.com/r/COVID19positive/comments/iihpk1/tested_positive_for_covid_had_no_idea_i_was_sick/")</f>
        <v/>
      </c>
      <c r="G4843" t="inlineStr">
        <is>
          <t>2020-08-28 16:10:07</t>
        </is>
      </c>
      <c r="H4843" t="inlineStr">
        <is>
          <t>Tested Positive - Me</t>
        </is>
      </c>
    </row>
    <row r="4844">
      <c r="A4844" t="inlineStr">
        <is>
          <t>iihqc0</t>
        </is>
      </c>
      <c r="B4844" t="inlineStr">
        <is>
          <t>Anyone else?!</t>
        </is>
      </c>
      <c r="C4844" t="inlineStr">
        <is>
          <t xml:space="preserve">
I tested positive a few weeks back now, was hospitalized for low oxygen. 
I’m home now and generally feeling ok again. Expect for my shoulders, neck, and upper back. They are killing me. Like to the point I’m not able to do much of anything. 
Has anyone else had these symptoms or issues with covid?!</t>
        </is>
      </c>
      <c r="D4844" t="n">
        <v>2</v>
      </c>
      <c r="E4844" t="n">
        <v>10</v>
      </c>
      <c r="F4844">
        <f>HYPERLINK("https://www.reddit.com/r/COVID19positive/comments/iihqc0/anyone_else/")</f>
        <v/>
      </c>
      <c r="G4844" t="inlineStr">
        <is>
          <t>2020-08-28 16:11:22</t>
        </is>
      </c>
      <c r="H4844" t="inlineStr">
        <is>
          <t>Tested Positive - Me</t>
        </is>
      </c>
    </row>
    <row r="4845">
      <c r="A4845" t="inlineStr">
        <is>
          <t>iihsgu</t>
        </is>
      </c>
      <c r="B4845" t="inlineStr">
        <is>
          <t>Tested positive for Covid today, and my wife and I have NOT been socially distancing. She is having symptoms now. Should we still stay away from each other so her viral load doesn't increase?</t>
        </is>
      </c>
      <c r="C4845" t="inlineStr">
        <is>
          <t>Hey guys,
So, I tested positive for Covid this afternoon. Despite being extremely careful. For the past few months we haven't been anywhere at all (we've gotten Instacart for groceries, etc.), except I went to the doctor's office ONE time and had to sit in the waiting room with allegedly no sick people for 20 minutes. Bam, Covid.
I'd say I'm moderately ill. I have a low-grade fever, really bad body aches, a horribly sore throat, a cough, diarrhea, etc. I've been slightly sick for maybe 4-5 days but had no c. During that time, my wife and I did NOT distance from each other. We had no idea you were even supposed to; we just figured if you were sharing the same tiny house, you were both gonna get it, end of story, so it didn't matter.
My doctor today said we need to stay away from each other so she doesn't get sick. But that's really hard in our house. We don't even have a couch, just recliners that don't go back all the way, so how would we not share a bed? I could technically sleep sitting up, but I'm worried about not sleeping well and that affecting my ability to fight this off.
Anyway... she started coughing this afternoon and has a sore throat, headache, body aches and fatigue. No fever though. At least not yet.
**So... I mean... isn't it too late to socially distance at this point? :( Or will being around me still increase her viral load and make her sicker?**
If it matters, we are both 30, and obese (my BMI is 34, hers is 36). Not smokers or drinkers. Not active at ALL... I know... I know.
Thanks and hope you're all doing well!</t>
        </is>
      </c>
      <c r="D4845" t="n">
        <v>1</v>
      </c>
      <c r="E4845" t="n">
        <v>12</v>
      </c>
      <c r="F4845">
        <f>HYPERLINK("https://www.reddit.com/r/COVID19positive/comments/iihsgu/tested_positive_for_covid_today_and_my_wife_and_i/")</f>
        <v/>
      </c>
      <c r="G4845" t="inlineStr">
        <is>
          <t>2020-08-28 16:15:05</t>
        </is>
      </c>
      <c r="H4845" t="inlineStr">
        <is>
          <t>Tested Positive - Me</t>
        </is>
      </c>
    </row>
    <row r="4846">
      <c r="A4846" t="inlineStr">
        <is>
          <t>iijd06</t>
        </is>
      </c>
      <c r="B4846" t="inlineStr">
        <is>
          <t>Refused entry because I’m honest</t>
        </is>
      </c>
      <c r="C4846" t="inlineStr">
        <is>
          <t>Still regretting the decision to get tested in the first place. My kids were sick and daycare told me they had to stay home until we had a negative test so I thought if they have it, I have it, and I got tested, hoping to get them back in daycare so I could work. I was surprised to find out I was positive and had to tell everyone I was around, including work, that I was positive and had to quarantine for 14 days. But all the while I’m still working from home with my kids that are normally in daycare and I’m getting stressed out and depressed. I have been released by the health dept to return to work, have a letter to prove it, so today when I tried to get my kids’ lab work done for a dr appt they have next week, they ask if anyone has had covid. I said yes, me, but I have my letter I can show you. Nope - wouldn’t let me in, wouldn’t let them get labs done. They said I could enter 21 days after my positive result or get a negative. I called health dept even and i said what kind of policy is that? They said well they can create their own. I hate that I’m honest. Is this not why we all wear a mask and assume everyone has it? If I didn’t get a test, I would have gone everywhere and been none the wiser. This may make me sound petty to some but I’m like right on the edge as far as depression and sanity are concerned and I can’t take any more. Guess it’s time to start medicating.</t>
        </is>
      </c>
      <c r="D4846" t="n">
        <v>1</v>
      </c>
      <c r="E4846" t="n">
        <v>8</v>
      </c>
      <c r="F4846">
        <f>HYPERLINK("https://www.reddit.com/r/COVID19positive/comments/iijd06/refused_entry_because_im_honest/")</f>
        <v/>
      </c>
      <c r="G4846" t="inlineStr">
        <is>
          <t>2020-08-28 17:58:21</t>
        </is>
      </c>
      <c r="H4846" t="inlineStr">
        <is>
          <t>Tested Positive - Me</t>
        </is>
      </c>
    </row>
    <row r="4847">
      <c r="A4847" t="inlineStr">
        <is>
          <t>iikqk3</t>
        </is>
      </c>
      <c r="B4847" t="inlineStr">
        <is>
          <t>Bad taste in my mouth</t>
        </is>
      </c>
      <c r="C4847" t="inlineStr">
        <is>
          <t>Hey I tested positive for COVID on 8/20. I had every symptom. I am almost fully recovered but I have this awful taste in my mouth when I eat anything. Anybody have the same bad taste? If so, how long til it went away? I’m dying to eat some good food but I just can’t because this taste is sooooo bad. It makes me nauseous :(</t>
        </is>
      </c>
      <c r="D4847" t="n">
        <v>1</v>
      </c>
      <c r="E4847" t="n">
        <v>9</v>
      </c>
      <c r="F4847">
        <f>HYPERLINK("https://www.reddit.com/r/COVID19positive/comments/iikqk3/bad_taste_in_my_mouth/")</f>
        <v/>
      </c>
      <c r="G4847" t="inlineStr">
        <is>
          <t>2020-08-28 19:33:23</t>
        </is>
      </c>
      <c r="H4847" t="inlineStr">
        <is>
          <t>Tested Positive - Me</t>
        </is>
      </c>
    </row>
    <row r="4848">
      <c r="A4848" t="inlineStr">
        <is>
          <t>iiku9h</t>
        </is>
      </c>
      <c r="B4848" t="inlineStr">
        <is>
          <t>Day by day account of how Covid is affecting me</t>
        </is>
      </c>
      <c r="C4848" t="inlineStr">
        <is>
          <t>I tested positive on Sunday.
Recap
Day 1 Friday night I had a sore throat
Day 2 Saturday night I had a headache, body aches, sore throat, and low grade fever.
Day 3 Sunday: I tested that morning. Felt fine low grade fever. Body aches
Day 4 Monday: received my + test result. no more fever. Low appetite. 
Day 5 Tuesday: a little phlegm in my chest, headache, sinus tingling, beginning to lose sense of smell body ache, little focus. Grandma and dad were tested this day
Day 6 Wednesday: my sister's results came back positive. Mucus in my cough, headache, sinus pressure, sinus pain when I switch from sitting to laying to standing, complete loss of smell, taste is starting to go as well.
Day 7 Thursday: my dad and grandma received their results today. Both tested negative and still have no symptoms. Today I have increased mucus in my throat. Increased sinus pressure. Plugged ears.  Headache. Really bad anxiety when I nap/sleep. I wake up in a sweat with my heart racing. O2 steady at 97-99. Temp has been 98.2 to 99.5 (No AC during the day and we live in Florida)
Day 8 Friday: I feel mostly the same as yesterday. Mucus in my throat, sinus pressure, throbbing headache, plugged ears, anxiety, burning sensation in my nose. No sense of smell. Normal temp and O2. Ready to be off of quarantine</t>
        </is>
      </c>
      <c r="D4848" t="n">
        <v>1</v>
      </c>
      <c r="E4848" t="n">
        <v>7</v>
      </c>
      <c r="F4848">
        <f>HYPERLINK("https://www.reddit.com/r/COVID19positive/comments/iiku9h/day_by_day_account_of_how_covid_is_affecting_me/")</f>
        <v/>
      </c>
      <c r="G4848" t="inlineStr">
        <is>
          <t>2020-08-28 19:40:18</t>
        </is>
      </c>
      <c r="H4848" t="inlineStr">
        <is>
          <t>Tested Positive - Me</t>
        </is>
      </c>
    </row>
    <row r="4849">
      <c r="A4849" t="inlineStr">
        <is>
          <t>iil44e</t>
        </is>
      </c>
      <c r="B4849" t="inlineStr">
        <is>
          <t>Covid Head Fog</t>
        </is>
      </c>
      <c r="C4849" t="inlineStr">
        <is>
          <t>I was tested positive on August 20 but have been experiencing symptoms since August 17. I have since recovered from the majority of my symptoms. However, I’ve been experiencing a sort of brain fog and haziness. I also feel a bit of pressure behind my eyes and still have no sense of taste or smell. Has anyone else experienced this during their recovery?</t>
        </is>
      </c>
      <c r="D4849" t="n">
        <v>1</v>
      </c>
      <c r="E4849" t="n">
        <v>10</v>
      </c>
      <c r="F4849">
        <f>HYPERLINK("https://www.reddit.com/r/COVID19positive/comments/iil44e/covid_head_fog/")</f>
        <v/>
      </c>
      <c r="G4849" t="inlineStr">
        <is>
          <t>2020-08-28 19:59:49</t>
        </is>
      </c>
      <c r="H4849" t="inlineStr">
        <is>
          <t>Tested Positive</t>
        </is>
      </c>
    </row>
    <row r="4850">
      <c r="A4850" t="inlineStr">
        <is>
          <t>iilnd2</t>
        </is>
      </c>
      <c r="B4850" t="inlineStr">
        <is>
          <t>Tested Positive, Glad I Found This Community</t>
        </is>
      </c>
      <c r="C4850" t="inlineStr">
        <is>
          <t>I received my test results on 8/23, currently quarantining at a hotel that my workplace set up for me. (I work in healthcare) 
Prior to that I had a patient who was totally non compliant with our mask wearing policy. She ended up testing positive and got 5 other patients sick. Words cannot describe how angry I am at this individual. My parents are high risk and I fear for them most. I call them everyday to make sure they’re not having any symptoms. I didn’t know where to go until I found this community. I don’t post often here on Reddit, but I feel that a lot of the stories on here are a testament to how devastating this pandemic is. A lot of positive stories on here too. I salute those who are able to spread positivity during a time when we really need it. 
I’m on day six and although I would consider my symptoms to be relatively mild (slight dry cough, loss of taste and smell, nasal congestion) I know that things can progress quickly if you don’t pay attention. My temperature was elevated today and even that caused to think about my future. Anyways, I’m done venting. I hope everyone who’s going through Covid gains some semblance of normalcy soon. I’m praying for you all.</t>
        </is>
      </c>
      <c r="D4850" t="n">
        <v>1</v>
      </c>
      <c r="E4850" t="n">
        <v>44</v>
      </c>
      <c r="F4850">
        <f>HYPERLINK("https://www.reddit.com/r/COVID19positive/comments/iilnd2/tested_positive_glad_i_found_this_community/")</f>
        <v/>
      </c>
      <c r="G4850" t="inlineStr">
        <is>
          <t>2020-08-28 20:37:57</t>
        </is>
      </c>
      <c r="H4850" t="inlineStr">
        <is>
          <t>Presumed Positive - From Test</t>
        </is>
      </c>
    </row>
    <row r="4851">
      <c r="A4851" t="inlineStr">
        <is>
          <t>iimvdh</t>
        </is>
      </c>
      <c r="B4851" t="inlineStr">
        <is>
          <t>Covid Came Back After Three Weeks?</t>
        </is>
      </c>
      <c r="C4851" t="inlineStr">
        <is>
          <t>On August 8th I tested positive for coronavirus. The symptoms weren’t awful — mostly body aches and generally feeling very run down. After my 10 day quarantine I went back to normal life. However as of today (August 28th) I have started feeling bad again and it feels very similar to how it was before. Body aches, fatigue fluish-like symptoms. Does anyone have a similar experience or know of one?
P.S. even after I recovered I did have a bit of lingering congestion in my throat.</t>
        </is>
      </c>
      <c r="D4851" t="n">
        <v>1</v>
      </c>
      <c r="E4851" t="n">
        <v>8</v>
      </c>
      <c r="F4851">
        <f>HYPERLINK("https://www.reddit.com/r/COVID19positive/comments/iimvdh/covid_came_back_after_three_weeks/")</f>
        <v/>
      </c>
      <c r="G4851" t="inlineStr">
        <is>
          <t>2020-08-28 22:13:27</t>
        </is>
      </c>
      <c r="H4851" t="inlineStr">
        <is>
          <t>Tested Positive - Me</t>
        </is>
      </c>
    </row>
    <row r="4852">
      <c r="A4852" t="inlineStr">
        <is>
          <t>iin9oi</t>
        </is>
      </c>
      <c r="B4852" t="inlineStr">
        <is>
          <t>Aunt &amp;amp; Uncle [Early/Mid 50's] got COVID</t>
        </is>
      </c>
      <c r="C4852" t="inlineStr">
        <is>
          <t>Just wanted to post for anyone looking for more stories  
My aunt and uncle got covid. My aunt went somewhere very public and thought it would be safe because it was in a rural-ish area. Brought it home. My younger cousin (18? oh god why don't I know how old she is lol) either didn't get it or is asymptomatic. My aunt and uncle are both quite sick. Not sure exactly when symptoms started, but aunt tested positive last monday 2020-08-17 (currently 2020-08-29)  
Uncle went to the hospital and got a Z-Pack. Didn't need to get checked in or anything. Just wanted something to help him feel better.  
That's basically it. It's been close to 2 weeks of symptoms and they're still pretty sick.   
My parents didn't think the virus was very much of a problem until finally family got it, and are not taking it slightly more seriously. Woohoo.</t>
        </is>
      </c>
      <c r="D4852" t="n">
        <v>1</v>
      </c>
      <c r="E4852" t="n">
        <v>6</v>
      </c>
      <c r="F4852">
        <f>HYPERLINK("https://www.reddit.com/r/COVID19positive/comments/iin9oi/aunt_uncle_earlymid_50s_got_covid/")</f>
        <v/>
      </c>
      <c r="G4852" t="inlineStr">
        <is>
          <t>2020-08-28 22:47:25</t>
        </is>
      </c>
      <c r="H4852" t="inlineStr">
        <is>
          <t>Tested Positive - Family</t>
        </is>
      </c>
    </row>
    <row r="4853">
      <c r="A4853" t="inlineStr">
        <is>
          <t>iipoed</t>
        </is>
      </c>
      <c r="B4853" t="inlineStr">
        <is>
          <t>Allergies or Relapse</t>
        </is>
      </c>
      <c r="C4853" t="inlineStr">
        <is>
          <t>I tested positive at the end of July. August 8th marked the end of my quarantine and I was symptom free, other than not regaining my sense of smell back. 
For the past week, I have been extremely congested but also have other allergy-like symptoms, which I get every fall. The congestion is unreal though and unlike any congestion I’ve ever had. The “Covid smell” comes to me in waves but isn’t constant. It will be present for a split second and then it fades. I can’t tell if this is in my head and I’m imagining the smell again or if it’s actually present. I am also now experiencing issues sleeping, almost like insomnia. I never have sleeping issues. I should be tired and sleeping well, but I lay awake all night. 
For anyone who has relapsed: does this sound like a relapse?  Should I be quarantining if it is a relapse?</t>
        </is>
      </c>
      <c r="D4853" t="n">
        <v>1</v>
      </c>
      <c r="E4853" t="n">
        <v>3</v>
      </c>
      <c r="F4853">
        <f>HYPERLINK("https://www.reddit.com/r/COVID19positive/comments/iipoed/allergies_or_relapse/")</f>
        <v/>
      </c>
      <c r="G4853" t="inlineStr">
        <is>
          <t>2020-08-29 02:33:05</t>
        </is>
      </c>
      <c r="H4853" t="inlineStr">
        <is>
          <t>Tested Positive - Me</t>
        </is>
      </c>
    </row>
    <row r="4854">
      <c r="A4854" t="inlineStr">
        <is>
          <t>iiqotq</t>
        </is>
      </c>
      <c r="B4854" t="inlineStr">
        <is>
          <t>I’m a free man tomorrow!</t>
        </is>
      </c>
      <c r="C4854" t="inlineStr">
        <is>
          <t>So, last week I tested positive for COVID. I’ve been asymptomatic the whole time, I talked to the health department yesterday and tomorrow I’m officially a free man! 
Able to leave isolation and rejoin society, I can honestly say that it was hard being confined in my room and away from my family. But I’m an overweight 21 year old male, so for those of you who are positive, I can say that I’ve been fine the whole time. 
My advice is stay off the internet where you can spook yourself, anxiety can amplify symptoms or make you feel like you have symptoms that you don’t have. Happened to me. I had a really severe craving for orange juice the whole quarantine, I’ve drank 2 almost 3 cartons and it helped a great deal. It gave me energy so listen to you body and what it’s asking for. I spent my time binge watching the Marvel movies to keep my mind off of it. 
So that all being said, you can get through it guys! Just listen to your bodies, stay hydrated and get as much rest as your body is asking for!</t>
        </is>
      </c>
      <c r="D4854" t="n">
        <v>1</v>
      </c>
      <c r="E4854" t="n">
        <v>4</v>
      </c>
      <c r="F4854">
        <f>HYPERLINK("https://www.reddit.com/r/COVID19positive/comments/iiqotq/im_a_free_man_tomorrow/")</f>
        <v/>
      </c>
      <c r="G4854" t="inlineStr">
        <is>
          <t>2020-08-29 04:12:14</t>
        </is>
      </c>
      <c r="H4854" t="inlineStr">
        <is>
          <t>Tested Positive - Me</t>
        </is>
      </c>
    </row>
    <row r="4855">
      <c r="A4855" t="inlineStr">
        <is>
          <t>iiqykd</t>
        </is>
      </c>
      <c r="B4855" t="inlineStr">
        <is>
          <t>Covid-19 PTSD</t>
        </is>
      </c>
      <c r="C4855" t="inlineStr">
        <is>
          <t>I work in a hospital &amp;amp; I tested positive for covid on 8-15. My symptoms started around 8-11 so on Monday 8-24 my job called me &amp;amp; cleared me to return to work. I go back today and I’m having a panic attack. When I spoke with my manager about returning I felt fine but I’ve honestly haven’t been operating at 100 percent since I’ve been sick &amp;amp; my symptoms have been coming in waves; some days I am fine. I’m terrified about even stepping foot back in that place &amp;amp; having a panic attack because I know that I could face exposure again.I really need some word of encouragement.</t>
        </is>
      </c>
      <c r="D4855" t="n">
        <v>1</v>
      </c>
      <c r="E4855" t="n">
        <v>14</v>
      </c>
      <c r="F4855">
        <f>HYPERLINK("https://www.reddit.com/r/COVID19positive/comments/iiqykd/covid19_ptsd/")</f>
        <v/>
      </c>
      <c r="G4855" t="inlineStr">
        <is>
          <t>2020-08-29 04:36:42</t>
        </is>
      </c>
      <c r="H4855" t="inlineStr">
        <is>
          <t>Tested Positive</t>
        </is>
      </c>
    </row>
    <row r="4856">
      <c r="A4856" t="inlineStr">
        <is>
          <t>iirwft</t>
        </is>
      </c>
      <c r="B4856" t="inlineStr">
        <is>
          <t>4 months in: former athlete and gymgoer. I'm still completely unable to do any exercise what so ever without getting PEM and severe fatigue 12-24 hours afterwards. A short walk will make me bed bound and severely fatigued they day after. Doctors have no answers and I feel like I'm going crazy</t>
        </is>
      </c>
      <c r="C4856" t="inlineStr">
        <is>
          <t>Oh god...I feel like I'm becoming one with this sub at this point.
I'm 4 months into this shitshow and my biggest problem is that I'm unable to exercise what so ever. I can't even take a short walk without feeling like shit the day after. Mind you I'm a former athlete and avid gym goer. Exercise is my identity. I literally have an identity crisis right now because I don't recognize myself anymore. Before this hit me, I biked several miles to school and work on a regular basis. I used to be a semi professional athlete a couple of years ago. I used to run 10 miles a week. Going to the gym was a way for me to handle my anxiety. 
And none of this is possible without severe fatigue and post extertional malaise 12-24 hours afterwards. It's also extremely unpredictable. There's days where I feel ok and "normal" and there's days where I can't get up from bed because the fatigue is so severe and heavy, I have never in my life experienced such fatigue. I didn't think it was even possible. It's also completely unpredictable what kind of physical activity will make me suffer. A short walk can make me bed bound, but a bike ride will not.
I'm being investigated by doctors and nothing unusual has been found so far that warrants any hospitalization. I might have POTS because of high HR upon standing and activity but my doctor is hesitant to diagnose it after 4 months. At the same time, the doctors I've met are saying my fatigue is normal and to keep exercising. I just know deep down, this is not normal. It's not normal for a previously young, healthy and fit person to have these types of reactions to physical activity this long after the infection. But no one has answers for me.</t>
        </is>
      </c>
      <c r="D4856" t="n">
        <v>1</v>
      </c>
      <c r="E4856" t="n">
        <v>73</v>
      </c>
      <c r="F4856">
        <f>HYPERLINK("https://www.reddit.com/r/COVID19positive/comments/iirwft/4_months_in_former_athlete_and_gymgoer_im_still/")</f>
        <v/>
      </c>
      <c r="G4856" t="inlineStr">
        <is>
          <t>2020-08-29 05:54:05</t>
        </is>
      </c>
      <c r="H4856" t="inlineStr">
        <is>
          <t>Presumed Positive - From Doctor</t>
        </is>
      </c>
    </row>
    <row r="4857">
      <c r="A4857" t="inlineStr">
        <is>
          <t>iitm1c</t>
        </is>
      </c>
      <c r="B4857" t="inlineStr">
        <is>
          <t>If you're dealing with anxiety due to covid, try working through the anxiety to overcome it</t>
        </is>
      </c>
      <c r="C4857" t="inlineStr">
        <is>
          <t>Basically write down or in your mind think of what exactly you're worried about, understand or write down why it Is you're worried about it, with those two pieces of information, figure out what steps you can take to control the situation and reduce the chance of that event occurring or figure out in general how you can act in order to reduce your anxiety. Finding ways to take control like this helps you not to continue to tumble in your own mind lost in thoughts</t>
        </is>
      </c>
      <c r="D4857" t="n">
        <v>1</v>
      </c>
      <c r="E4857" t="n">
        <v>2</v>
      </c>
      <c r="F4857">
        <f>HYPERLINK("https://www.reddit.com/r/COVID19positive/comments/iitm1c/if_youre_dealing_with_anxiety_due_to_covid_try/")</f>
        <v/>
      </c>
      <c r="G4857" t="inlineStr">
        <is>
          <t>2020-08-29 07:49:26</t>
        </is>
      </c>
      <c r="H4857" t="inlineStr">
        <is>
          <t>Tested Positive - Friends</t>
        </is>
      </c>
    </row>
    <row r="4858">
      <c r="A4858" t="inlineStr">
        <is>
          <t>iitqoo</t>
        </is>
      </c>
      <c r="B4858" t="inlineStr">
        <is>
          <t>No Smell!? No taste!?!?</t>
        </is>
      </c>
      <c r="C4858" t="inlineStr">
        <is>
          <t>Finally tested positive on the 23rd. I say finally because over 2 weeks ago I was around someone that turned out to be confirmed 3 days after we hung out. And then my roomate got it that same week. I tested negative two and a half weeks ago but took the test again this week for my job and it came back positive.
So onto my ordeal, I just realized I can't smell ANYTHING and it's so weird because my nose is really sensitive. But I just poked my nose into an open bottle of MINCED GARLIC AND DIDN'T SMELL A DAMN THING! Having this is so wild.
And not being able to taste, but able to taste is odd....like I can taste stuff...but it's like it's really really dumbed down to just the basics if that makes sense. I can taste the ever so slight flavor of cheese in cheese-its but I mostly taste the salt if it has a lot on it and I put it directly on my tongue. The only thing I can truly taste is oreos!
I'm finding a lot of it scarily funny. Anyway, this is my little story on my experience so far with Covid. 
Now, I'm gonna go change my cat's litter while I still can't smell anything.</t>
        </is>
      </c>
      <c r="D4858" t="n">
        <v>1</v>
      </c>
      <c r="E4858" t="n">
        <v>15</v>
      </c>
      <c r="F4858">
        <f>HYPERLINK("https://www.reddit.com/r/COVID19positive/comments/iitqoo/no_smell_no_taste/")</f>
        <v/>
      </c>
      <c r="G4858" t="inlineStr">
        <is>
          <t>2020-08-29 07:57:43</t>
        </is>
      </c>
      <c r="H4858" t="inlineStr">
        <is>
          <t>Tested Positive - Me</t>
        </is>
      </c>
    </row>
    <row r="4859">
      <c r="A4859" t="inlineStr">
        <is>
          <t>iiuck7</t>
        </is>
      </c>
      <c r="B4859" t="inlineStr">
        <is>
          <t>Throat Super Painful On One Side</t>
        </is>
      </c>
      <c r="C4859" t="inlineStr">
        <is>
          <t>I tested positive for COVID 2 days ago, and today is my 5th day with symptoms. Overall my case has been extremely mild, but the thing that seems to be the most annoying now is my sore throat. It's also weird because the sharp throat pain is only on the right side, and has been like that for over a day now. Any ideas why? I am hoping to god I don't have a strep/covid combo somehow.</t>
        </is>
      </c>
      <c r="D4859" t="n">
        <v>1</v>
      </c>
      <c r="E4859" t="n">
        <v>4</v>
      </c>
      <c r="F4859">
        <f>HYPERLINK("https://www.reddit.com/r/COVID19positive/comments/iiuck7/throat_super_painful_on_one_side/")</f>
        <v/>
      </c>
      <c r="G4859" t="inlineStr">
        <is>
          <t>2020-08-29 08:32:24</t>
        </is>
      </c>
      <c r="H4859" t="inlineStr">
        <is>
          <t>Tested Positive - Me</t>
        </is>
      </c>
    </row>
    <row r="4860">
      <c r="A4860" t="inlineStr">
        <is>
          <t>iivifb</t>
        </is>
      </c>
      <c r="B4860" t="inlineStr">
        <is>
          <t>Living alone, no friends in town, tips for groceries + trash, etc?</t>
        </is>
      </c>
      <c r="C4860" t="inlineStr">
        <is>
          <t>Hi!
So I tested positive this morning. I’m supposed to not go out anywhere now, but I don’t have any  friends or family in town... How am I supposed to get groceries? Or throw out trash? Like to go out I go through this tiny elevator, and I have to touch a lot of doors, and my apartment building has a lot of kids that touch everything and yeah I really don’t want to get anyone else sick... Like food I can order to be left in front of my door but how do I get to the trashbins?? I even need to pass by a small food market on my way there. God, I did not think this would be my biggest concern if I tested positive...</t>
        </is>
      </c>
      <c r="D4860" t="n">
        <v>1</v>
      </c>
      <c r="E4860" t="n">
        <v>11</v>
      </c>
      <c r="F4860">
        <f>HYPERLINK("https://www.reddit.com/r/COVID19positive/comments/iivifb/living_alone_no_friends_in_town_tips_for/")</f>
        <v/>
      </c>
      <c r="G4860" t="inlineStr">
        <is>
          <t>2020-08-29 09:38:22</t>
        </is>
      </c>
      <c r="H4860" t="inlineStr">
        <is>
          <t>Tested Positive - Me</t>
        </is>
      </c>
    </row>
    <row r="4861">
      <c r="A4861" t="inlineStr">
        <is>
          <t>iivvyb</t>
        </is>
      </c>
      <c r="B4861" t="inlineStr">
        <is>
          <t>Guys does this sound like covid or seasonal allergies?</t>
        </is>
      </c>
      <c r="C4861" t="inlineStr">
        <is>
          <t>I always get seasonal allergies around this time leading into the fall. Slightly lethargic, cough thats not often but burns my lungs, throat i cant clear and slight Shortness of breathe with long sentences. But sadly the timing couldnt he worse because my sister is quarantined because her close coworker was confirmed with covid and she was over 6 days ago for my little sisters birthday. Its killing me not knowing but no one in my household is experiencing symptoms but me.</t>
        </is>
      </c>
      <c r="D4861" t="n">
        <v>1</v>
      </c>
      <c r="E4861" t="n">
        <v>6</v>
      </c>
      <c r="F4861">
        <f>HYPERLINK("https://www.reddit.com/r/COVID19positive/comments/iivvyb/guys_does_this_sound_like_covid_or_seasonal/")</f>
        <v/>
      </c>
      <c r="G4861" t="inlineStr">
        <is>
          <t>2020-08-29 09:59:37</t>
        </is>
      </c>
      <c r="H4861" t="inlineStr">
        <is>
          <t>Tested Positive - Family</t>
        </is>
      </c>
    </row>
    <row r="4862">
      <c r="A4862" t="inlineStr">
        <is>
          <t>iiwvg2</t>
        </is>
      </c>
      <c r="B4862" t="inlineStr">
        <is>
          <t>Has anyone here tested negative but sure they had covid?</t>
        </is>
      </c>
      <c r="C4862" t="inlineStr">
        <is>
          <t>My mom works in a nursing facility with a current large outbreak. She takes care of patients with covid directly .She started having symptoms 2 days after testing negative. They get tested every 2 weeks so she got tested again this thursday (now recovering) and the test came back negative again. 
I saw her briefly (with a mask on and outdoors) a few days before she got sick so I also went and got myself tested (but haven't gotten results yet). I now have a scratchy throat and am tired. I had vertigo last week.  
Anyone here test negative for covid but pretty sure they had it?</t>
        </is>
      </c>
      <c r="D4862" t="n">
        <v>1</v>
      </c>
      <c r="E4862" t="n">
        <v>37</v>
      </c>
      <c r="F4862">
        <f>HYPERLINK("https://www.reddit.com/r/COVID19positive/comments/iiwvg2/has_anyone_here_tested_negative_but_sure_they_had/")</f>
        <v/>
      </c>
      <c r="G4862" t="inlineStr">
        <is>
          <t>2020-08-29 10:53:42</t>
        </is>
      </c>
      <c r="H4862" t="inlineStr">
        <is>
          <t>Presumed Positive - From Doctor</t>
        </is>
      </c>
    </row>
    <row r="4863">
      <c r="A4863" t="inlineStr">
        <is>
          <t>iixafq</t>
        </is>
      </c>
      <c r="B4863" t="inlineStr">
        <is>
          <t>26 F - day by day symptoms and recovery</t>
        </is>
      </c>
      <c r="C4863" t="inlineStr">
        <is>
          <t xml:space="preserve">
I wanted to post my experience here to give thanks to this sub which was immensely useful  when I tested positive. 
I’m 26, F and healthy with no underlying conditions except maybe a history of bronchitis 
Day 1: Started with what I thought was a routine sinus headache and some ear pain. I also lost all smell and maybe 25% of my taste. 
Day 2: headache and fever (got tested) 
Day 3: sore throat has developed overnight but fever and headache are greatly reduced (got positive result back)
Day 4: sore throat is better and other symptoms are also milder 
Day 5: fever gone. Mild ear and throat ache which is concentrated on one side and severe lower back pain 
Day 6: less severe back pain
Day 7: almost no back pain but some sensations
Day 8-9: some ear and throat pain but no other symptoms 
Day 10: dry cough develops but it is mild and intermittent 
Day 11-15: mild dry cough persists and some mild ear pain (I spoke to my doctor who said that dry cough is a sign of recovery that will take its own time). One annoying thing in this period was that I would randomly feel kinda Woozy for small periods of time but eating constantly helped.
Day 16: better. Looks like I’m getting a little better each day. I even caught a whiff of coffee so perhaps smell is slowly on its way back. 
I took some paracetamol on days 1-4 and no other medications. I also had a lot of hot liquids and consumed a lot of turmeric, ginger and other anti-inflammatory herbs. 
The worst part of this was the accompanying anxiety. Thank you to everyone who so generously shares their experience on this sub. It helped me immensely.</t>
        </is>
      </c>
      <c r="D4863" t="n">
        <v>1</v>
      </c>
      <c r="E4863" t="n">
        <v>5</v>
      </c>
      <c r="F4863">
        <f>HYPERLINK("https://www.reddit.com/r/COVID19positive/comments/iixafq/26_f_day_by_day_symptoms_and_recovery/")</f>
        <v/>
      </c>
      <c r="G4863" t="inlineStr">
        <is>
          <t>2020-08-29 11:16:29</t>
        </is>
      </c>
      <c r="H4863" t="inlineStr">
        <is>
          <t>Tested Positive - Me</t>
        </is>
      </c>
    </row>
    <row r="4864">
      <c r="A4864" t="inlineStr">
        <is>
          <t>iiyeab</t>
        </is>
      </c>
      <c r="B4864" t="inlineStr">
        <is>
          <t>Girlfriends Father Passed</t>
        </is>
      </c>
      <c r="C4864" t="inlineStr">
        <is>
          <t>Hi - 
My girlfriends father has just passed after a long battle with COVID. She’s working right now so I’m waiting for her mother to tell her the news. She is Brazilian and lives away from everyone here in Ireland.
I’m just wondering if anyone knows how I can help her because I’m not sure how to deal with the situation. 
Thanks</t>
        </is>
      </c>
      <c r="D4864" t="n">
        <v>1</v>
      </c>
      <c r="E4864" t="n">
        <v>9</v>
      </c>
      <c r="F4864">
        <f>HYPERLINK("https://www.reddit.com/r/COVID19positive/comments/iiyeab/girlfriends_father_passed/")</f>
        <v/>
      </c>
      <c r="G4864" t="inlineStr">
        <is>
          <t>2020-08-29 12:19:10</t>
        </is>
      </c>
      <c r="H4864" t="inlineStr">
        <is>
          <t>Tested Positive - Friends</t>
        </is>
      </c>
    </row>
    <row r="4865">
      <c r="A4865" t="inlineStr">
        <is>
          <t>iizzkb</t>
        </is>
      </c>
      <c r="B4865" t="inlineStr">
        <is>
          <t>Partner is LEO and tested positive yesterday.</t>
        </is>
      </c>
      <c r="C4865" t="inlineStr">
        <is>
          <t>I had been in close contact with him for the last week, so I decided to quarantine with him to care for him. Personally, I felt extremely run down last week and has a mild fever for one evening and have been fine since. I’m assuming we both got it but that I was simply luckier in my symptoms / presentation.
His symptoms developed out of nowhere Thursday night, while on shift, and he came home with 100 degree fever. He soaked through his clothes and the sheets that first night, and woke up with a 100.5, and was visibly flushed. I took him for a test at urgent care when he woke up, and they almost did not test him because he has taken Tylenol and the forehead scanner said he did not have a fever. Thankfully, he insisted. 
His sore throat has been severe and he didn’t sleep because of it. Then he woke up and felt nauseous but did not throw up. He has been able to eat toast, and has not lost his taste or smell. The fever is back despite Tylenol, and he looks exhausted.
I have been giving him lidocaine throat spray, cough drops with menthol, and Tylenol cold and flu for the headaches / body aches / fever / sore throat relief, as well as lots of hot tea and honey, echinacea, and vitamin c.
The coughing is killing his throat, and I’ve been concerned about it getting worse. I have cough suppressants, but my thinking is that he needs to be coughing up whatever is in there, to avoid fluid in the lungs. 
I’ve done some brief scanning on this sub, and I’ve also been keeping up with the news and CDC guidelines, contraindications, etc. But .. to anyone who has gone through specifically the high fever and sore throat, what has been most effective? Or what has helped you to sleep through it? 
Side note:
This is just me venting, but his agency backdated his quarantine length to the last date he worked, which I think is absurd considering he may have gotten it after that, and that date is just totally arbitrary. He was only told by the doctor to quarantine for 9 days total, which I also thought was absurd. The shortest I’d heard recommended was 14 days, but I’ve also been trying to explain to him that people can be symptomatic for weeks or months, and that people may still have the virus in their system after becoming asymptomatic. I’m just so frustrated that the refusal of companies and agencies to prioritize clearing someone properly, such as requiring a negative test before coming back.</t>
        </is>
      </c>
      <c r="D4865" t="n">
        <v>1</v>
      </c>
      <c r="E4865" t="n">
        <v>17</v>
      </c>
      <c r="F4865">
        <f>HYPERLINK("https://www.reddit.com/r/COVID19positive/comments/iizzkb/partner_is_leo_and_tested_positive_yesterday/")</f>
        <v/>
      </c>
      <c r="G4865" t="inlineStr">
        <is>
          <t>2020-08-29 13:53:13</t>
        </is>
      </c>
      <c r="H4865" t="inlineStr">
        <is>
          <t>Tested Positive - Family</t>
        </is>
      </c>
    </row>
    <row r="4866">
      <c r="A4866" t="inlineStr">
        <is>
          <t>ij090k</t>
        </is>
      </c>
      <c r="B4866" t="inlineStr">
        <is>
          <t>Tested positive for Antibodies</t>
        </is>
      </c>
      <c r="C4866" t="inlineStr">
        <is>
          <t>So I tested positive for antibodies and my COVID test will be here in 5 days. I don't recall being near anyone with coronavirus and no symptoms that I recall of. Do I still have the coronavirus possibly?</t>
        </is>
      </c>
      <c r="D4866" t="n">
        <v>1</v>
      </c>
      <c r="E4866" t="n">
        <v>5</v>
      </c>
      <c r="F4866">
        <f>HYPERLINK("https://www.reddit.com/r/COVID19positive/comments/ij090k/tested_positive_for_antibodies/")</f>
        <v/>
      </c>
      <c r="G4866" t="inlineStr">
        <is>
          <t>2020-08-29 14:08:38</t>
        </is>
      </c>
      <c r="H4866" t="inlineStr">
        <is>
          <t>Tested Positive</t>
        </is>
      </c>
    </row>
    <row r="4867">
      <c r="A4867" t="inlineStr">
        <is>
          <t>ij0y68</t>
        </is>
      </c>
      <c r="B4867" t="inlineStr">
        <is>
          <t>when is it ok to go out again?</t>
        </is>
      </c>
      <c r="C4867" t="inlineStr">
        <is>
          <t>I got covid at my university, tested positive on 8/24, and so far my only symptoms were headaches here and there, a minor sore throat, and loss of smell and taste. I’m set to get out of quarantine on 9/3 and I had planned to go home that weekend anyway for a friends birthday party,
Is it safe for me to go to said party without infecting people, or do you think it is too soon and i should just play it safe and stay at my university.</t>
        </is>
      </c>
      <c r="D4867" t="n">
        <v>1</v>
      </c>
      <c r="E4867" t="n">
        <v>13</v>
      </c>
      <c r="F4867">
        <f>HYPERLINK("https://www.reddit.com/r/COVID19positive/comments/ij0y68/when_is_it_ok_to_go_out_again/")</f>
        <v/>
      </c>
      <c r="G4867" t="inlineStr">
        <is>
          <t>2020-08-29 14:49:30</t>
        </is>
      </c>
      <c r="H4867" t="inlineStr">
        <is>
          <t>Tested Positive - Me</t>
        </is>
      </c>
    </row>
    <row r="4868">
      <c r="A4868" t="inlineStr">
        <is>
          <t>ij27an</t>
        </is>
      </c>
      <c r="B4868" t="inlineStr">
        <is>
          <t>Hives as only symptom so far - Tested Positive</t>
        </is>
      </c>
      <c r="C4868" t="inlineStr">
        <is>
          <t>21M, worked out almost everyday before quarantine. Tested Positive 8/27. I broke out in hives on Wednesday night, they were on and off Thursday and returned Thursday night. Friday I received a positive text from when I tested on Thursday morning. So far I'm feeling okay, but I wanted to know how suddenly people's symptoms hit because I'm a little paranoid about getting sick.</t>
        </is>
      </c>
      <c r="D4868" t="n">
        <v>1</v>
      </c>
      <c r="E4868" t="n">
        <v>7</v>
      </c>
      <c r="F4868">
        <f>HYPERLINK("https://www.reddit.com/r/COVID19positive/comments/ij27an/hives_as_only_symptom_so_far_tested_positive/")</f>
        <v/>
      </c>
      <c r="G4868" t="inlineStr">
        <is>
          <t>2020-08-29 16:06:20</t>
        </is>
      </c>
      <c r="H4868" t="inlineStr">
        <is>
          <t>Tested Positive</t>
        </is>
      </c>
    </row>
    <row r="4869">
      <c r="A4869" t="inlineStr">
        <is>
          <t>ij5fyh</t>
        </is>
      </c>
      <c r="B4869" t="inlineStr">
        <is>
          <t>12 days in, muscle aches and buzzing / burning feeling in legs</t>
        </is>
      </c>
      <c r="C4869" t="inlineStr">
        <is>
          <t>Hey just wondering if anyone had muscle pain in their legs, how bad was it? Mines been terrible although it isn’t constant. When it happens it stays for a while and i have to take pain killers to ease the pain.
Ive also had a burning sensation on my skin, on my legs with the muscle pain. But sometimes i get it on random areas of the skin. No shoulder ache, but my skin feels hot and prickly.
Tonight was the first time I’ve had “bubbling” or buzzing feeling with muscle ache, hot skin and the burning feeling. 
I had surgery on my foot 1 year ago so I’ve always been weary of blood clots. But since it is happening on both legs i don’t know if this is just crazy covid symptoms. And my anxiety isnt helping. 
Anyway, im elevating my legs and hoping this is just my anxiety!</t>
        </is>
      </c>
      <c r="D4869" t="n">
        <v>1</v>
      </c>
      <c r="E4869" t="n">
        <v>7</v>
      </c>
      <c r="F4869">
        <f>HYPERLINK("https://www.reddit.com/r/COVID19positive/comments/ij5fyh/12_days_in_muscle_aches_and_buzzing_burning/")</f>
        <v/>
      </c>
      <c r="G4869" t="inlineStr">
        <is>
          <t>2020-08-29 19:49:45</t>
        </is>
      </c>
      <c r="H4869" t="inlineStr">
        <is>
          <t>Tested Positive - Me</t>
        </is>
      </c>
    </row>
    <row r="4870">
      <c r="A4870" t="inlineStr">
        <is>
          <t>ij65so</t>
        </is>
      </c>
      <c r="B4870" t="inlineStr">
        <is>
          <t>My aunt tested positive last week.</t>
        </is>
      </c>
      <c r="C4870" t="inlineStr">
        <is>
          <t>She has not felt any symptoms. Iv been in very close proximity before her positive diagnosis and Iv taken 5 test. All negative. So that’s good.</t>
        </is>
      </c>
      <c r="D4870" t="n">
        <v>1</v>
      </c>
      <c r="E4870" t="n">
        <v>2</v>
      </c>
      <c r="F4870">
        <f>HYPERLINK("https://www.reddit.com/r/COVID19positive/comments/ij65so/my_aunt_tested_positive_last_week/")</f>
        <v/>
      </c>
      <c r="G4870" t="inlineStr">
        <is>
          <t>2020-08-29 20:37:36</t>
        </is>
      </c>
      <c r="H4870" t="inlineStr">
        <is>
          <t>Tested Positive - Family</t>
        </is>
      </c>
    </row>
    <row r="4871">
      <c r="A4871" t="inlineStr">
        <is>
          <t>ij6mat</t>
        </is>
      </c>
      <c r="B4871" t="inlineStr">
        <is>
          <t>I just left my father at the hospital and I don't know what to do</t>
        </is>
      </c>
      <c r="C4871" t="inlineStr">
        <is>
          <t>I can't be with him, I saw him really tired and was coughing like crazy, he didn't want to come but I had to force him to come. I don't know what to do, he's the strongest man I've ever known but seeing him like this breaks my heart.</t>
        </is>
      </c>
      <c r="D4871" t="n">
        <v>1</v>
      </c>
      <c r="E4871" t="n">
        <v>46</v>
      </c>
      <c r="F4871">
        <f>HYPERLINK("https://www.reddit.com/r/COVID19positive/comments/ij6mat/i_just_left_my_father_at_the_hospital_and_i_dont/")</f>
        <v/>
      </c>
      <c r="G4871" t="inlineStr">
        <is>
          <t>2020-08-29 21:11:34</t>
        </is>
      </c>
      <c r="H4871" t="inlineStr">
        <is>
          <t>Tested Positive - Family</t>
        </is>
      </c>
    </row>
    <row r="4872">
      <c r="A4872" t="inlineStr">
        <is>
          <t>ij748b</t>
        </is>
      </c>
      <c r="B4872" t="inlineStr">
        <is>
          <t>My mother positive and I tested negative</t>
        </is>
      </c>
      <c r="C4872" t="inlineStr">
        <is>
          <t>I feel that my mind is somewhere else right now. Trying to assimilate of what is happening. My roommate tested positive and me and my mother left the house. And my mom and I tested just in case but she tested positive and I tested negative. I am hoping is inaccurate and that she is negative as well. I feel so much anxiety and sadness. 🙁😟😔 
She doesn’t feel anything. She thinks is a mistake. It’s the worse feeling. 😔😢</t>
        </is>
      </c>
      <c r="D4872" t="n">
        <v>1</v>
      </c>
      <c r="E4872" t="n">
        <v>4</v>
      </c>
      <c r="F4872">
        <f>HYPERLINK("https://www.reddit.com/r/COVID19positive/comments/ij748b/my_mother_positive_and_i_tested_negative/")</f>
        <v/>
      </c>
      <c r="G4872" t="inlineStr">
        <is>
          <t>2020-08-29 21:51:32</t>
        </is>
      </c>
      <c r="H4872" t="inlineStr">
        <is>
          <t>Tested Positive - Family</t>
        </is>
      </c>
    </row>
    <row r="4873">
      <c r="A4873" t="inlineStr">
        <is>
          <t>ij7p06</t>
        </is>
      </c>
      <c r="B4873" t="inlineStr">
        <is>
          <t>Doesn’t make sense</t>
        </is>
      </c>
      <c r="C4873" t="inlineStr">
        <is>
          <t>6 weeks ago, I tested positive but was otherwise asymptomstic (felt tired and had a stuffy nose)
4 days after my test, my wife got tested which was negative but that very same night she developed fevers and had fevers for a good 4 day’s and couldnt get out of bed. So we assumed maybe she tested too early or it was a false negative. 
So anyways we both got antibody test the other days and mine comes back positive but hers was surprisingly negative!!! 
(Mind you while I was pending my test we acted normal; kissed, slept in same bed, shared drinks etc,) 
If she really didn’t get it then wtf ? Maybe another false negative ?</t>
        </is>
      </c>
      <c r="D4873" t="n">
        <v>1</v>
      </c>
      <c r="E4873" t="n">
        <v>5</v>
      </c>
      <c r="F4873">
        <f>HYPERLINK("https://www.reddit.com/r/COVID19positive/comments/ij7p06/doesnt_make_sense/")</f>
        <v/>
      </c>
      <c r="G4873" t="inlineStr">
        <is>
          <t>2020-08-29 22:41:43</t>
        </is>
      </c>
      <c r="H4873" t="inlineStr">
        <is>
          <t>Tested Positive - Me</t>
        </is>
      </c>
    </row>
    <row r="4874">
      <c r="A4874" t="inlineStr">
        <is>
          <t>ij8t5u</t>
        </is>
      </c>
      <c r="B4874" t="inlineStr">
        <is>
          <t>A day by day account of how Covid is affecting me</t>
        </is>
      </c>
      <c r="C4874" t="inlineStr">
        <is>
          <t>I tested positive on Sunday.
Recap
Day 1 Friday night I had a sore throat
Day 2 Saturday night I had a headache, body aches, sore throat, and low grade fever.
Day 3 Sunday: I tested that morning. Felt fine low grade fever. Body aches
Day 4 Monday: received my + test result. no more fever. Low appetite. 
Day 5 Tuesday: a little phlegm in my chest, headache, sinus tingling, beginning to lose sense of smell body ache, little focus. Grandma and dad were tested this day
Day 6 Wednesday: my sister's results came back positive. Mucus in my cough, headache, sinus pressure, sinus pain when I switch from sitting to laying to standing, complete loss of smell, taste is starting to go as well.
Day 7 Thursday: my dad and grandma received their results today. Both tested negative and still have no symptoms. Today I have increased mucus in my throat. Increased sinus pressure. Plugged ears.  Headache. Really bad anxiety when I nap/sleep. I wake up in a sweat with my heart racing. O2 steady at 97-99. Temp has been 98.2 to 99.5 (No AC during the day and we live in Florida)
Day 8 Friday: I feel mostly the same as yesterday. Mucus in my throat, sinus pressure, throbbing headache, plugged ears, anxiety, burning sensation in my nose. No sense of smell. Normal temp and O2. Ready to be off of quarantine
Day 9 Saturday: I developed more of a cough. My nose has been burning best way to describe is a brain freeze in my nasal cavity/sinuses. Anxiety, heartburn, Headache, still no smell, little taste. Normal temp 98.2-98.8 normal O2 96-99.</t>
        </is>
      </c>
      <c r="D4874" t="n">
        <v>1</v>
      </c>
      <c r="E4874" t="n">
        <v>10</v>
      </c>
      <c r="F4874">
        <f>HYPERLINK("https://www.reddit.com/r/COVID19positive/comments/ij8t5u/a_day_by_day_account_of_how_covid_is_affecting_me/")</f>
        <v/>
      </c>
      <c r="G4874" t="inlineStr">
        <is>
          <t>2020-08-30 00:22:41</t>
        </is>
      </c>
      <c r="H4874" t="inlineStr">
        <is>
          <t>Tested Positive - Me</t>
        </is>
      </c>
    </row>
    <row r="4875">
      <c r="A4875" t="inlineStr">
        <is>
          <t>ij92rt</t>
        </is>
      </c>
      <c r="B4875" t="inlineStr">
        <is>
          <t>How to avoid dead virus false positives in PCR?</t>
        </is>
      </c>
      <c r="C4875" t="inlineStr">
        <is>
          <t>Hi everyone! I tested positive on 19th, and I have had very mild symptoms since then (no fever, no cough, just a bit of nasal drip and a sore throat).
I will PCR test again next week, and I've read people saying PCR tests can detect dead virus cells, while not effectively being contagious.
Are there any ways of avoiding that? Would washing my nostrils and gargling with a mouthwash help?
Thank you!</t>
        </is>
      </c>
      <c r="D4875" t="n">
        <v>1</v>
      </c>
      <c r="E4875" t="n">
        <v>6</v>
      </c>
      <c r="F4875">
        <f>HYPERLINK("https://www.reddit.com/r/COVID19positive/comments/ij92rt/how_to_avoid_dead_virus_false_positives_in_pcr/")</f>
        <v/>
      </c>
      <c r="G4875" t="inlineStr">
        <is>
          <t>2020-08-30 00:47:44</t>
        </is>
      </c>
      <c r="H4875" t="inlineStr">
        <is>
          <t>Tested Positive - Me</t>
        </is>
      </c>
    </row>
    <row r="4876">
      <c r="A4876" t="inlineStr">
        <is>
          <t>ijbghp</t>
        </is>
      </c>
      <c r="B4876" t="inlineStr">
        <is>
          <t>Question about PCR and infectiousness</t>
        </is>
      </c>
      <c r="C4876" t="inlineStr">
        <is>
          <t xml:space="preserve">
My GF met a friend who's moving to France. They were indoors and without masks, as they believed there was no risk, since the friend already had COVID in March, was symptomatic and had since been living with her family in a farm.
One day after they met, the friend got the results from a PCR and it was positive (but she's asymptomatic). She has flown to France anyway and did another test there (no result yet).
Does my GF need to stay 14 days in isolation? Could she do a PCR at some point to conclusively determine she's clean and that she can meet other people? Would a negative PCR in France change the outlook in any way?</t>
        </is>
      </c>
      <c r="D4876" t="n">
        <v>1</v>
      </c>
      <c r="E4876" t="n">
        <v>5</v>
      </c>
      <c r="F4876">
        <f>HYPERLINK("https://www.reddit.com/r/COVID19positive/comments/ijbghp/question_about_pcr_and_infectiousness/")</f>
        <v/>
      </c>
      <c r="G4876" t="inlineStr">
        <is>
          <t>2020-08-30 04:49:13</t>
        </is>
      </c>
      <c r="H4876" t="inlineStr">
        <is>
          <t>Tested Positive - Friends</t>
        </is>
      </c>
    </row>
    <row r="4877">
      <c r="A4877" t="inlineStr">
        <is>
          <t>ijbs2w</t>
        </is>
      </c>
      <c r="B4877" t="inlineStr">
        <is>
          <t>Need help</t>
        </is>
      </c>
      <c r="C4877" t="inlineStr">
        <is>
          <t>9days back my brother is in contact with his friend, who is covid positive, so we isolated him in our home(rental) till now. Then we recently moved to other house and made him stay in other room. Now my question is can I bring all his luggage to our new home(which is in our past house which I sanitized 2days back) is it safe?("He didn't develop any symtoms till now")</t>
        </is>
      </c>
      <c r="D4877" t="n">
        <v>1</v>
      </c>
      <c r="E4877" t="n">
        <v>6</v>
      </c>
      <c r="F4877">
        <f>HYPERLINK("https://www.reddit.com/r/COVID19positive/comments/ijbs2w/need_help/")</f>
        <v/>
      </c>
      <c r="G4877" t="inlineStr">
        <is>
          <t>2020-08-30 05:16:38</t>
        </is>
      </c>
      <c r="H4877" t="inlineStr">
        <is>
          <t>Tested Positive - Family</t>
        </is>
      </c>
    </row>
    <row r="4878">
      <c r="A4878" t="inlineStr">
        <is>
          <t>ijc2em</t>
        </is>
      </c>
      <c r="B4878" t="inlineStr">
        <is>
          <t>Dubious greetings to this group</t>
        </is>
      </c>
      <c r="C4878" t="inlineStr">
        <is>
          <t>Hey there everyone.  
I'm presently quarantined in a hotel room after having tested positive last Sunday (08.23).  
My test was required prior to a scheduled colonoscopy. Given my heavy vigilance since late February, I was a bit freaked out when I got the call about my test results. I'm fortunate to be in a smaller town where the county is proactive with testing - and there's available resources for cases like mine, where I wasn't able to self-isolate at home.   
I'm considered asymptomatic. The local med experts think (due to incubation times) I was likely infected even several days before testing positive.   
Here in this hotel room, I'm monitoring my temps with a digital thermometer I was given. My highest temp has been 98.5. I have no cough, stomach probs, loss of smell/taste. The only thing of note is the morning after my positive test, I woke up in my hotel bed \*drenched\* with sweat. Ever since then, I've been sleeping a lot more, but no more sweats. If not for the positive test, the sweats and a sense of unusual fatigue for a few days, I'd never think anything was wrong.   
In total disclosure, I'm a 55 yr old, white male. I'm type ll diabetic with a 6.5 A1c, 6'1, hwp, fairly active, was a long term cig smoker, but switched to nicotine vaping in 2011. (I prefer a stronger PG ratio in my e-liquid.)  I also have Rh-negative blood (A-)   
I still have several days to go until my quarantine is up. I keep worrying some awful shit might still rear its head, but as of this morning, beyond some cabin fever, I still feel normal.   
Due to my age and other unfavorable factors, I keep wondering if I lucked out, or maybe it's too soon to hope for that?   
My thoughts are with \*everyone\* out there who is dealing with this, *on any level*.</t>
        </is>
      </c>
      <c r="D4878" t="n">
        <v>1</v>
      </c>
      <c r="E4878" t="n">
        <v>5</v>
      </c>
      <c r="F4878">
        <f>HYPERLINK("https://www.reddit.com/r/COVID19positive/comments/ijc2em/dubious_greetings_to_this_group/")</f>
        <v/>
      </c>
      <c r="G4878" t="inlineStr">
        <is>
          <t>2020-08-30 05:40:32</t>
        </is>
      </c>
      <c r="H4878" t="inlineStr">
        <is>
          <t>Tested Positive - Me</t>
        </is>
      </c>
    </row>
    <row r="4879">
      <c r="A4879" t="inlineStr">
        <is>
          <t>ijc9dv</t>
        </is>
      </c>
      <c r="B4879" t="inlineStr">
        <is>
          <t>Which foods were best for you?</t>
        </is>
      </c>
      <c r="C4879" t="inlineStr">
        <is>
          <t>I’m trying to order groceries, while caring for a very sick partner. His throat and fever are his main concerns / deterrents while eating; he still has taste and smell at the moment. He’s also has GI issues the last two days. 
What did you find to be most appetizing / soothing / least unpleasant?
We’ve made grilled cheese and tomato soup, jello, ordered pizza, made bagel sandwiches, toast, .. and lots of popsicles. 
What was your go-to food, that was palatable and comforting? I’m thinking maybe mac and cheese, pb&amp;amp;j .. I don’t know. My brain revolves around carbs. Ha. 
TIA.</t>
        </is>
      </c>
      <c r="D4879" t="n">
        <v>1</v>
      </c>
      <c r="E4879" t="n">
        <v>25</v>
      </c>
      <c r="F4879">
        <f>HYPERLINK("https://www.reddit.com/r/COVID19positive/comments/ijc9dv/which_foods_were_best_for_you/")</f>
        <v/>
      </c>
      <c r="G4879" t="inlineStr">
        <is>
          <t>2020-08-30 05:56:39</t>
        </is>
      </c>
      <c r="H4879" t="inlineStr">
        <is>
          <t>Tested Positive - Family</t>
        </is>
      </c>
    </row>
    <row r="4880">
      <c r="A4880" t="inlineStr">
        <is>
          <t>ijdxe1</t>
        </is>
      </c>
      <c r="B4880" t="inlineStr">
        <is>
          <t>Exercise and movement</t>
        </is>
      </c>
      <c r="C4880" t="inlineStr">
        <is>
          <t>I am over 4 months post covid and still have sob amongst other issues. I've been working from home and can't walk much without experiencing sob. Does anyone have recommendations for easy exercises that will keep me from turning to jelly? I am female if that matters. I have chest pain so can't use my left arm too much either.</t>
        </is>
      </c>
      <c r="D4880" t="n">
        <v>1</v>
      </c>
      <c r="E4880" t="n">
        <v>6</v>
      </c>
      <c r="F4880">
        <f>HYPERLINK("https://www.reddit.com/r/COVID19positive/comments/ijdxe1/exercise_and_movement/")</f>
        <v/>
      </c>
      <c r="G4880" t="inlineStr">
        <is>
          <t>2020-08-30 07:54:25</t>
        </is>
      </c>
      <c r="H4880" t="inlineStr">
        <is>
          <t>Tested Positive - Me</t>
        </is>
      </c>
    </row>
    <row r="4881">
      <c r="A4881" t="inlineStr">
        <is>
          <t>ijemku</t>
        </is>
      </c>
      <c r="B4881" t="inlineStr">
        <is>
          <t>Would I be a horrible person if I went to an eye doctor for 2 infected eyes?</t>
        </is>
      </c>
      <c r="C4881" t="inlineStr">
        <is>
          <t>TL;DR I likely have a very mild case of Covid19, presumed by both doctors I've talked to about it. But now I also have infections in both of my eyes due to MRSA that has colonized and infected much of my body. To say the least it is extremely important to me to keep my eyes in good health, and leaving these infections to fester is extremely risky, but going to the doctor with Covid is extremely risky for others as well. Do you guys have any advice for this situation? Would I be a terrible person if I went to an appointment and kept it as brief as possible?
&amp;amp;#x200B;
I think I have a mild case of Covid. Nothing super serious, I'm very fortunate. Its been getting slowly better over 3 weeks. Had 2 days of feeling 100% (as opposed to 85% which is my worst), but yesterday felt a bit down after overworking my body a bit. Throat felt pretty gross if I didnt down water continuously, and I was getting the usual weird unexplained bodily sensations and fatigue. 
At the same time, as of two nights ago, I strongly believe both of my eyes are infected. They feel like theres something stuck in them, hurt progressively more when i blink as time goes on. Not all the time but in waves. It would make sense if they were infected, I already had styes and am still working on breaking my terrible eye rubbing habit. I also have an infectious MRSA bacteria (not deadly MRSA but definitely resistant to most oral antibiotics) that would explain the styes and random eye infections.
I'm terrified because I know that these types of infections can lead to irreparable eye damage if left untreated. That's the last thing I need right now is to lose my vision permanently. I don't want to dump my whole life story here, but my vision is the most important thing to me that I have, and in the past two nights it has become disparagingly clear to me that in my current bodily state I would rather die than be blind. Not that blind life is irredeemable, I just rely on my vision for everything left in my life that I enjoy, and I already have so many restrictions on what I can eat/do because of other things like tinnitus and food restrictions and a potentially chronic painful STI that came out of nowhere, to the point where I would live the most joyless loveless existence I can imagine. 
But at the same time I don't want to put doctor's lives at risk. If I really have covid, and two doctors I've spoken to think I probably do (I'm getting tested soon), then going to their office would be a big risk. I made an appointment frantically with an optomitrist in my area, asked him if he did video calls, but he wants to see my eyes under a microscope. I didn't tell him about the Covid. I'm thinking I might cancel it when the office opens tomorrow, but I'm unsure. 
I don't know what to do. Leaving these infections to get worse and worse could ruin my life, but I also don't want to put other people's health at risk. 
What should I do??? I'm at a loss and need some advice, if not at least as a starting place. 
Thank you for reading !</t>
        </is>
      </c>
      <c r="D4881" t="n">
        <v>1</v>
      </c>
      <c r="E4881" t="n">
        <v>9</v>
      </c>
      <c r="F4881">
        <f>HYPERLINK("https://www.reddit.com/r/COVID19positive/comments/ijemku/would_i_be_a_horrible_person_if_i_went_to_an_eye/")</f>
        <v/>
      </c>
      <c r="G4881" t="inlineStr">
        <is>
          <t>2020-08-30 08:37:11</t>
        </is>
      </c>
      <c r="H4881" t="inlineStr">
        <is>
          <t>Presumed Positive - From Doctor</t>
        </is>
      </c>
    </row>
    <row r="4882">
      <c r="A4882" t="inlineStr">
        <is>
          <t>ijesju</t>
        </is>
      </c>
      <c r="B4882" t="inlineStr">
        <is>
          <t>Hair Loss, But From a Mild Case?</t>
        </is>
      </c>
      <c r="C4882" t="inlineStr">
        <is>
          <t>We've been talking about hair thinning post-Covid. I was sick back in March and just recently I've been shedding much more than usual. I felt like I was shedding a lot around May as well, then I thought it got better, and now I'm shedding more than ever before. It's stressing me out. I got bloodwork done and everything was in the normal range, although many things were on the lower end of normal. 
People have brought up hair loss as a reaction to Covid, or telogen effluvium. But to be honest, my case was more like a cold. I had mild chills and a little vertigo for 2-4 days. I don't know if I had a fever, but if I did that would have also been for like 3 days. My main symptom was a headache. Usually hair loss is triggered by trauma or shock to the body, but I'm not sure my illness would be severe enough to trigger that. But it's a unique virus, so is anyone else in my boat?</t>
        </is>
      </c>
      <c r="D4882" t="n">
        <v>1</v>
      </c>
      <c r="E4882" t="n">
        <v>9</v>
      </c>
      <c r="F4882">
        <f>HYPERLINK("https://www.reddit.com/r/COVID19positive/comments/ijesju/hair_loss_but_from_a_mild_case/")</f>
        <v/>
      </c>
      <c r="G4882" t="inlineStr">
        <is>
          <t>2020-08-30 08:47:02</t>
        </is>
      </c>
      <c r="H4882" t="inlineStr">
        <is>
          <t>Tested Positive - Me</t>
        </is>
      </c>
    </row>
    <row r="4883">
      <c r="A4883" t="inlineStr">
        <is>
          <t>ijf34f</t>
        </is>
      </c>
      <c r="B4883" t="inlineStr">
        <is>
          <t>Anyone else going through this too?</t>
        </is>
      </c>
      <c r="C4883" t="inlineStr">
        <is>
          <t>I recently went through a month-long battle with Covid19 and I have to say the experience sucked. Being hospitalized and on a ventilator is no joke.  I hope I never have to go through that again. 
The reason for my post is to see if anyone else has been going through what I call “Covid after effects”.  I’ve developed these symptoms after I got better and finding info online has been kind of hit or miss. So, they’re as follows:
1. Rough, dry cough that won’t go away and kind of begins with a tingling sensation in the throat. 
2. Nerve pain behind the eyes and in the head every time you cough. 
3. Lack of continuos concentration in tasks at hand.
4. Tiredness that won’t go away.
5. Intermittent insomnia.
6. Getting out of breath from regular tasks. 
7. Weird sensation that the air has a peculiar smell everywhere you go. 
Thanks for any advice, experience or guidance you can offer. Take care and stay safe!</t>
        </is>
      </c>
      <c r="D4883" t="n">
        <v>1</v>
      </c>
      <c r="E4883" t="n">
        <v>5</v>
      </c>
      <c r="F4883">
        <f>HYPERLINK("https://www.reddit.com/r/COVID19positive/comments/ijf34f/anyone_else_going_through_this_too/")</f>
        <v/>
      </c>
      <c r="G4883" t="inlineStr">
        <is>
          <t>2020-08-30 09:04:29</t>
        </is>
      </c>
      <c r="H4883" t="inlineStr">
        <is>
          <t>Tested Positive - Me</t>
        </is>
      </c>
    </row>
    <row r="4884">
      <c r="A4884" t="inlineStr">
        <is>
          <t>ijf4k4</t>
        </is>
      </c>
      <c r="B4884" t="inlineStr">
        <is>
          <t>3 year old tested positive after a day of complete sickness... Everyone else negative.</t>
        </is>
      </c>
      <c r="C4884" t="inlineStr">
        <is>
          <t>Tuesday night my 3 year old daughter woke up about 3 times in the middle of the night asking for water... A little out of the ordinary. She woke up the next day with a fever and body aches so we made a docs appt right away. A few hours later she was tested... She came home and took a 2 hour nap from 1-3pm. When she woke up we gave her a little tylenol and by 4-5 she was feeling and acting about 80% normal. The next day and moving forward it was as if nothing ever happened. On Friday morning we got her positive test result so the rest of my family went and got tested (rapid) that day... My wife, 6 year old son, and I all came back negative. No one has symptoms... 
It's so weird because she hasn't seen anyone in the last 2 weeks other than my dad and my mother in law. They both tested negative as well... The only thing i can think of is that we went to the playground early one morning for about 30 mins before anyone else got there and then wiped everyones hands with sanitizing spray immediately after getting in the car.
My questions are: 
Is she in the clear from getting any worse since it's been almost 5 days since her fever and symptoms? 
Are we still at risk from getting it from her even after testing negative days after her first symptoms started?</t>
        </is>
      </c>
      <c r="D4884" t="n">
        <v>1</v>
      </c>
      <c r="E4884" t="n">
        <v>6</v>
      </c>
      <c r="F4884">
        <f>HYPERLINK("https://www.reddit.com/r/COVID19positive/comments/ijf4k4/3_year_old_tested_positive_after_a_day_of/")</f>
        <v/>
      </c>
      <c r="G4884" t="inlineStr">
        <is>
          <t>2020-08-30 09:06:47</t>
        </is>
      </c>
      <c r="H4884" t="inlineStr">
        <is>
          <t>Tested Positive - Family</t>
        </is>
      </c>
    </row>
    <row r="4885">
      <c r="A4885" t="inlineStr">
        <is>
          <t>ijg92j</t>
        </is>
      </c>
      <c r="B4885" t="inlineStr">
        <is>
          <t>My period on covid</t>
        </is>
      </c>
      <c r="C4885" t="inlineStr">
        <is>
          <t>Hello! I’m a 31 female and tested positive for covid on Tuesday. It’s been a rough af week! I had high fever from Tuesday-Thursday. Friday morning I woke up and got my period. I’m not on birth control but am pretty regular and my period was right on time. I can get bad cramps from time to time but usually one ibuprofen does the trick also my period is typically pretty light and only lasts four days. WELL...... this covid period is wild! I have had the most debilitating cramps to the point where I almost throw up and my legs are numb and my blood flow has been extremely heavy. Heating pads and ibuprofen did nothing to ease the pain. Finally today (Sunday) it has died down but I definitely still have cramps. Has anyone experienced anything similar? There has been very little research done on how covid is affecting women’s menstrual cycles or reproductive health. Would love to hear other first hand experiences!</t>
        </is>
      </c>
      <c r="D4885" t="n">
        <v>1</v>
      </c>
      <c r="E4885" t="n">
        <v>127</v>
      </c>
      <c r="F4885">
        <f>HYPERLINK("https://www.reddit.com/r/COVID19positive/comments/ijg92j/my_period_on_covid/")</f>
        <v/>
      </c>
      <c r="G4885" t="inlineStr">
        <is>
          <t>2020-08-30 10:08:52</t>
        </is>
      </c>
      <c r="H4885" t="inlineStr">
        <is>
          <t>Tested Positive - Me</t>
        </is>
      </c>
    </row>
    <row r="4886">
      <c r="A4886" t="inlineStr">
        <is>
          <t>ijh1ns</t>
        </is>
      </c>
      <c r="B4886" t="inlineStr">
        <is>
          <t>How do you handle anxiety after testing positive?</t>
        </is>
      </c>
      <c r="C4886" t="inlineStr">
        <is>
          <t>I tested positive 5 days ago. I have not had any symptoms that are different than allergies. No fever, hardly a cough, and I was running all the way up until I was told I was positive. Overall, im just fatigued and a bit mentally foggy. With some slight dizziness. As of now, they are considering this my day 7 of symptoms. If I would have not gotten tested, i would have never even known I had it. Thats how mild this has been. 
How do you handle the anxiety of the unknown with this illness? I feel fine, just a little run down, but my anxiety is in overdrive. 
I keep thinking of how I could suddenly take a turn for the worse.
I keep thinking of the possibility of developing cardiac or lung complications that would prevent me from being as active as I always have been. I have been running for 14 years, and now im worried about that ending. 
Any insight or advice would be helpful. 
Thank you all</t>
        </is>
      </c>
      <c r="D4886" t="n">
        <v>1</v>
      </c>
      <c r="E4886" t="n">
        <v>12</v>
      </c>
      <c r="F4886">
        <f>HYPERLINK("https://www.reddit.com/r/COVID19positive/comments/ijh1ns/how_do_you_handle_anxiety_after_testing_positive/")</f>
        <v/>
      </c>
      <c r="G4886" t="inlineStr">
        <is>
          <t>2020-08-30 10:52:31</t>
        </is>
      </c>
      <c r="H4886" t="inlineStr">
        <is>
          <t>Tested Positive - Me</t>
        </is>
      </c>
    </row>
    <row r="4887">
      <c r="A4887" t="inlineStr">
        <is>
          <t>ijiwb7</t>
        </is>
      </c>
      <c r="B4887" t="inlineStr">
        <is>
          <t>Headaches after testing negative</t>
        </is>
      </c>
      <c r="C4887" t="inlineStr">
        <is>
          <t>I had mild symptoms after 3 weeks I tested negative. It’s been a month since I tested negative and I’m still experiencing intense headaches, at first they thought it was a sinus infection so I did a round of antibiotics and prednisone, however I’m still getting this headaches , even my Teeth hurt occasionally. My doctor thinks these are tension headaches but I don’t know . Anyone else feeling like this ? What are you doing about this ?</t>
        </is>
      </c>
      <c r="D4887" t="n">
        <v>1</v>
      </c>
      <c r="E4887" t="n">
        <v>6</v>
      </c>
      <c r="F4887">
        <f>HYPERLINK("https://www.reddit.com/r/COVID19positive/comments/ijiwb7/headaches_after_testing_negative/")</f>
        <v/>
      </c>
      <c r="G4887" t="inlineStr">
        <is>
          <t>2020-08-30 12:34:46</t>
        </is>
      </c>
      <c r="H4887" t="inlineStr">
        <is>
          <t>Tested Positive - Me</t>
        </is>
      </c>
    </row>
    <row r="4888">
      <c r="A4888" t="inlineStr">
        <is>
          <t>ijldzh</t>
        </is>
      </c>
      <c r="B4888" t="inlineStr">
        <is>
          <t>When can I go back to work and stuff?</t>
        </is>
      </c>
      <c r="C4888" t="inlineStr">
        <is>
          <t>So on Thursday I began feeling a sore throat. It never got bad though it was always just a little scratchy. My husband developed a sore throat too. Both of our sore throats are gone today and we never developed any other symptoms. We checked our Temps regularly and mine stayed around 99. One time it was 99.3 but when I took it 2 more times at that same moment it was 99.0 both times. I am supposed to go back to work tomorrow, and my baby is also supposed to get his vaccines tomorrow and have a very important check up. I already told my work I had a sore throat and am going to call my baby's doctor in the morning before his appointment to let them know. But I'm wondering when it's okay for me to go back to work and to take my baby for his appointment?
I took the covid test Saturday but they said it will be 7-10 days for results. I don't want to possibly infect anyone. But at the same time I really don't think I had it as it was just a mild sore throat. Please let me know what you think or what you have been recommended.</t>
        </is>
      </c>
      <c r="D4888" t="n">
        <v>1</v>
      </c>
      <c r="E4888" t="n">
        <v>9</v>
      </c>
      <c r="F4888">
        <f>HYPERLINK("https://www.reddit.com/r/COVID19positive/comments/ijldzh/when_can_i_go_back_to_work_and_stuff/")</f>
        <v/>
      </c>
      <c r="G4888" t="inlineStr">
        <is>
          <t>2020-08-30 14:51:23</t>
        </is>
      </c>
      <c r="H4888" t="inlineStr">
        <is>
          <t>Presumed Positive - From Test</t>
        </is>
      </c>
    </row>
    <row r="4889">
      <c r="A4889" t="inlineStr">
        <is>
          <t>ijloo1</t>
        </is>
      </c>
      <c r="B4889" t="inlineStr">
        <is>
          <t>Girlfriends test positive, myself negative: our thoughts if it helps anyone!</t>
        </is>
      </c>
      <c r="C4889" t="inlineStr">
        <is>
          <t>We both had a test on Thursday 27/08.
My girlfriend tested positive on Friday 28/08, however myself negative - very strange.
Up to now she’s had a bit of tiredness, muscle pain in her arm and starting to lose taste, other than that she’s had no other symptoms (cough) and has been like a normal cold/illness.
It seems to ‘come alive’ at night time, she can go from hot to cold within a short amount of time.
Having to clean away and make sure she doesn’t touch anything is a ball ache I tell you, as well as keeping our distance - very hard when you live together!
Seems it has an impact on people differently, any questions please ask away.
I hope this helps anyone who has recently tested positive, keep your heads up!</t>
        </is>
      </c>
      <c r="D4889" t="n">
        <v>1</v>
      </c>
      <c r="E4889" t="n">
        <v>4</v>
      </c>
      <c r="F4889">
        <f>HYPERLINK("https://www.reddit.com/r/COVID19positive/comments/ijloo1/girlfriends_test_positive_myself_negative_our/")</f>
        <v/>
      </c>
      <c r="G4889" t="inlineStr">
        <is>
          <t>2020-08-30 15:07:19</t>
        </is>
      </c>
      <c r="H4889" t="inlineStr">
        <is>
          <t>Tested Positive - Family</t>
        </is>
      </c>
    </row>
    <row r="4890">
      <c r="A4890" t="inlineStr">
        <is>
          <t>ijlz94</t>
        </is>
      </c>
      <c r="B4890" t="inlineStr">
        <is>
          <t>(31F) Covid experience</t>
        </is>
      </c>
      <c r="C4890" t="inlineStr">
        <is>
          <t>On mobile. formatting blah blah blah. 
On 8/26 my mom (57F) watched my son(5M) in my house while I went to work. That evening she developed a fever, went in for rapid testing 8/27 and tested positive. She feels flu like with a cough and fever off and on. 
My husband (32M) son and I got tested 8/28. That evening I developed a fever (101) and a slight cough with congestion. Fever broke with Tylenol.
8/29 I ran a 99.3-5 fever all day with mild cough, congestion and fatigue.
8/30 we were notified that my test results were inconclusive but my Husband and son were negative. My husband has had a mild fever and slight congestion so we thought maybe they tested too early (false negative). 
We all go get rapid testing today. I am positive and my son and husband negative.
I don’t have a fever today. Just a slight cough still, congestion and fatigue. 
My dad (54M) also tested positive with no symptoms. 
I am worried my anxiety is going to make me feel worse than I am right now. Any good tips?</t>
        </is>
      </c>
      <c r="D4890" t="n">
        <v>1</v>
      </c>
      <c r="E4890" t="n">
        <v>7</v>
      </c>
      <c r="F4890">
        <f>HYPERLINK("https://www.reddit.com/r/COVID19positive/comments/ijlz94/31f_covid_experience/")</f>
        <v/>
      </c>
      <c r="G4890" t="inlineStr">
        <is>
          <t>2020-08-30 15:22:49</t>
        </is>
      </c>
      <c r="H4890" t="inlineStr">
        <is>
          <t>Tested Positive - Me</t>
        </is>
      </c>
    </row>
    <row r="4891">
      <c r="A4891" t="inlineStr">
        <is>
          <t>ijm7yk</t>
        </is>
      </c>
      <c r="B4891" t="inlineStr">
        <is>
          <t>Long term affect on taste and smell</t>
        </is>
      </c>
      <c r="C4891" t="inlineStr">
        <is>
          <t>I was confirmed positive way back in may and have fully recovered as of June. It took about a month and a half to get my taste and smell back, and ever since I did it has changed. Foods I used to love I know hate.
Peanut butter is absolutely foul. It's like I can smell/taste the swamp on which the legumes were grown. It has such a rotten and unpleasant sense of decay to it in any and all forms (uncrustables, healthy varietys, brands with more sugars and stabilizers in them, etc).
Mint was one of my favorite flavors ever, I could eat an entire pack of Altoids in less than 5 minutes. Now ever single mint flavor tastes like baking soda to me. It's completely overwehming and I can't stomach it. It's more tolerable than the peanut butter (which has actually brought me close to vomiting) but still gross. Toothpaste, breath mints, mint chocolate ice cream, they all taste like baking soda.
I also used to love extremely bold dark roasts of coffee. The more bitter and robust the better. I would drink it plain, no sugar or milk or creamer. Now it makes me gag. I have to have sweet and lighter roasts of coffee, and even then the aftertaste is unpleasant. I can't describe it 100%, but it just has a chemical taste to it. 
I also used to love the smell of my own BO (I guess most do) and now it smells like rotting onion chips to me. I have to wear deodorant now (I never used to) for my own sake. It's nauseating. 
Has anyone else been affected by these long term changes?</t>
        </is>
      </c>
      <c r="D4891" t="n">
        <v>1</v>
      </c>
      <c r="E4891" t="n">
        <v>9</v>
      </c>
      <c r="F4891">
        <f>HYPERLINK("https://www.reddit.com/r/COVID19positive/comments/ijm7yk/long_term_affect_on_taste_and_smell/")</f>
        <v/>
      </c>
      <c r="G4891" t="inlineStr">
        <is>
          <t>2020-08-30 15:37:36</t>
        </is>
      </c>
      <c r="H4891" t="inlineStr">
        <is>
          <t>Tested Positive - Me</t>
        </is>
      </c>
    </row>
    <row r="4892">
      <c r="A4892" t="inlineStr">
        <is>
          <t>ijntx6</t>
        </is>
      </c>
      <c r="B4892" t="inlineStr">
        <is>
          <t>Feeling covid symptoms maybe</t>
        </is>
      </c>
      <c r="C4892" t="inlineStr">
        <is>
          <t>Hello! I’m in college and have stayed in my apartment since we moved in. I’m 18. My roomates on the other hand have been with people and brought people over who found out they tested positive today. Coincidentally, last night I had a mild sore throat. Today I woke up and just feel very fatigued and weak. Not like myself. I workout often and have been eating Vitamin C, D, and taking zinc. The only other things have been a mild headache. Tiny cough and my temperature was 99.8. Does anyone know how bad the symptoms could get in the next 2-3 days? I’m kind of worried. I plan on getting tested tmrw.</t>
        </is>
      </c>
      <c r="D4892" t="n">
        <v>1</v>
      </c>
      <c r="E4892" t="n">
        <v>11</v>
      </c>
      <c r="F4892">
        <f>HYPERLINK("https://www.reddit.com/r/COVID19positive/comments/ijntx6/feeling_covid_symptoms_maybe/")</f>
        <v/>
      </c>
      <c r="G4892" t="inlineStr">
        <is>
          <t>2020-08-30 17:19:25</t>
        </is>
      </c>
      <c r="H4892" t="inlineStr">
        <is>
          <t>Tested Positive - Friends</t>
        </is>
      </c>
    </row>
    <row r="4893">
      <c r="A4893" t="inlineStr">
        <is>
          <t>ijomq2</t>
        </is>
      </c>
      <c r="B4893" t="inlineStr">
        <is>
          <t>Grandmother Blood Test Results w/ a lot of other information</t>
        </is>
      </c>
      <c r="C4893" t="inlineStr">
        <is>
          <t>Hello, I'm trying to figure out what all of this means? My Grandmother had to get a COVID-19 test since she's been very fatigued (most likely due to Sarcoidosis she's had for 20 years). The Doctor won't call until Wednesday which seems like an eternity (thank you VA) so we're left to our own devices to figure out these results. I'm particularly concerned about the Nucleated RPC # - Also, does this say COVID-19 positive? We have another family member who tested positive but hasn't been in contact with my grandmother.
Nucleated RPC # 0.10 K/cmm - Range 0.00-0.02
Nucleated RPC % 0.8 High % - Range 0.0-0.1
What would covid test name show up as?</t>
        </is>
      </c>
      <c r="D4893" t="n">
        <v>1</v>
      </c>
      <c r="E4893" t="n">
        <v>5</v>
      </c>
      <c r="F4893">
        <f>HYPERLINK("https://www.reddit.com/r/COVID19positive/comments/ijomq2/grandmother_blood_test_results_w_a_lot_of_other/")</f>
        <v/>
      </c>
      <c r="G4893" t="inlineStr">
        <is>
          <t>2020-08-30 18:11:22</t>
        </is>
      </c>
      <c r="H4893" t="inlineStr">
        <is>
          <t>Presumed Positive - From Test</t>
        </is>
      </c>
    </row>
    <row r="4894">
      <c r="A4894" t="inlineStr">
        <is>
          <t>ijpw0r</t>
        </is>
      </c>
      <c r="B4894" t="inlineStr">
        <is>
          <t>So afraid of the long term effects...</t>
        </is>
      </c>
      <c r="C4894" t="inlineStr">
        <is>
          <t>Guys, I’m literally crying think about it. Doctors are saying people with COVID will never recover fully. I’m 13 and I tested positive and I have recovered well but doctors are saying people are having damage to organs without noticing. I’m so scared I’m going to have damage. They’re even saying people might be re-infected again and AGAIN! Is it even possible to walk out of this without anything bad happening?! I hate thinking about my future now.</t>
        </is>
      </c>
      <c r="D4894" t="n">
        <v>1</v>
      </c>
      <c r="E4894" t="n">
        <v>20</v>
      </c>
      <c r="F4894">
        <f>HYPERLINK("https://www.reddit.com/r/COVID19positive/comments/ijpw0r/so_afraid_of_the_long_term_effects/")</f>
        <v/>
      </c>
      <c r="G4894" t="inlineStr">
        <is>
          <t>2020-08-30 19:35:25</t>
        </is>
      </c>
      <c r="H4894" t="inlineStr">
        <is>
          <t>Tested Positive - Me</t>
        </is>
      </c>
    </row>
    <row r="4895">
      <c r="A4895" t="inlineStr">
        <is>
          <t>ijqdqy</t>
        </is>
      </c>
      <c r="B4895" t="inlineStr">
        <is>
          <t>HOW LONG UNTIL MY SENSE OF TASTE AND SMELL COME BACK?</t>
        </is>
      </c>
      <c r="C4895" t="inlineStr">
        <is>
          <t>I tested positive on Tuesday. My sense of taste and smell have been gone for around a week. It was a gradual dulling to the point where I could not smell or taste ANYTHING. I am a healthy 17 year old so I only was “sick” for less then a day. I just experienced a mildly sore throat and a runny nose. The loss of taste and smell have been my only symptoms for the past 5 days. I have heard on Joe Rogan that you can lose it for weeks or even months. I love food that would be depressing.</t>
        </is>
      </c>
      <c r="D4895" t="n">
        <v>1</v>
      </c>
      <c r="E4895" t="n">
        <v>12</v>
      </c>
      <c r="F4895">
        <f>HYPERLINK("https://www.reddit.com/r/COVID19positive/comments/ijqdqy/how_long_until_my_sense_of_taste_and_smell_come/")</f>
        <v/>
      </c>
      <c r="G4895" t="inlineStr">
        <is>
          <t>2020-08-30 20:09:16</t>
        </is>
      </c>
      <c r="H4895" t="inlineStr">
        <is>
          <t>Tested Positive</t>
        </is>
      </c>
    </row>
    <row r="4896">
      <c r="A4896" t="inlineStr">
        <is>
          <t>ijra71</t>
        </is>
      </c>
      <c r="B4896" t="inlineStr">
        <is>
          <t>Post quarantine, supposed to start a new job tomorrow, sudden symptom flare up.</t>
        </is>
      </c>
      <c r="C4896" t="inlineStr">
        <is>
          <t>Hi all. It's day 26. I had a negative test, but the doctor presumed me positive. Whole gamut of symptoms, though never a fever or cough. Racing heart, low oxygen, sore throat, headache, severe fatigue, body aches, brain fog, diarrhea, chest pain.
Last week, doc told me that since I had been feeling better, symptoms had decreased, and the only lingering thing consistency was the fatigue, that I could rejoin society, and to just watch out for Post Viral Fatigue.  Felt like it was one step forward, one step back, where somedays I slept all day and others I could go for a walk or paint or do housework, but last week I managed to cook dinner most nights, compared to the first three weeks of total misery, so I figured I was on the up and up.
But right now, I have a sudden sore throat, worse than it was originally, and just a general feeling of "ick" that just slammed down on me, as well as an aching neck and chest pain. No temp, but oxygen steady at 97. 
I'm supposed to start a new job tomorrow as a nanny-- I had been furloughed, but I had gotten a nanny/teaching offer around day 2 or 3. I just assumed it'd be over and done by then. And with no real symptoms except fatigue, my doc had cleared me. But now I'm laying here in total horror and guilt that I might go into a home while being Typhoid Mary. Or end up in enough worse state that I can't handle the job.  But I don't know if getting tested again will ease this-- what if it's another negative, especially because its so late in the game, but I still feel awful? When is it safe, for me, for the world? What if it was just a fluke the first time, and this is the real deal? What if it's strep? What if what if what if.</t>
        </is>
      </c>
      <c r="D4896" t="n">
        <v>1</v>
      </c>
      <c r="E4896" t="n">
        <v>5</v>
      </c>
      <c r="F4896">
        <f>HYPERLINK("https://www.reddit.com/r/COVID19positive/comments/ijra71/post_quarantine_supposed_to_start_a_new_job/")</f>
        <v/>
      </c>
      <c r="G4896" t="inlineStr">
        <is>
          <t>2020-08-30 21:10:27</t>
        </is>
      </c>
      <c r="H4896" t="inlineStr">
        <is>
          <t>Presumed Positive - From Doctor</t>
        </is>
      </c>
    </row>
    <row r="4897">
      <c r="A4897" t="inlineStr">
        <is>
          <t>ijro52</t>
        </is>
      </c>
      <c r="B4897" t="inlineStr">
        <is>
          <t>Had COVID-19 3 months ago and my smell still hasn’t returned.</t>
        </is>
      </c>
      <c r="C4897" t="inlineStr">
        <is>
          <t>I’m starting to think my sense of smell is gone forever.  I’ve never lost a particular body function before and it feels like a part of me is missing.  I know smell isn’t the worst sense to lose, but it still saddens me because I miss the different odors of certain things.  
Did anyone else lose their sense of smell?  If it came back, how long did it take?</t>
        </is>
      </c>
      <c r="D4897" t="n">
        <v>1</v>
      </c>
      <c r="E4897" t="n">
        <v>36</v>
      </c>
      <c r="F4897">
        <f>HYPERLINK("https://www.reddit.com/r/COVID19positive/comments/ijro52/had_covid19_3_months_ago_and_my_smell_still_hasnt/")</f>
        <v/>
      </c>
      <c r="G4897" t="inlineStr">
        <is>
          <t>2020-08-30 21:40:12</t>
        </is>
      </c>
      <c r="H4897" t="inlineStr">
        <is>
          <t>Tested Positive - Me</t>
        </is>
      </c>
    </row>
    <row r="4898">
      <c r="A4898" t="inlineStr">
        <is>
          <t>ijswm6</t>
        </is>
      </c>
      <c r="B4898" t="inlineStr">
        <is>
          <t>Does any one else have chest pain as a symptom? If you do how would you describe it? How do you help relieve it?</t>
        </is>
      </c>
      <c r="C4898" t="inlineStr">
        <is>
          <t>Personally for me it hurts when I breathe, both in and out, but more intensely at the end of each exhale. I’ve noticed that cold air causes the pain to be more intense. The pain itself I would describe as a cool sting, similar to how it feels after running in cold weather. I don’t seem to have it when I first wake up but it will generally come back within 20 mins. I’ve had this pain for the past 4 days and I’m looking for any advice on how to lessen it or relieve it as sometimes it gets rough.
Any information will be greatly appreciated!</t>
        </is>
      </c>
      <c r="D4898" t="n">
        <v>1</v>
      </c>
      <c r="E4898" t="n">
        <v>8</v>
      </c>
      <c r="F4898">
        <f>HYPERLINK("https://www.reddit.com/r/COVID19positive/comments/ijswm6/does_any_one_else_have_chest_pain_as_a_symptom_if/")</f>
        <v/>
      </c>
      <c r="G4898" t="inlineStr">
        <is>
          <t>2020-08-30 23:22:30</t>
        </is>
      </c>
      <c r="H4898" t="inlineStr">
        <is>
          <t>Tested Positive - Family</t>
        </is>
      </c>
    </row>
    <row r="4899">
      <c r="A4899" t="inlineStr">
        <is>
          <t>ijt7uj</t>
        </is>
      </c>
      <c r="B4899" t="inlineStr">
        <is>
          <t>Day by day account of how Covid is affecting me</t>
        </is>
      </c>
      <c r="C4899" t="inlineStr">
        <is>
          <t>I tested positive on Sunday.
Recap
Day 1 Friday night I had a sore throat
Day 2 Saturday night I had a headache, body aches, sore throat, and low grade fever.
Day 3 Sunday: I tested that morning. Felt fine low grade fever. Body aches
Day 4 Monday: received my + test result. no more fever. Low appetite. 
Day 5 Tuesday: a little phlegm in my chest, headache, sinus tingling, beginning to lose sense of smell body ache, little focus. Grandma and dad were tested this day
Day 6 Wednesday: my sister's results came back positive. Mucus in my cough, headache, sinus pressure, sinus pain when I switch from sitting to laying to standing, complete loss of smell, taste is starting to go as well.
Day 7 Thursday: my dad and grandma received their results today. Both tested negative and still have no symptoms. Today I have increased mucus in my throat. Increased sinus pressure. Plugged ears.  Headache. Really bad anxiety when I nap/sleep. I wake up in a sweat with my heart racing. O2 steady at 97-99. Temp has been 98.2 to 99.5 (No AC during the day and we live in Florida)
Day 8 Friday: I feel mostly the same as yesterday. Mucus in my throat, sinus pressure, throbbing headache, plugged ears, anxiety, burning sensation in my nose. No sense of smell. Normal temp and O2. Ready to be off of quarantine
Day 9 Saturday: I developed more of a cough. My nose has been burning best way to describe is a brain freeze in my nasal cavity/sinuses. Anxiety, heartburn, Headache, still no smell, little taste. Normal temp 98.2-98.8 normal O2 96-99.
Day 10 Sunday: more coughing. Sinus pressure, bad headache, pain in ears, burning nose. Normal temp/O2. Pretty much the same.</t>
        </is>
      </c>
      <c r="D4899" t="n">
        <v>1</v>
      </c>
      <c r="E4899" t="n">
        <v>21</v>
      </c>
      <c r="F4899">
        <f>HYPERLINK("https://www.reddit.com/r/COVID19positive/comments/ijt7uj/day_by_day_account_of_how_covid_is_affecting_me/")</f>
        <v/>
      </c>
      <c r="G4899" t="inlineStr">
        <is>
          <t>2020-08-30 23:50:50</t>
        </is>
      </c>
      <c r="H4899" t="inlineStr">
        <is>
          <t>Tested Positive - Me</t>
        </is>
      </c>
    </row>
    <row r="4900">
      <c r="A4900" t="inlineStr">
        <is>
          <t>ijv5b2</t>
        </is>
      </c>
      <c r="B4900" t="inlineStr">
        <is>
          <t>To those with positive antibodies, how much IGG and IGM did your report show?</t>
        </is>
      </c>
      <c r="C4900" t="inlineStr">
        <is>
          <t>I still exhibit mild SOB and GI issues (betting it's some form of inflammation), but no other symptoms from before like a 
dry cough. I had a rapid test done 14 days after my positive result and it showed a 1.802 for IGM and 6.895 for IGG. I reckon my antibodies can help a lot of people so I am going to donate, but I was wondering if my figures are good compared to others who also had a positive rapid test result.</t>
        </is>
      </c>
      <c r="D4900" t="n">
        <v>1</v>
      </c>
      <c r="E4900" t="n">
        <v>2</v>
      </c>
      <c r="F4900">
        <f>HYPERLINK("https://www.reddit.com/r/COVID19positive/comments/ijv5b2/to_those_with_positive_antibodies_how_much_igg/")</f>
        <v/>
      </c>
      <c r="G4900" t="inlineStr">
        <is>
          <t>2020-08-31 02:53:18</t>
        </is>
      </c>
      <c r="H4900" t="inlineStr">
        <is>
          <t>Tested Positive - Me</t>
        </is>
      </c>
    </row>
    <row r="4901">
      <c r="A4901" t="inlineStr">
        <is>
          <t>ijvevf</t>
        </is>
      </c>
      <c r="B4901" t="inlineStr">
        <is>
          <t>Coming home from college</t>
        </is>
      </c>
      <c r="C4901" t="inlineStr">
        <is>
          <t>I am a freshman in college and my roommate tested positive. I’m still waiting for my test results, but am experiencing all the symptoms. My dorm has a policy where we must go home if we text positive. However, I am TERRIFIED I am going to infect my dad, especially during the 3.5 car ride from my campus to my home. How do I prevent spreading it to him? I am kind of desperate.
Thank you!</t>
        </is>
      </c>
      <c r="D4901" t="n">
        <v>1</v>
      </c>
      <c r="E4901" t="n">
        <v>45</v>
      </c>
      <c r="F4901">
        <f>HYPERLINK("https://www.reddit.com/r/COVID19positive/comments/ijvevf/coming_home_from_college/")</f>
        <v/>
      </c>
      <c r="G4901" t="inlineStr">
        <is>
          <t>2020-08-31 03:17:50</t>
        </is>
      </c>
      <c r="H4901" t="inlineStr">
        <is>
          <t>Tested Positive</t>
        </is>
      </c>
    </row>
    <row r="4902">
      <c r="A4902" t="inlineStr">
        <is>
          <t>ijvs7n</t>
        </is>
      </c>
      <c r="B4902" t="inlineStr">
        <is>
          <t>High Fevers</t>
        </is>
      </c>
      <c r="C4902" t="inlineStr">
        <is>
          <t>I’ve tested twice for Covid and got two negatives. My only symptoms so far are fever, chills/aches and diarrhea. Anybody else get abnormal fevers 103-104 range? Of course I bring it down with Tylenol and ibuprofen. But these fevers haven’t let up. My anxiety only makes it worse. It’s been about a week and I feel like this fever is unending. I’ve also been to the ER where the doctor strongly felt I had Covid despite negatives.</t>
        </is>
      </c>
      <c r="D4902" t="n">
        <v>1</v>
      </c>
      <c r="E4902" t="n">
        <v>6</v>
      </c>
      <c r="F4902">
        <f>HYPERLINK("https://www.reddit.com/r/COVID19positive/comments/ijvs7n/high_fevers/")</f>
        <v/>
      </c>
      <c r="G4902" t="inlineStr">
        <is>
          <t>2020-08-31 03:50:37</t>
        </is>
      </c>
      <c r="H4902" t="inlineStr">
        <is>
          <t>Presumed Positive - From Doctor</t>
        </is>
      </c>
    </row>
    <row r="4903">
      <c r="A4903" t="inlineStr">
        <is>
          <t>ijwci2</t>
        </is>
      </c>
      <c r="B4903" t="inlineStr">
        <is>
          <t>Anyone who never lost their appetites, did you still lose weight?</t>
        </is>
      </c>
      <c r="C4903" t="inlineStr">
        <is>
          <t>I was covid positive in June. Been negative now since early July. I never lost my sense of smell or taste and still able to eat 3 meals a day yet I just can't ignore that I've gotten thinner. Anyone else also experiencing this?
Btw I'm also a long hauler/termer been feeling weird shit like on and off shortness of breath, chest pains, fatigue, etc.</t>
        </is>
      </c>
      <c r="D4903" t="n">
        <v>1</v>
      </c>
      <c r="E4903" t="n">
        <v>7</v>
      </c>
      <c r="F4903">
        <f>HYPERLINK("https://www.reddit.com/r/COVID19positive/comments/ijwci2/anyone_who_never_lost_their_appetites_did_you/")</f>
        <v/>
      </c>
      <c r="G4903" t="inlineStr">
        <is>
          <t>2020-08-31 04:37:08</t>
        </is>
      </c>
      <c r="H4903" t="inlineStr">
        <is>
          <t>Tested Positive - Me</t>
        </is>
      </c>
    </row>
    <row r="4904">
      <c r="A4904" t="inlineStr">
        <is>
          <t>ijy3u4</t>
        </is>
      </c>
      <c r="B4904" t="inlineStr">
        <is>
          <t>Can you feel drowsy and have a itchy throat post-covid? Does it mean you still have covid, or is it the recovery phase?</t>
        </is>
      </c>
      <c r="C4904" t="inlineStr">
        <is>
          <t>It's been 24 days since I tested positive. Only had fever for a few hours. Other than that, loss of smell and more frequent passing of stools were the only symptoms. And it return 2-3 weeks back. Was feeling almost normal until today. 
The drowsiness is as if I haven't slept at all. My throat also feels itchy. Should I be worried?</t>
        </is>
      </c>
      <c r="D4904" t="n">
        <v>1</v>
      </c>
      <c r="E4904" t="n">
        <v>2</v>
      </c>
      <c r="F4904">
        <f>HYPERLINK("https://www.reddit.com/r/COVID19positive/comments/ijy3u4/can_you_feel_drowsy_and_have_a_itchy_throat/")</f>
        <v/>
      </c>
      <c r="G4904" t="inlineStr">
        <is>
          <t>2020-08-31 06:36:44</t>
        </is>
      </c>
      <c r="H4904" t="inlineStr">
        <is>
          <t>Tested Positive - Me</t>
        </is>
      </c>
    </row>
    <row r="4905">
      <c r="A4905" t="inlineStr">
        <is>
          <t>ijyb59</t>
        </is>
      </c>
      <c r="B4905" t="inlineStr">
        <is>
          <t>Visible White Spots in Throat?</t>
        </is>
      </c>
      <c r="C4905" t="inlineStr">
        <is>
          <t>Does anyone else who has Covid have this? I have like 3 super painful white spots in my throat. They are insanely painful and make just drinking water difficult. I tested positive around 5 days ago and symptoms began about a week ago. I am now wondering if maybe I have strep too? I can't find anyone else with this symptom.</t>
        </is>
      </c>
      <c r="D4905" t="n">
        <v>1</v>
      </c>
      <c r="E4905" t="n">
        <v>80</v>
      </c>
      <c r="F4905">
        <f>HYPERLINK("https://www.reddit.com/r/COVID19positive/comments/ijyb59/visible_white_spots_in_throat/")</f>
        <v/>
      </c>
      <c r="G4905" t="inlineStr">
        <is>
          <t>2020-08-31 06:49:03</t>
        </is>
      </c>
      <c r="H4905" t="inlineStr">
        <is>
          <t>Tested Positive - Me</t>
        </is>
      </c>
    </row>
    <row r="4906">
      <c r="A4906" t="inlineStr">
        <is>
          <t>ijzhjf</t>
        </is>
      </c>
      <c r="B4906" t="inlineStr">
        <is>
          <t>Coworkers are angry for forcing them to work overtime while I’m getting tested.</t>
        </is>
      </c>
      <c r="C4906" t="inlineStr">
        <is>
          <t>The coffee shop I work at is understaffed, and even though my manager has acknowledged that it’s upper management’s fault for not hiring more people, my coworkers are still livid that they have to work my shifts. 
I received a text this morning from one of them saying “you don’t really have covid do you 😒” and another saying “please explain to me why I’m working YOUR shift right now”
I don’t really have an answer for them other than just explaining my symptoms. I get tested this afternoon, so I won’t officially know if I have Covid until then, but based on the reports of other people’s symptoms on this subreddit, I’m almost confident that I have it.
Was I wrong to tell my boss about it before I got tested? I think my coworkers are upset that I didn’t keep quiet about feeling sick, and they wanted me to wait until the test results actually got back.</t>
        </is>
      </c>
      <c r="D4906" t="n">
        <v>1</v>
      </c>
      <c r="E4906" t="n">
        <v>15</v>
      </c>
      <c r="F4906">
        <f>HYPERLINK("https://www.reddit.com/r/COVID19positive/comments/ijzhjf/coworkers_are_angry_for_forcing_them_to_work/")</f>
        <v/>
      </c>
      <c r="G4906" t="inlineStr">
        <is>
          <t>2020-08-31 07:56:53</t>
        </is>
      </c>
      <c r="H4906" t="inlineStr">
        <is>
          <t>Presumed Positive - From Doctor</t>
        </is>
      </c>
    </row>
    <row r="4907">
      <c r="A4907" t="inlineStr">
        <is>
          <t>ijzkro</t>
        </is>
      </c>
      <c r="B4907" t="inlineStr">
        <is>
          <t>After a month brainfog and insomnia are GONE!</t>
        </is>
      </c>
      <c r="C4907" t="inlineStr">
        <is>
          <t>I had bad headaches, brainfog and insomnia for a month. It was to the point where I seriously considered suicide. Then I took Xanax ptescribed by psychistrist to help with sleep. It did nothing. Then I tried Clonazepam, smallest dose, and BOOM flawless sleep, brainfog gone like it never existed, mental clarity is there. I will soon be off Clonazepam and will be as good as before.
There is hope people, fuck CFS subreddit, fuck all of that shit. Take your vitamin D, b12, quercetin and probiotics. Take sleep aids if you need to.</t>
        </is>
      </c>
      <c r="D4907" t="n">
        <v>1</v>
      </c>
      <c r="E4907" t="n">
        <v>72</v>
      </c>
      <c r="F4907">
        <f>HYPERLINK("https://www.reddit.com/r/COVID19positive/comments/ijzkro/after_a_month_brainfog_and_insomnia_are_gone/")</f>
        <v/>
      </c>
      <c r="G4907" t="inlineStr">
        <is>
          <t>2020-08-31 08:01:44</t>
        </is>
      </c>
      <c r="H4907" t="inlineStr">
        <is>
          <t>Tested Positive</t>
        </is>
      </c>
    </row>
    <row r="4908">
      <c r="A4908" t="inlineStr">
        <is>
          <t>ijzs7f</t>
        </is>
      </c>
      <c r="B4908" t="inlineStr">
        <is>
          <t>33 days of symptoms &amp;amp; pneumonia with no positive result- pressured to return to work. Feeling lost and hopeless</t>
        </is>
      </c>
      <c r="C4908" t="inlineStr">
        <is>
          <t>I began presenting with symptoms on Wednesday July 29th, I had a fever and felt a bit run down. I was at work and got sent home. I work in a memory care facility where we haven't had any positive cases, so I obviously got told to beat it. Symptoms progressed and I had a headache, chest pain, shortness of breath, dizziness and tinnitus. I did a test through the CVS drive through on the 30th, it took over a week to come back but was negative. 
Our return to work protocol doesn't require a negative test, just 10 days symptom free and 48 hours no fever. The following Monday, the 10th, I was still feeling a bit run down but with no fever and a negative test I went back to work. On Friday the 14th, I felt unwell on my way to work- feverish, short of breath, chest pain and low and behold I get to work and check my temp and it's 102.4.
My boss hadn't gotten in yet, so I called them and said my fever has spiked and I was feeling unwell. They were frustrated, but told me to go home. Things went downhill from there, symptoms came back with a vengeance and my fever continued. I had muscle aches, congestion, chest pain, shortness of breath, a cough, and a headache. I couldn't lay down flat without feeling like I was suffocating. I got tested again through CVS on Sunday the 16th, and that yielded a negative result as well. I was so upset and frustrated, I never thought I'd actually want to hear I was positive- but I was desperate for some validation. By Wednesday the there was no improvement, so I went to urgent care after being pressed by my boss. Who I should add is not some kind of raging asshole, our job is very stressful and especially right now- I am desperately needed so I try to take their frustration in stride knowing that it's not personal. 
At urgent care I got an x-ray which revealed pneumonia in my right lower lobe, finally some tangible proof of being sick! I was prescribed Doxycycline and Prednisone. I took my meds and continued to rest with nearly no improvement. I had a follow up with the urgent care doctor who urged me to get a CT scan, she was certain it was Covid despite the negative tests. But my insurance deductible is so high and I had already spent money I didn't have on all this, so I didn't do it. Thursday the 27th was my first full day without the Prednisone and I crashed hard by the evening, really struggling to breathe with a racing pulse. I went to the emergency room that night and got another x-ray, blood work and of course a Covid test. The nurse told me that the drive through tests are basically useless because we have to do them ourselves, so she and the doctor both said it was likely Covid. The ER doctor said he didn't see any pneumonia but there was congestion in my lungs. When I looked at my x-ray I thought it looked terrible but I guess I'm not an expert. My WBC count was very high but he assured me it's normal with an infection. With my symptoms mostly managed I was sent home with a prescription for Methylprednisolone. I haven't heard back about my Covid test so I'm assuming it was negative. I don't know what to think.
Now the methylprednisolone has helped quite a bit with symptoms, but the side effects have been intense. Insomnia, hallucinations, tremors, feeling like my head is buzzing for the first few days. Symptoms improved but fever remains until Saturday and Sunday where it doesn't get past 99. This means I can return to work today, which I am sitting here getting ready for.
I'm not quite feeling up to going back yet, I still am having lingering symptoms and the side effects of the steroid have lessened but are still present. I worry my symptoms will return with a vengeance again when I'm through with the methylprednisolone. I'm feeling very pressured to return, and I just don't know what the right thing to do is. On one hand, I've gone negative into my PTO to cover my absence but I worry they won't let me continue to do this for much longer. I'm worried about damaging my job by not being there and keeping up the things I need to be doing. Being home for so long has really messed with me, and I'm struggling not to feel lazy, anxious and worthless. But on the other hand, this is my health, and it's also the health of our residents. I know I'm likely not contagious anymore, but something about it just feels wrong, you know? I'm going to express my concerns with my boss today and maybe talk about a leave of absence or FMLA. 
33 days so far, with no positive result. A pneumonia diagnosis, an urgent care and ER trip, a round of antibiotics and 2 rounds of steroids all with horrible insurance and stress abound. I'm starting to think I might just be one of those people who can't or won't test positive. I feel gaslit by everything and everyone around me, like I'm being dramatic or lazy. I'm so frustrated and I don't know what to do.</t>
        </is>
      </c>
      <c r="D4908" t="n">
        <v>1</v>
      </c>
      <c r="E4908" t="n">
        <v>16</v>
      </c>
      <c r="F4908">
        <f>HYPERLINK("https://www.reddit.com/r/COVID19positive/comments/ijzs7f/33_days_of_symptoms_pneumonia_with_no_positive/")</f>
        <v/>
      </c>
      <c r="G4908" t="inlineStr">
        <is>
          <t>2020-08-31 08:13:04</t>
        </is>
      </c>
      <c r="H4908" t="inlineStr">
        <is>
          <t>Presumed Positive - From Doctor</t>
        </is>
      </c>
    </row>
    <row r="4909">
      <c r="A4909" t="inlineStr">
        <is>
          <t>ik05gk</t>
        </is>
      </c>
      <c r="B4909" t="inlineStr">
        <is>
          <t>Sense of smell?!</t>
        </is>
      </c>
      <c r="C4909" t="inlineStr">
        <is>
          <t>Has anyone else experienced a loss of smell? I lived with someone who came back positive. I myself have never been tested but have had almost no sense of smell for 2 months now. What I can smell is very faint and can also smell different to what it normally would smell like. Swear for example now smells like strong onions. And I can't smell certain things at all. Its becoming weirdly stressful now as I miss the smells of certain things!</t>
        </is>
      </c>
      <c r="D4909" t="n">
        <v>1</v>
      </c>
      <c r="E4909" t="n">
        <v>9</v>
      </c>
      <c r="F4909">
        <f>HYPERLINK("https://www.reddit.com/r/COVID19positive/comments/ik05gk/sense_of_smell/")</f>
        <v/>
      </c>
      <c r="G4909" t="inlineStr">
        <is>
          <t>2020-08-31 08:33:06</t>
        </is>
      </c>
      <c r="H4909" t="inlineStr">
        <is>
          <t>Tested Positive - Family</t>
        </is>
      </c>
    </row>
    <row r="4910">
      <c r="A4910" t="inlineStr">
        <is>
          <t>ik1gju</t>
        </is>
      </c>
      <c r="B4910" t="inlineStr">
        <is>
          <t>Father on Day 12 Admitted to the ICU</t>
        </is>
      </c>
      <c r="C4910" t="inlineStr">
        <is>
          <t>My father is 60 with a previous history of asthma and began showing symptoms at home on 8/19 where he was exposed to a family member who was found positive days before at work. 
He had an intense fever and cough up until 8/22 where he finally agreed to get tested and eventually admitted to the ICU in a different facility for pneumonia and a chest infection. 
During his stay, they've switched him from a nasal cannula to CPAP on the 28th and have since been receiving max oxygen due to his saturation levels varying from 80-92. 
His cough and fever have gone down since but every day seems like his condition hasn't improved or worsened. Doctors keep telling me he is critical but stable.
Has anyone else had family members who've made a really slow recovery? I've been in such a sluggish state with no energy to really do anything besides stay in bed and sit down for virtual classes so any stories would really be appreciated.</t>
        </is>
      </c>
      <c r="D4910" t="n">
        <v>1</v>
      </c>
      <c r="E4910" t="n">
        <v>5</v>
      </c>
      <c r="F4910">
        <f>HYPERLINK("https://www.reddit.com/r/COVID19positive/comments/ik1gju/father_on_day_12_admitted_to_the_icu/")</f>
        <v/>
      </c>
      <c r="G4910" t="inlineStr">
        <is>
          <t>2020-08-31 09:41:22</t>
        </is>
      </c>
      <c r="H4910" t="inlineStr">
        <is>
          <t>Tested Positive - Family</t>
        </is>
      </c>
    </row>
    <row r="4911">
      <c r="A4911" t="inlineStr">
        <is>
          <t>ik1si0</t>
        </is>
      </c>
      <c r="B4911" t="inlineStr">
        <is>
          <t>My experience so far...</t>
        </is>
      </c>
      <c r="C4911" t="inlineStr">
        <is>
          <t>40yF from Ohio. I'm very fortunate in that I worked from home even before the pandemic. I've only been out and about for doctor appointments and very rare errands.  I am a cancer survivor. 
My live in boyfriend works at a grocery store. I started feeling weak/dizzy 8/17/20.  This feeling only got worse and the boyfriend randomly mentioned he thought the cooler at work was messing with his nose because it was burning and he couldn't smell 8/21/20. 
We tried waiting to get tested at a public test site, waited in a hot car for two hours with no movement in the line before just giving up and leaving. Found out that a walk in urgent care offered testing and got tested 8/22/20 with positive results back several days later. 
I completely lost my smell/ taste a few days after getting the results back. The fatigue has been crushing and I've had horrible headaches. Never once had a fever over 99F. My breathing has been OK, I have a pulse ox to check O2 sats. 
The weird issue has been pulse and blood pressure. My blood pressure spikes and dips seemingly at random. It's a lot like when I was on chemo, I don't dare move too fast or my vision goes a little grey around the edges. My pulse has been strangely low. Resting would normally be in the 70s for me... and it's been in the 50s. It's a bit concerning. 
I have moments where I feel sorta OK, like I'm getting better, and then today where....nope, still feel like I've been hit by a truck. Can't smell anything, and while I can taste sugar and salt any subtleties in taste sensation are completely gone.</t>
        </is>
      </c>
      <c r="D4911" t="n">
        <v>1</v>
      </c>
      <c r="E4911" t="n">
        <v>8</v>
      </c>
      <c r="F4911">
        <f>HYPERLINK("https://www.reddit.com/r/COVID19positive/comments/ik1si0/my_experience_so_far/")</f>
        <v/>
      </c>
      <c r="G4911" t="inlineStr">
        <is>
          <t>2020-08-31 09:57:37</t>
        </is>
      </c>
      <c r="H4911" t="inlineStr">
        <is>
          <t>Tested Positive - Me</t>
        </is>
      </c>
    </row>
    <row r="4912">
      <c r="A4912" t="inlineStr">
        <is>
          <t>ik2cww</t>
        </is>
      </c>
      <c r="B4912" t="inlineStr">
        <is>
          <t>Anyone else’s sense of smell returned nauseatingly strong?</t>
        </is>
      </c>
      <c r="C4912" t="inlineStr">
        <is>
          <t>I have been showing symptoms for a week, but just got rapid tested earlier today. I lost my sense of smell and taste earlier this week but they have returned. However, my sense of smell is way too powerful, I keep smelling sweet smells and it is making me nauseated. Anyone else experience this?</t>
        </is>
      </c>
      <c r="D4912" t="n">
        <v>1</v>
      </c>
      <c r="E4912" t="n">
        <v>3</v>
      </c>
      <c r="F4912">
        <f>HYPERLINK("https://www.reddit.com/r/COVID19positive/comments/ik2cww/anyone_elses_sense_of_smell_returned_nauseatingly/")</f>
        <v/>
      </c>
      <c r="G4912" t="inlineStr">
        <is>
          <t>2020-08-31 10:26:37</t>
        </is>
      </c>
      <c r="H4912" t="inlineStr">
        <is>
          <t>Tested Positive - Me</t>
        </is>
      </c>
    </row>
    <row r="4913">
      <c r="A4913" t="inlineStr">
        <is>
          <t>ik2jsh</t>
        </is>
      </c>
      <c r="B4913" t="inlineStr">
        <is>
          <t>Type 2 Diabetic: Tested Positive</t>
        </is>
      </c>
      <c r="C4913" t="inlineStr">
        <is>
          <t>Never thought I’d have to post here because I have taken every precaution, but I live with my mother and partner and they have had to continue to work through this, so it’s possible I picked it up that way. I am 29 years old, very obese, and have a lot of health problems. I’m a type 2 diabetic (decently well controlled with just Metformin, no insulin), I have hypertension, hypothyroidism, as well as mild asthma, sleep apnea, and mental health issues. I tested positive on the 29th on the rapid test, and another was sent off to confirm. I just wanted to recap my symptoms and how covid as been in regards to my pre-existing heath issues.  
08/28/2020:
Started with diarrhea and sinus drainage. I also had a little bit of ear pain. No fever at this point, and I assumed I had a sinus infection.
08/29/2020: I went to the ER at this point because I was beginning to feel worse. I still thought I had a bad sinus infection, but wanted to get checked out because I just recovered from a bad case of pneumonia earlier this month (both COVID test came back negative at that point). The rapid test on this day came back positive. I was starting to have shortness of breath and a bit of wheezing, but it was nothing compared to the pneumonia I’ve had. They kept me overnight for observation at this point and started me on steroids to keep my chest open and antibiotics for any secondary infections. My lungs looked clear on xray. My blood sugar was bad this day. It got close to 300 and didn’t drop below 200 at all this day. I also had shooting head pains.  This day was awful in regards to my anxiety.
08/30/2020: I was sent home this day with a lot of meds and an order to come back Wednesday for a repeat chest X-ray and more bloodwork. I felt okay this day, considering. I had some chest tightness and more uncontrolled blood sugars, which I expected due to the steroids. I ate super light this day to keep it down, but it still stayed in the 200s. More chest tightness and a bit of coughing/throat clearing from the mucus. I had a lot of anxiety and fatigue, but didn’t feel as horrible as I expected to feel. My O2 stayed around 95-99% all day. Slept pretty soundly and my CPAP recorded an average of less than 1 apnea episodes, which is good. My blood pressure has been well controlled so far through it all.
08/31/2020:
Woke up with horrible nausea, but it passed pretty quickly. I’m having a bit of coughing and chest tightness, mainly when I’m up and moving.  My blood sugar was around 170 when I woke up, but has risen due to the steroids. It hasn’t gone over 300 today, so I’m keeping a very close eye on it and will go in for insulin if it keeps getting worse. I’m tired today and having a lot of anxiety. O2 has ranged from around 95-99%. Blood pressure has been normal. My brain has also been very foggy, but it could be due to the increase in my anxiety meds to keep me calm.
I’m praying I have a mild case and this will pass without further complications. My partner has been having mild symptoms, and their rapid test came back negative. Their main complaints right now are headache, chills, and body aches. My mom is in her 60s, and a smoker. She got tested today. Her only possible symptom is bad diarrhea and fatigue.</t>
        </is>
      </c>
      <c r="D4913" t="n">
        <v>1</v>
      </c>
      <c r="E4913" t="n">
        <v>9</v>
      </c>
      <c r="F4913">
        <f>HYPERLINK("https://www.reddit.com/r/COVID19positive/comments/ik2jsh/type_2_diabetic_tested_positive/")</f>
        <v/>
      </c>
      <c r="G4913" t="inlineStr">
        <is>
          <t>2020-08-31 10:36:28</t>
        </is>
      </c>
      <c r="H4913" t="inlineStr">
        <is>
          <t>Tested Positive - Me</t>
        </is>
      </c>
    </row>
    <row r="4914">
      <c r="A4914" t="inlineStr">
        <is>
          <t>ik2muj</t>
        </is>
      </c>
      <c r="B4914" t="inlineStr">
        <is>
          <t>Concussion with COVID-19</t>
        </is>
      </c>
      <c r="C4914" t="inlineStr">
        <is>
          <t>This whole experience for me has been a rollercoaster. I’ll start from the beginning. I am a RA for the Girls Dorm at my college, and as a RA I have to take everyone temperatures when I do room checks. Saturday the 22nd, I was doing room checks like I normally do and a student had a fever of 103..so I waited 10 minutes and came back(we have to do this because sometimes our thermometer guns mess up) and it was still 102. The next morning she got tested and she came back positive. Protocol says that the other RA and I have to get tested. The dean of students insisted we got tested Sunday..even though I kept trying to explain it would come up as negative even if we had it and that we should quarantine and wait to see. We did get tested Sunday and it came back negative for both of us, so we had no excuse to go to classes and practice.(we both play volleyball) 
Wednesday was probably the worst day of my life, and I’m trying not to be dramatic about it. During volleyball practice I was hit in the back of the head with a ball, which now I have a pretty bad concussion. Later that night I kept running a fever of 100-102 and I kept telling people I needed to get tested. I don’t know why no one would listen to me?? My parents came the next day, Thursday the 27th, to take me home for the weekend. My parents listened to me and got tested the next morning(we got home really late, my parents live 5 hours away). Friday, the 28th, I tested positive for COVID, which caused a huge problem in the dorm and everyone freaked out. The other RA also tested positive later that day. 
Now I have a concussion and Covid, if I’m being honest it’s really hard to just live right now. I can’t play volleyball(which sounds like a little thing but I’m a captain), I can’t take care of the dorm like normal, I can’t do my school work due to my concussion. I feel like a waste of space..like I can’t read for too long or else my head will throb. And reading is the one thing I love to do. It’s hard to write, doing this post has taken me a couple days to do. How am I suppose to keep up with my school work or get my life back together? I really feel like my life is falling apart and I can’t do anything about it.
I guess my point out of this is to really just share what a shitty experience COVID has been for me. I feel like no one listened to me or the other RA and now I’m having to pay the price for the people that didn’t hear us out.. I honestly don’t know how to feel about this whole situation. All I know is the mixture of a concussion with Covid is terrible. This is the worst I’ve felt in my whole life and I would never wish this upon anyone else.</t>
        </is>
      </c>
      <c r="D4914" t="n">
        <v>1</v>
      </c>
      <c r="E4914" t="n">
        <v>8</v>
      </c>
      <c r="F4914">
        <f>HYPERLINK("https://www.reddit.com/r/COVID19positive/comments/ik2muj/concussion_with_covid19/")</f>
        <v/>
      </c>
      <c r="G4914" t="inlineStr">
        <is>
          <t>2020-08-31 10:41:03</t>
        </is>
      </c>
      <c r="H4914" t="inlineStr">
        <is>
          <t>Tested Positive - Me</t>
        </is>
      </c>
    </row>
    <row r="4915">
      <c r="A4915" t="inlineStr">
        <is>
          <t>ik3hl7</t>
        </is>
      </c>
      <c r="B4915" t="inlineStr">
        <is>
          <t>Sore Throat Main Symptom: My Experience</t>
        </is>
      </c>
      <c r="C4915" t="inlineStr">
        <is>
          <t xml:space="preserve"> Hello 22M college student here! Was diagnosed with Covid-19 on Thursday 8/27. First started having symptoms on Monday 8/23.
Monday 8/23-8/24: Sore throat, fatigue
8/25: Worse Sore throat, fatigue, chills, fever
8/26: Sore throat, fatigue
8/27: Sore throat, fatigue, runny nose
8/28-8/31:  Slight nasal congestion, no taste or smell
Sore throat was my most persistent symptom. Loss of taste/smell came after about a week from the first symptom. Still waiting to get taste/smell back.</t>
        </is>
      </c>
      <c r="D4915" t="n">
        <v>1</v>
      </c>
      <c r="E4915" t="n">
        <v>3</v>
      </c>
      <c r="F4915">
        <f>HYPERLINK("https://www.reddit.com/r/COVID19positive/comments/ik3hl7/sore_throat_main_symptom_my_experience/")</f>
        <v/>
      </c>
      <c r="G4915" t="inlineStr">
        <is>
          <t>2020-08-31 11:24:21</t>
        </is>
      </c>
      <c r="H4915" t="inlineStr">
        <is>
          <t>Tested Positive - Me</t>
        </is>
      </c>
    </row>
    <row r="4916">
      <c r="A4916" t="inlineStr">
        <is>
          <t>ik4520</t>
        </is>
      </c>
      <c r="B4916" t="inlineStr">
        <is>
          <t>Day 7, feeling better, but alone. How to best help my body and mind recover?</t>
        </is>
      </c>
      <c r="C4916" t="inlineStr">
        <is>
          <t>I still have a low appetite and fatigue. Other than that, my symptoms are gone. What can I do to bounce back from this? Diet, exercise, overall lifestyle, mental health. 
Right now I’m feeling very alone and sometimes it helps to have people give me advice on how to best take care of myself.</t>
        </is>
      </c>
      <c r="D4916" t="n">
        <v>1</v>
      </c>
      <c r="E4916" t="n">
        <v>9</v>
      </c>
      <c r="F4916">
        <f>HYPERLINK("https://www.reddit.com/r/COVID19positive/comments/ik4520/day_7_feeling_better_but_alone_how_to_best_help/")</f>
        <v/>
      </c>
      <c r="G4916" t="inlineStr">
        <is>
          <t>2020-08-31 11:57:35</t>
        </is>
      </c>
      <c r="H4916" t="inlineStr">
        <is>
          <t>Tested Positive - Me</t>
        </is>
      </c>
    </row>
    <row r="4917">
      <c r="A4917" t="inlineStr">
        <is>
          <t>ik5qso</t>
        </is>
      </c>
      <c r="B4917" t="inlineStr">
        <is>
          <t>Mayor of Algoma Wisconsin....</t>
        </is>
      </c>
      <c r="C4917" t="inlineStr">
        <is>
          <t>...has the COVID, went to a party and got drunk!</t>
        </is>
      </c>
      <c r="D4917" t="n">
        <v>1</v>
      </c>
      <c r="E4917" t="n">
        <v>2</v>
      </c>
      <c r="F4917">
        <f>HYPERLINK("https://www.reddit.com/r/COVID19positive/comments/ik5qso/mayor_of_algoma_wisconsin/")</f>
        <v/>
      </c>
      <c r="G4917" t="inlineStr">
        <is>
          <t>2020-08-31 13:20:38</t>
        </is>
      </c>
      <c r="H4917" t="inlineStr">
        <is>
          <t>Tested Positive - Friends</t>
        </is>
      </c>
    </row>
    <row r="4918">
      <c r="A4918" t="inlineStr">
        <is>
          <t>ik5u81</t>
        </is>
      </c>
      <c r="B4918" t="inlineStr">
        <is>
          <t>Opinion: avoid the hospital at all costs</t>
        </is>
      </c>
      <c r="C4918" t="inlineStr">
        <is>
          <t>Hi everyone. New to the sub. 
Recently my mom (49) and 3 younger siblings (11F, 14M, 19F) all tested positive for COVID. 
My mom was struggling a lot this last Tuesday/Wednesday (6/5 days ago) and she didn’t think she would make it. Fortunately she’s since gotten “better”, and the kiddos aren’t as sick- with only mild flu-like symptoms. 
Something that has surprised us though was some advice from one of our close family friends (COVID survivors) who urged us to avoid the hospital as much as possible. They would not elaborate as to why. But we are still so concerned because if at some point we need to go we will. We have been monitoring mom’s O2 at home and it’s gotten a bit too low but she can bring it up with intentional deep breathing.
I am wondering though if this advice to avoid the hospital is something that everyone feels or speaks from experience? Perhaps it’s something they experienced on their own from the sub-par, rural hospital near us. Regardless, I appreciate any support to try and keep my mom on her way to recovery at home.</t>
        </is>
      </c>
      <c r="D4918" t="n">
        <v>1</v>
      </c>
      <c r="E4918" t="n">
        <v>21</v>
      </c>
      <c r="F4918">
        <f>HYPERLINK("https://www.reddit.com/r/COVID19positive/comments/ik5u81/opinion_avoid_the_hospital_at_all_costs/")</f>
        <v/>
      </c>
      <c r="G4918" t="inlineStr">
        <is>
          <t>2020-08-31 13:25:37</t>
        </is>
      </c>
      <c r="H4918" t="inlineStr">
        <is>
          <t>Tested Positive - Family</t>
        </is>
      </c>
    </row>
    <row r="4919">
      <c r="A4919" t="inlineStr">
        <is>
          <t>ik6aks</t>
        </is>
      </c>
      <c r="B4919" t="inlineStr">
        <is>
          <t>Still having symptoms past two weeks</t>
        </is>
      </c>
      <c r="C4919" t="inlineStr">
        <is>
          <t>Hey guys! I really appreciate the people who respond it makes me feel better lol! But anyways is it typical to have symptoms still but be out of the woods? I think I’m on like day 20. Like it kinda feels like I have a cold or allergies and still feel tired and foggy sometimes. It doesn’t feel as bad. Dumb question but do the questions clear up as soon as the 14 days is over? I got my taste and smell back after like 9 days. Im just so over it 😭</t>
        </is>
      </c>
      <c r="D4919" t="n">
        <v>1</v>
      </c>
      <c r="E4919" t="n">
        <v>3</v>
      </c>
      <c r="F4919">
        <f>HYPERLINK("https://www.reddit.com/r/COVID19positive/comments/ik6aks/still_having_symptoms_past_two_weeks/")</f>
        <v/>
      </c>
      <c r="G4919" t="inlineStr">
        <is>
          <t>2020-08-31 13:49:35</t>
        </is>
      </c>
      <c r="H4919" t="inlineStr">
        <is>
          <t>Tested Positive - Me</t>
        </is>
      </c>
    </row>
    <row r="4920">
      <c r="A4920" t="inlineStr">
        <is>
          <t>ik78wr</t>
        </is>
      </c>
      <c r="B4920" t="inlineStr">
        <is>
          <t>DAY 2 of Possible COVID</t>
        </is>
      </c>
      <c r="C4920" t="inlineStr">
        <is>
          <t>Day 2. I posted yesterday my symptoms but today I woke up and felt a lot better... thought it was odd. As the day went on I had a 101 degree fever and have lost my taste and smell. I still have mild headaches. I don’t have a sore throat or stuffy nose anymore. Right now my fever is down to 98.7 and I just have a mild headache. Fatigue has gone away compared to yesterday bc I felt terrible yesterday. I got tested at 1 pm est. 48 hours until my results. Wondering how the symptoms work and if they change daily or if I’m getting through it faster than normal. I’m 18.</t>
        </is>
      </c>
      <c r="D4920" t="n">
        <v>1</v>
      </c>
      <c r="E4920" t="n">
        <v>3</v>
      </c>
      <c r="F4920">
        <f>HYPERLINK("https://www.reddit.com/r/COVID19positive/comments/ik78wr/day_2_of_possible_covid/")</f>
        <v/>
      </c>
      <c r="G4920" t="inlineStr">
        <is>
          <t>2020-08-31 14:39:59</t>
        </is>
      </c>
      <c r="H4920" t="inlineStr">
        <is>
          <t>Presumed Positive - From Test</t>
        </is>
      </c>
    </row>
    <row r="4921">
      <c r="A4921" t="inlineStr">
        <is>
          <t>ik7zi5</t>
        </is>
      </c>
      <c r="B4921" t="inlineStr">
        <is>
          <t>Tested positive and lost smell/taste</t>
        </is>
      </c>
      <c r="C4921" t="inlineStr">
        <is>
          <t>Hi all,
I wanted to post my experience so far with COVID-19. I have been quarantining for about a week now after a positive test. My symptoms were a terrible sore throat, slight cough, and a loss of smell/taste. I have been fortunate enough to be able to stay in my room and live comfortably throughout this virus. After a week in quarantine, I feel fantastic! I do not have any symptoms except I still cannot taste or smell.
I was curious for others who have tested positive, did you lose your sense of smell and taste? If so how long did it take for you to gradually gain these senses back? I’m fairly confident that I will gain these senses once again but I’m looking for others experiences with these symptoms!</t>
        </is>
      </c>
      <c r="D4921" t="n">
        <v>1</v>
      </c>
      <c r="E4921" t="n">
        <v>13</v>
      </c>
      <c r="F4921">
        <f>HYPERLINK("https://www.reddit.com/r/COVID19positive/comments/ik7zi5/tested_positive_and_lost_smelltaste/")</f>
        <v/>
      </c>
      <c r="G4921" t="inlineStr">
        <is>
          <t>2020-08-31 15:20:57</t>
        </is>
      </c>
      <c r="H4921" t="inlineStr">
        <is>
          <t>Tested Positive - Me</t>
        </is>
      </c>
    </row>
    <row r="4922">
      <c r="A4922" t="inlineStr">
        <is>
          <t>ik8nqq</t>
        </is>
      </c>
      <c r="B4922" t="inlineStr">
        <is>
          <t>Take care when resuming normal life after COVID - advice</t>
        </is>
      </c>
      <c r="C4922" t="inlineStr">
        <is>
          <t>I tested positive on August 1 and suffered through covid for the next nine days. I then waited another week until I did any sort of activity, because I was dealing with major post covid fatigue - I went to play tennis with a friend on the 16th. 
I was fine after this, so decided to go back to my rowing gym about a week later, on or about August 25. My fatigue came back with a vengeance after this! About two days after going to the gym, I was back to where my fatigue levels were during my previous recovery period. 
I feel myself getting into a little bit better of a place now, but I'm still not where I was before going back to the gym - that was a big mistake. I pushed it really hard at the gym and am paying for it now. 
So this is all just advice for those recovering. Pace yourself when getting back to normal life. Be easy with yourself instead of trying to go all out. I was afraid of deconditioning because I was previously in good shape, but ultimately I just hurt myself more by going back too soon. 
Cheers, all!</t>
        </is>
      </c>
      <c r="D4922" t="n">
        <v>1</v>
      </c>
      <c r="E4922" t="n">
        <v>17</v>
      </c>
      <c r="F4922">
        <f>HYPERLINK("https://www.reddit.com/r/COVID19positive/comments/ik8nqq/take_care_when_resuming_normal_life_after_covid/")</f>
        <v/>
      </c>
      <c r="G4922" t="inlineStr">
        <is>
          <t>2020-08-31 15:59:37</t>
        </is>
      </c>
      <c r="H4922" t="inlineStr">
        <is>
          <t>Tested Positive - Me</t>
        </is>
      </c>
    </row>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2020-09-05T12:22:09Z</dcterms:created>
  <dcterms:modified xsi:type="dcterms:W3CDTF">2020-09-05T12:22:09Z</dcterms:modified>
</cp:coreProperties>
</file>